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8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9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10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omments11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omments12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omments13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omments14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omments15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omments16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omments17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omments18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omments19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omments20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omments21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omments22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omments23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omments24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omments25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omments26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omments27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omments28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omments29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omments30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omments31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31.xml" ContentType="application/vnd.openxmlformats-officedocument.drawing+xml"/>
  <Override PartName="/xl/comments32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0 Data_Collection 75\Daily_Log_Sheets\Log Sheet 2079\"/>
    </mc:Choice>
  </mc:AlternateContent>
  <xr:revisionPtr revIDLastSave="0" documentId="13_ncr:1_{C38A5FA7-232F-48C6-AD3D-BBF9556A2534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30" sheetId="5" r:id="rId1"/>
    <sheet name="1" sheetId="1" r:id="rId2"/>
    <sheet name="2" sheetId="4" r:id="rId3"/>
    <sheet name="3" sheetId="6" r:id="rId4"/>
    <sheet name="4" sheetId="7" r:id="rId5"/>
    <sheet name="5" sheetId="9" r:id="rId6"/>
    <sheet name="6" sheetId="10" r:id="rId7"/>
    <sheet name="7" sheetId="11" r:id="rId8"/>
    <sheet name="8" sheetId="13" r:id="rId9"/>
    <sheet name="9" sheetId="14" r:id="rId10"/>
    <sheet name="10" sheetId="15" r:id="rId11"/>
    <sheet name="11" sheetId="16" r:id="rId12"/>
    <sheet name="12" sheetId="17" r:id="rId13"/>
    <sheet name="13" sheetId="18" r:id="rId14"/>
    <sheet name="14" sheetId="19" r:id="rId15"/>
    <sheet name="15" sheetId="20" r:id="rId16"/>
    <sheet name="16" sheetId="23" r:id="rId17"/>
    <sheet name="17" sheetId="24" r:id="rId18"/>
    <sheet name="18" sheetId="25" r:id="rId19"/>
    <sheet name="19" sheetId="26" r:id="rId20"/>
    <sheet name="20" sheetId="27" r:id="rId21"/>
    <sheet name="21" sheetId="28" r:id="rId22"/>
    <sheet name="22" sheetId="29" r:id="rId23"/>
    <sheet name="23" sheetId="30" r:id="rId24"/>
    <sheet name="24" sheetId="31" r:id="rId25"/>
    <sheet name="25" sheetId="32" r:id="rId26"/>
    <sheet name="26" sheetId="33" r:id="rId27"/>
    <sheet name="27" sheetId="34" r:id="rId28"/>
    <sheet name="28" sheetId="35" r:id="rId29"/>
    <sheet name="29" sheetId="36" r:id="rId30"/>
    <sheet name="fal1" sheetId="37" r:id="rId31"/>
    <sheet name="sample" sheetId="3" r:id="rId32"/>
  </sheets>
  <externalReferences>
    <externalReference r:id="rId33"/>
    <externalReference r:id="rId34"/>
    <externalReference r:id="rId35"/>
    <externalReference r:id="rId36"/>
  </externalReferences>
  <definedNames>
    <definedName name="IPP" localSheetId="1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9">#REF!</definedName>
    <definedName name="IPP" localSheetId="2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9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9">#REF!</definedName>
    <definedName name="IPP" localSheetId="30">#REF!</definedName>
    <definedName name="IPP" localSheetId="31">#REF!</definedName>
    <definedName name="IPP">#REF!</definedName>
    <definedName name="ippp" localSheetId="1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9">#REF!</definedName>
    <definedName name="ippp" localSheetId="2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9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9">#REF!</definedName>
    <definedName name="ippp" localSheetId="30">#REF!</definedName>
    <definedName name="ippp" localSheetId="31">#REF!</definedName>
    <definedName name="ippp">#REF!</definedName>
    <definedName name="sdasdf" localSheetId="1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9">#REF!</definedName>
    <definedName name="sdasdf" localSheetId="2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9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9">#REF!</definedName>
    <definedName name="sdasdf" localSheetId="30">#REF!</definedName>
    <definedName name="sdasdf" localSheetId="31">#REF!</definedName>
    <definedName name="sdasdf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7" i="37" l="1"/>
  <c r="L107" i="37"/>
  <c r="AF267" i="37"/>
  <c r="AE267" i="37"/>
  <c r="AD267" i="37"/>
  <c r="AC267" i="37"/>
  <c r="AB267" i="37"/>
  <c r="AA267" i="37"/>
  <c r="Z267" i="37"/>
  <c r="Y267" i="37"/>
  <c r="X267" i="37"/>
  <c r="W267" i="37"/>
  <c r="V267" i="37"/>
  <c r="U267" i="37"/>
  <c r="T267" i="37"/>
  <c r="S267" i="37"/>
  <c r="R267" i="37"/>
  <c r="Q267" i="37"/>
  <c r="P267" i="37"/>
  <c r="O267" i="37"/>
  <c r="N267" i="37"/>
  <c r="M267" i="37"/>
  <c r="L267" i="37"/>
  <c r="K267" i="37"/>
  <c r="J267" i="37"/>
  <c r="I267" i="37"/>
  <c r="H267" i="37"/>
  <c r="G267" i="37"/>
  <c r="F267" i="37"/>
  <c r="E267" i="37"/>
  <c r="D267" i="37"/>
  <c r="C267" i="37"/>
  <c r="B267" i="37"/>
  <c r="A267" i="37"/>
  <c r="AF266" i="37"/>
  <c r="AE266" i="37"/>
  <c r="AD266" i="37"/>
  <c r="AC266" i="37"/>
  <c r="AB266" i="37"/>
  <c r="AA266" i="37"/>
  <c r="Z266" i="37"/>
  <c r="Y266" i="37"/>
  <c r="X266" i="37"/>
  <c r="W266" i="37"/>
  <c r="V266" i="37"/>
  <c r="U266" i="37"/>
  <c r="T266" i="37"/>
  <c r="S266" i="37"/>
  <c r="R266" i="37"/>
  <c r="Q266" i="37"/>
  <c r="P266" i="37"/>
  <c r="O266" i="37"/>
  <c r="N266" i="37"/>
  <c r="M266" i="37"/>
  <c r="L266" i="37"/>
  <c r="K266" i="37"/>
  <c r="J266" i="37"/>
  <c r="I266" i="37"/>
  <c r="H266" i="37"/>
  <c r="G266" i="37"/>
  <c r="F266" i="37"/>
  <c r="E266" i="37"/>
  <c r="D266" i="37"/>
  <c r="C266" i="37"/>
  <c r="B266" i="37"/>
  <c r="A266" i="37"/>
  <c r="AF265" i="37"/>
  <c r="AE265" i="37"/>
  <c r="AD265" i="37"/>
  <c r="AC265" i="37"/>
  <c r="AB265" i="37"/>
  <c r="AA265" i="37"/>
  <c r="Z265" i="37"/>
  <c r="Y265" i="37"/>
  <c r="X265" i="37"/>
  <c r="W265" i="37"/>
  <c r="V265" i="37"/>
  <c r="U265" i="37"/>
  <c r="T265" i="37"/>
  <c r="S265" i="37"/>
  <c r="R265" i="37"/>
  <c r="Q265" i="37"/>
  <c r="P265" i="37"/>
  <c r="O265" i="37"/>
  <c r="N265" i="37"/>
  <c r="M265" i="37"/>
  <c r="L265" i="37"/>
  <c r="K265" i="37"/>
  <c r="J265" i="37"/>
  <c r="I265" i="37"/>
  <c r="H265" i="37"/>
  <c r="G265" i="37"/>
  <c r="F265" i="37"/>
  <c r="E265" i="37"/>
  <c r="D265" i="37"/>
  <c r="C265" i="37"/>
  <c r="B265" i="37"/>
  <c r="A265" i="37"/>
  <c r="AF264" i="37"/>
  <c r="AE264" i="37"/>
  <c r="AD264" i="37"/>
  <c r="AC264" i="37"/>
  <c r="AB264" i="37"/>
  <c r="AA264" i="37"/>
  <c r="Z264" i="37"/>
  <c r="Y264" i="37"/>
  <c r="X264" i="37"/>
  <c r="W264" i="37"/>
  <c r="V264" i="37"/>
  <c r="U264" i="37"/>
  <c r="T264" i="37"/>
  <c r="S264" i="37"/>
  <c r="R264" i="37"/>
  <c r="Q264" i="37"/>
  <c r="P264" i="37"/>
  <c r="O264" i="37"/>
  <c r="N264" i="37"/>
  <c r="M264" i="37"/>
  <c r="L264" i="37"/>
  <c r="K264" i="37"/>
  <c r="J264" i="37"/>
  <c r="I264" i="37"/>
  <c r="H264" i="37"/>
  <c r="G264" i="37"/>
  <c r="F264" i="37"/>
  <c r="E264" i="37"/>
  <c r="D264" i="37"/>
  <c r="C264" i="37"/>
  <c r="B264" i="37"/>
  <c r="A264" i="37"/>
  <c r="AE263" i="37"/>
  <c r="AD263" i="37"/>
  <c r="AC263" i="37"/>
  <c r="AB263" i="37"/>
  <c r="AA263" i="37"/>
  <c r="Z263" i="37"/>
  <c r="Y263" i="37"/>
  <c r="X263" i="37"/>
  <c r="W263" i="37"/>
  <c r="V263" i="37"/>
  <c r="U263" i="37"/>
  <c r="T263" i="37"/>
  <c r="S263" i="37"/>
  <c r="R263" i="37"/>
  <c r="Q263" i="37"/>
  <c r="P263" i="37"/>
  <c r="B263" i="37"/>
  <c r="S238" i="37"/>
  <c r="AG228" i="37"/>
  <c r="AG61" i="37" s="1"/>
  <c r="AG62" i="37" s="1"/>
  <c r="AG3" i="37" s="1"/>
  <c r="AF228" i="37"/>
  <c r="AE228" i="37"/>
  <c r="AD228" i="37"/>
  <c r="AC228" i="37"/>
  <c r="AB228" i="37"/>
  <c r="AA228" i="37"/>
  <c r="Z228" i="37"/>
  <c r="Y228" i="37"/>
  <c r="X228" i="37"/>
  <c r="W228" i="37"/>
  <c r="V228" i="37"/>
  <c r="U228" i="37"/>
  <c r="T228" i="37"/>
  <c r="S228" i="37"/>
  <c r="R228" i="37"/>
  <c r="Q228" i="37"/>
  <c r="C228" i="37"/>
  <c r="E227" i="37"/>
  <c r="F227" i="37" s="1"/>
  <c r="D227" i="37"/>
  <c r="C263" i="37" s="1"/>
  <c r="B227" i="37"/>
  <c r="AF263" i="37" s="1"/>
  <c r="D226" i="37"/>
  <c r="E226" i="37" s="1"/>
  <c r="F226" i="37" s="1"/>
  <c r="G226" i="37" s="1"/>
  <c r="H226" i="37" s="1"/>
  <c r="I226" i="37" s="1"/>
  <c r="J226" i="37" s="1"/>
  <c r="K226" i="37" s="1"/>
  <c r="L226" i="37" s="1"/>
  <c r="M226" i="37" s="1"/>
  <c r="N226" i="37" s="1"/>
  <c r="O226" i="37" s="1"/>
  <c r="P226" i="37" s="1"/>
  <c r="B226" i="37"/>
  <c r="D225" i="37"/>
  <c r="E225" i="37" s="1"/>
  <c r="F225" i="37" s="1"/>
  <c r="G225" i="37" s="1"/>
  <c r="H225" i="37" s="1"/>
  <c r="I225" i="37" s="1"/>
  <c r="B225" i="37"/>
  <c r="D224" i="37"/>
  <c r="E224" i="37" s="1"/>
  <c r="F224" i="37" s="1"/>
  <c r="G224" i="37" s="1"/>
  <c r="H224" i="37" s="1"/>
  <c r="B224" i="37"/>
  <c r="E223" i="37"/>
  <c r="F223" i="37" s="1"/>
  <c r="G223" i="37" s="1"/>
  <c r="H223" i="37" s="1"/>
  <c r="I223" i="37" s="1"/>
  <c r="J223" i="37" s="1"/>
  <c r="K223" i="37" s="1"/>
  <c r="L223" i="37" s="1"/>
  <c r="M223" i="37" s="1"/>
  <c r="N223" i="37" s="1"/>
  <c r="O223" i="37" s="1"/>
  <c r="P223" i="37" s="1"/>
  <c r="D223" i="37"/>
  <c r="B223" i="37"/>
  <c r="D222" i="37"/>
  <c r="D228" i="37" s="1"/>
  <c r="B222" i="37"/>
  <c r="B104" i="37" s="1"/>
  <c r="AG220" i="37"/>
  <c r="AF220" i="37"/>
  <c r="AE220" i="37"/>
  <c r="AD220" i="37"/>
  <c r="AC220" i="37"/>
  <c r="AB220" i="37"/>
  <c r="AA220" i="37"/>
  <c r="Z220" i="37"/>
  <c r="Y220" i="37"/>
  <c r="X220" i="37"/>
  <c r="W220" i="37"/>
  <c r="V220" i="37"/>
  <c r="U220" i="37"/>
  <c r="T220" i="37"/>
  <c r="S220" i="37"/>
  <c r="R220" i="37"/>
  <c r="Q220" i="37"/>
  <c r="P220" i="37"/>
  <c r="O220" i="37"/>
  <c r="N220" i="37"/>
  <c r="M220" i="37"/>
  <c r="L220" i="37"/>
  <c r="K220" i="37"/>
  <c r="J220" i="37"/>
  <c r="I220" i="37"/>
  <c r="H220" i="37"/>
  <c r="G220" i="37"/>
  <c r="F220" i="37"/>
  <c r="E220" i="37"/>
  <c r="D220" i="37"/>
  <c r="C220" i="37"/>
  <c r="B220" i="37"/>
  <c r="AI113" i="37"/>
  <c r="AH113" i="37"/>
  <c r="AI112" i="37"/>
  <c r="AH112" i="37"/>
  <c r="AI111" i="37"/>
  <c r="AH111" i="37"/>
  <c r="AI110" i="37"/>
  <c r="AH110" i="37"/>
  <c r="AI109" i="37"/>
  <c r="AH109" i="37"/>
  <c r="AI108" i="37"/>
  <c r="AH108" i="37"/>
  <c r="AI107" i="37"/>
  <c r="AH107" i="37"/>
  <c r="AI106" i="37"/>
  <c r="AH106" i="37"/>
  <c r="AI105" i="37"/>
  <c r="AH105" i="37"/>
  <c r="AF104" i="37"/>
  <c r="AE104" i="37"/>
  <c r="AD104" i="37"/>
  <c r="AC104" i="37"/>
  <c r="AB104" i="37"/>
  <c r="AA104" i="37"/>
  <c r="Z104" i="37"/>
  <c r="Y104" i="37"/>
  <c r="X104" i="37"/>
  <c r="W104" i="37"/>
  <c r="V104" i="37"/>
  <c r="U104" i="37"/>
  <c r="T104" i="37"/>
  <c r="S104" i="37"/>
  <c r="R104" i="37"/>
  <c r="Q104" i="37"/>
  <c r="C104" i="37"/>
  <c r="AI103" i="37"/>
  <c r="AH103" i="37"/>
  <c r="AI102" i="37"/>
  <c r="AH102" i="37"/>
  <c r="AI101" i="37"/>
  <c r="AH101" i="37"/>
  <c r="AI100" i="37"/>
  <c r="AH100" i="37"/>
  <c r="AI99" i="37"/>
  <c r="AH99" i="37"/>
  <c r="AI98" i="37"/>
  <c r="AH98" i="37"/>
  <c r="AI97" i="37"/>
  <c r="AH97" i="37"/>
  <c r="AI96" i="37"/>
  <c r="AH96" i="37"/>
  <c r="AI95" i="37"/>
  <c r="AH95" i="37"/>
  <c r="AC94" i="37"/>
  <c r="AI93" i="37"/>
  <c r="AH93" i="37"/>
  <c r="AI92" i="37"/>
  <c r="AH92" i="37"/>
  <c r="AI91" i="37"/>
  <c r="AH91" i="37"/>
  <c r="AI90" i="37"/>
  <c r="AH90" i="37"/>
  <c r="AI89" i="37"/>
  <c r="AH89" i="37"/>
  <c r="AI88" i="37"/>
  <c r="AH88" i="37"/>
  <c r="AI87" i="37"/>
  <c r="AH87" i="37"/>
  <c r="AI84" i="37"/>
  <c r="AH84" i="37"/>
  <c r="AI82" i="37"/>
  <c r="AH82" i="37"/>
  <c r="AG82" i="37"/>
  <c r="AI81" i="37"/>
  <c r="AH81" i="37"/>
  <c r="AI80" i="37"/>
  <c r="AH80" i="37"/>
  <c r="AI79" i="37"/>
  <c r="AH79" i="37"/>
  <c r="AN78" i="37"/>
  <c r="AG78" i="37"/>
  <c r="AF78" i="37"/>
  <c r="AF94" i="37" s="1"/>
  <c r="AE78" i="37"/>
  <c r="AD5" i="37" s="1"/>
  <c r="AD78" i="37"/>
  <c r="AC5" i="37" s="1"/>
  <c r="AC78" i="37"/>
  <c r="AB78" i="37"/>
  <c r="AB94" i="37" s="1"/>
  <c r="AA78" i="37"/>
  <c r="AA94" i="37" s="1"/>
  <c r="Z78" i="37"/>
  <c r="Y78" i="37"/>
  <c r="X5" i="37" s="1"/>
  <c r="X78" i="37"/>
  <c r="W5" i="37" s="1"/>
  <c r="W78" i="37"/>
  <c r="V5" i="37" s="1"/>
  <c r="V78" i="37"/>
  <c r="U5" i="37" s="1"/>
  <c r="U78" i="37"/>
  <c r="U94" i="37" s="1"/>
  <c r="T78" i="37"/>
  <c r="S5" i="37" s="1"/>
  <c r="S78" i="37"/>
  <c r="S94" i="37" s="1"/>
  <c r="R78" i="37"/>
  <c r="Q78" i="37"/>
  <c r="P5" i="37" s="1"/>
  <c r="P78" i="37"/>
  <c r="O5" i="37" s="1"/>
  <c r="O78" i="37"/>
  <c r="N5" i="37" s="1"/>
  <c r="N78" i="37"/>
  <c r="M5" i="37" s="1"/>
  <c r="M78" i="37"/>
  <c r="M94" i="37" s="1"/>
  <c r="L78" i="37"/>
  <c r="L94" i="37" s="1"/>
  <c r="K78" i="37"/>
  <c r="K94" i="37" s="1"/>
  <c r="J78" i="37"/>
  <c r="I78" i="37"/>
  <c r="H5" i="37" s="1"/>
  <c r="H78" i="37"/>
  <c r="G5" i="37" s="1"/>
  <c r="G78" i="37"/>
  <c r="F5" i="37" s="1"/>
  <c r="F78" i="37"/>
  <c r="E5" i="37" s="1"/>
  <c r="E78" i="37"/>
  <c r="E94" i="37" s="1"/>
  <c r="D78" i="37"/>
  <c r="C5" i="37" s="1"/>
  <c r="C78" i="37"/>
  <c r="C94" i="37" s="1"/>
  <c r="B78" i="37"/>
  <c r="AI77" i="37"/>
  <c r="AH77" i="37"/>
  <c r="AN76" i="37"/>
  <c r="AI76" i="37"/>
  <c r="AH76" i="37"/>
  <c r="AN75" i="37"/>
  <c r="AN77" i="37" s="1"/>
  <c r="AI75" i="37"/>
  <c r="AH75" i="37"/>
  <c r="AI74" i="37"/>
  <c r="AH74" i="37"/>
  <c r="AI73" i="37"/>
  <c r="AH73" i="37"/>
  <c r="AI72" i="37"/>
  <c r="AH72" i="37"/>
  <c r="AI71" i="37"/>
  <c r="AH71" i="37"/>
  <c r="AI70" i="37"/>
  <c r="AH70" i="37"/>
  <c r="AI69" i="37"/>
  <c r="AH69" i="37"/>
  <c r="AI68" i="37"/>
  <c r="AH68" i="37"/>
  <c r="AI67" i="37"/>
  <c r="AH67" i="37"/>
  <c r="AG66" i="37"/>
  <c r="AF66" i="37"/>
  <c r="AE66" i="37"/>
  <c r="AD66" i="37"/>
  <c r="AC66" i="37"/>
  <c r="AB66" i="37"/>
  <c r="AA66" i="37"/>
  <c r="Z66" i="37"/>
  <c r="Y66" i="37"/>
  <c r="X66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AI65" i="37"/>
  <c r="AH65" i="37"/>
  <c r="AI64" i="37"/>
  <c r="AH64" i="37"/>
  <c r="AI63" i="37"/>
  <c r="AH63" i="37"/>
  <c r="AF62" i="37"/>
  <c r="AE62" i="37"/>
  <c r="AD62" i="37"/>
  <c r="AC62" i="37"/>
  <c r="AB62" i="37"/>
  <c r="AA62" i="37"/>
  <c r="Z62" i="37"/>
  <c r="Y62" i="37"/>
  <c r="X62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AI61" i="37"/>
  <c r="AH61" i="37"/>
  <c r="AI60" i="37"/>
  <c r="AH60" i="37"/>
  <c r="AI59" i="37"/>
  <c r="AH59" i="37"/>
  <c r="AI58" i="37"/>
  <c r="AH58" i="37"/>
  <c r="AI57" i="37"/>
  <c r="AH57" i="37"/>
  <c r="AI56" i="37"/>
  <c r="AH56" i="37"/>
  <c r="AI55" i="37"/>
  <c r="AH55" i="37"/>
  <c r="AI54" i="37"/>
  <c r="AH54" i="37"/>
  <c r="AI53" i="37"/>
  <c r="AH53" i="37"/>
  <c r="AI52" i="37"/>
  <c r="AH52" i="37"/>
  <c r="AI51" i="37"/>
  <c r="AH51" i="37"/>
  <c r="AI50" i="37"/>
  <c r="AH50" i="37"/>
  <c r="AI49" i="37"/>
  <c r="AH49" i="37"/>
  <c r="AG48" i="37"/>
  <c r="AF48" i="37"/>
  <c r="AE48" i="37"/>
  <c r="AD48" i="37"/>
  <c r="AC48" i="37"/>
  <c r="AB48" i="37"/>
  <c r="AA48" i="37"/>
  <c r="Z48" i="37"/>
  <c r="Y48" i="37"/>
  <c r="X48" i="37"/>
  <c r="W48" i="37"/>
  <c r="V48" i="37"/>
  <c r="U48" i="37"/>
  <c r="T48" i="37"/>
  <c r="S48" i="37"/>
  <c r="R48" i="37"/>
  <c r="Q48" i="37"/>
  <c r="P48" i="37"/>
  <c r="O48" i="37"/>
  <c r="N48" i="37"/>
  <c r="M48" i="37"/>
  <c r="L48" i="37"/>
  <c r="K48" i="37"/>
  <c r="J48" i="37"/>
  <c r="I48" i="37"/>
  <c r="H48" i="37"/>
  <c r="G48" i="37"/>
  <c r="F48" i="37"/>
  <c r="E48" i="37"/>
  <c r="D48" i="37"/>
  <c r="C48" i="37"/>
  <c r="B48" i="37"/>
  <c r="AI47" i="37"/>
  <c r="AH47" i="37"/>
  <c r="AI46" i="37"/>
  <c r="AH46" i="37"/>
  <c r="AI45" i="37"/>
  <c r="AH45" i="37"/>
  <c r="AG44" i="37"/>
  <c r="AF44" i="37"/>
  <c r="AE44" i="37"/>
  <c r="AD44" i="37"/>
  <c r="AD83" i="37" s="1"/>
  <c r="AD85" i="37" s="1"/>
  <c r="AC44" i="37"/>
  <c r="AB44" i="37"/>
  <c r="AA44" i="37"/>
  <c r="Z44" i="37"/>
  <c r="Y44" i="37"/>
  <c r="X44" i="37"/>
  <c r="W44" i="37"/>
  <c r="V44" i="37"/>
  <c r="U44" i="37"/>
  <c r="T44" i="37"/>
  <c r="S44" i="37"/>
  <c r="R44" i="37"/>
  <c r="Q44" i="37"/>
  <c r="P44" i="37"/>
  <c r="O44" i="37"/>
  <c r="N44" i="37"/>
  <c r="M44" i="37"/>
  <c r="L44" i="37"/>
  <c r="K44" i="37"/>
  <c r="J44" i="37"/>
  <c r="I44" i="37"/>
  <c r="H44" i="37"/>
  <c r="G44" i="37"/>
  <c r="F44" i="37"/>
  <c r="E44" i="37"/>
  <c r="D44" i="37"/>
  <c r="C44" i="37"/>
  <c r="B44" i="37"/>
  <c r="AI43" i="37"/>
  <c r="AH43" i="37"/>
  <c r="AI42" i="37"/>
  <c r="AH42" i="37"/>
  <c r="AI41" i="37"/>
  <c r="AH41" i="37"/>
  <c r="AI40" i="37"/>
  <c r="AH40" i="37"/>
  <c r="AI39" i="37"/>
  <c r="AH39" i="37"/>
  <c r="AI38" i="37"/>
  <c r="AH38" i="37"/>
  <c r="AI37" i="37"/>
  <c r="AH37" i="37"/>
  <c r="AI36" i="37"/>
  <c r="AH36" i="37"/>
  <c r="AI35" i="37"/>
  <c r="AH35" i="37"/>
  <c r="AI34" i="37"/>
  <c r="AH34" i="37"/>
  <c r="AI33" i="37"/>
  <c r="AH33" i="37"/>
  <c r="AI32" i="37"/>
  <c r="AH32" i="37"/>
  <c r="AI31" i="37"/>
  <c r="AH31" i="37"/>
  <c r="AI30" i="37"/>
  <c r="AH30" i="37"/>
  <c r="AI29" i="37"/>
  <c r="AH29" i="37"/>
  <c r="AI28" i="37"/>
  <c r="AH28" i="37"/>
  <c r="AI27" i="37"/>
  <c r="AH27" i="37"/>
  <c r="AI26" i="37"/>
  <c r="AH26" i="37"/>
  <c r="AI25" i="37"/>
  <c r="AH25" i="37"/>
  <c r="AI24" i="37"/>
  <c r="AH24" i="37"/>
  <c r="AI23" i="37"/>
  <c r="AH23" i="37"/>
  <c r="AI22" i="37"/>
  <c r="AH22" i="37"/>
  <c r="AI21" i="37"/>
  <c r="AH21" i="37"/>
  <c r="AI20" i="37"/>
  <c r="AH20" i="37"/>
  <c r="AI19" i="37"/>
  <c r="AH19" i="37"/>
  <c r="AI18" i="37"/>
  <c r="AH18" i="37"/>
  <c r="AI17" i="37"/>
  <c r="AH17" i="37"/>
  <c r="AI16" i="37"/>
  <c r="AH16" i="37"/>
  <c r="AI15" i="37"/>
  <c r="AH15" i="37"/>
  <c r="AI14" i="37"/>
  <c r="AH14" i="37"/>
  <c r="AI13" i="37"/>
  <c r="AH13" i="37"/>
  <c r="AI12" i="37"/>
  <c r="AH12" i="37"/>
  <c r="AI11" i="37"/>
  <c r="AH11" i="37"/>
  <c r="AE5" i="37"/>
  <c r="AB5" i="37"/>
  <c r="AA5" i="37"/>
  <c r="Z5" i="37"/>
  <c r="AG4" i="37"/>
  <c r="K4" i="37"/>
  <c r="E4" i="37"/>
  <c r="H4" i="37" s="1"/>
  <c r="B4" i="37"/>
  <c r="D239" i="37" s="1"/>
  <c r="AG2" i="37"/>
  <c r="AA107" i="36"/>
  <c r="Z107" i="36"/>
  <c r="E263" i="37" l="1"/>
  <c r="G227" i="37"/>
  <c r="F263" i="37" s="1"/>
  <c r="AG6" i="37"/>
  <c r="AB83" i="37"/>
  <c r="AB85" i="37" s="1"/>
  <c r="E222" i="37"/>
  <c r="F222" i="37" s="1"/>
  <c r="AE83" i="37"/>
  <c r="AE85" i="37" s="1"/>
  <c r="AG85" i="37"/>
  <c r="AF83" i="37"/>
  <c r="AF85" i="37" s="1"/>
  <c r="AX242" i="37" s="1"/>
  <c r="S83" i="37"/>
  <c r="S85" i="37" s="1"/>
  <c r="AA83" i="37"/>
  <c r="AA85" i="37" s="1"/>
  <c r="AG83" i="37"/>
  <c r="D263" i="37"/>
  <c r="AC83" i="37"/>
  <c r="AC85" i="37" s="1"/>
  <c r="Y94" i="37"/>
  <c r="Z83" i="37"/>
  <c r="Z85" i="37" s="1"/>
  <c r="AR242" i="37" s="1"/>
  <c r="Y83" i="37"/>
  <c r="Y85" i="37" s="1"/>
  <c r="Y7" i="37" s="1"/>
  <c r="X94" i="37"/>
  <c r="X83" i="37"/>
  <c r="X85" i="37" s="1"/>
  <c r="AP242" i="37" s="1"/>
  <c r="W83" i="37"/>
  <c r="W85" i="37" s="1"/>
  <c r="AO242" i="37" s="1"/>
  <c r="V83" i="37"/>
  <c r="V85" i="37" s="1"/>
  <c r="T5" i="37"/>
  <c r="U83" i="37"/>
  <c r="U85" i="37" s="1"/>
  <c r="U7" i="37" s="1"/>
  <c r="T94" i="37"/>
  <c r="T83" i="37"/>
  <c r="T85" i="37" s="1"/>
  <c r="T7" i="37" s="1"/>
  <c r="R5" i="37"/>
  <c r="R83" i="37"/>
  <c r="R85" i="37" s="1"/>
  <c r="Q94" i="37"/>
  <c r="P94" i="37"/>
  <c r="P83" i="37"/>
  <c r="P85" i="37" s="1"/>
  <c r="AH242" i="37" s="1"/>
  <c r="Q83" i="37"/>
  <c r="Q85" i="37" s="1"/>
  <c r="Q7" i="37" s="1"/>
  <c r="O83" i="37"/>
  <c r="O85" i="37" s="1"/>
  <c r="O86" i="37" s="1"/>
  <c r="N83" i="37"/>
  <c r="N85" i="37" s="1"/>
  <c r="N7" i="37" s="1"/>
  <c r="L5" i="37"/>
  <c r="M83" i="37"/>
  <c r="M85" i="37" s="1"/>
  <c r="M86" i="37" s="1"/>
  <c r="K5" i="37"/>
  <c r="L83" i="37"/>
  <c r="L85" i="37" s="1"/>
  <c r="J5" i="37"/>
  <c r="I83" i="37"/>
  <c r="I85" i="37" s="1"/>
  <c r="AA242" i="37" s="1"/>
  <c r="H94" i="37"/>
  <c r="H83" i="37"/>
  <c r="H85" i="37" s="1"/>
  <c r="Z242" i="37" s="1"/>
  <c r="G83" i="37"/>
  <c r="G85" i="37" s="1"/>
  <c r="Y242" i="37" s="1"/>
  <c r="K83" i="37"/>
  <c r="K85" i="37" s="1"/>
  <c r="K7" i="37" s="1"/>
  <c r="D5" i="37"/>
  <c r="I94" i="37"/>
  <c r="E83" i="37"/>
  <c r="E85" i="37" s="1"/>
  <c r="W242" i="37" s="1"/>
  <c r="F83" i="37"/>
  <c r="F85" i="37" s="1"/>
  <c r="F7" i="37" s="1"/>
  <c r="D94" i="37"/>
  <c r="D83" i="37"/>
  <c r="D85" i="37" s="1"/>
  <c r="D86" i="37" s="1"/>
  <c r="B5" i="37"/>
  <c r="AI62" i="37"/>
  <c r="AH48" i="37"/>
  <c r="C83" i="37"/>
  <c r="C85" i="37" s="1"/>
  <c r="C86" i="37" s="1"/>
  <c r="AI48" i="37"/>
  <c r="S239" i="37"/>
  <c r="Z86" i="37"/>
  <c r="Z7" i="37"/>
  <c r="R86" i="37"/>
  <c r="R7" i="37"/>
  <c r="AJ242" i="37"/>
  <c r="P7" i="37"/>
  <c r="J225" i="37"/>
  <c r="K225" i="37" s="1"/>
  <c r="L225" i="37" s="1"/>
  <c r="M225" i="37" s="1"/>
  <c r="N225" i="37" s="1"/>
  <c r="O225" i="37" s="1"/>
  <c r="P225" i="37" s="1"/>
  <c r="AN242" i="37"/>
  <c r="V86" i="37"/>
  <c r="V7" i="37"/>
  <c r="AW242" i="37"/>
  <c r="AE86" i="37"/>
  <c r="AE7" i="37"/>
  <c r="X7" i="37"/>
  <c r="AV242" i="37"/>
  <c r="AD86" i="37"/>
  <c r="AD7" i="37"/>
  <c r="G222" i="37"/>
  <c r="F228" i="37"/>
  <c r="F104" i="37"/>
  <c r="W86" i="37"/>
  <c r="W7" i="37"/>
  <c r="AA86" i="37"/>
  <c r="AA7" i="37"/>
  <c r="AS242" i="37"/>
  <c r="B94" i="37"/>
  <c r="AI78" i="37"/>
  <c r="AF5" i="37"/>
  <c r="Z94" i="37"/>
  <c r="Y5" i="37"/>
  <c r="AH78" i="37"/>
  <c r="AI66" i="37"/>
  <c r="X86" i="37"/>
  <c r="J94" i="37"/>
  <c r="I5" i="37"/>
  <c r="AI44" i="37"/>
  <c r="B83" i="37"/>
  <c r="J83" i="37"/>
  <c r="J85" i="37" s="1"/>
  <c r="AM242" i="37"/>
  <c r="U86" i="37"/>
  <c r="AC7" i="37"/>
  <c r="AU242" i="37"/>
  <c r="AC86" i="37"/>
  <c r="AG242" i="37"/>
  <c r="I86" i="37"/>
  <c r="Q86" i="37"/>
  <c r="AI242" i="37"/>
  <c r="S86" i="37"/>
  <c r="S7" i="37"/>
  <c r="AK242" i="37"/>
  <c r="R94" i="37"/>
  <c r="Q5" i="37"/>
  <c r="AH44" i="37"/>
  <c r="L86" i="37"/>
  <c r="L7" i="37"/>
  <c r="AD242" i="37"/>
  <c r="T86" i="37"/>
  <c r="AB86" i="37"/>
  <c r="AB7" i="37"/>
  <c r="AT242" i="37"/>
  <c r="AH66" i="37"/>
  <c r="F94" i="37"/>
  <c r="N94" i="37"/>
  <c r="V94" i="37"/>
  <c r="AD94" i="37"/>
  <c r="E228" i="37"/>
  <c r="G94" i="37"/>
  <c r="O94" i="37"/>
  <c r="W94" i="37"/>
  <c r="AE94" i="37"/>
  <c r="D104" i="37"/>
  <c r="AH62" i="37"/>
  <c r="E104" i="37"/>
  <c r="H227" i="37"/>
  <c r="B228" i="37"/>
  <c r="AF86" i="37" l="1"/>
  <c r="AQ242" i="37"/>
  <c r="AF242" i="37"/>
  <c r="H86" i="37"/>
  <c r="H7" i="37"/>
  <c r="AF7" i="37"/>
  <c r="N86" i="37"/>
  <c r="Y86" i="37"/>
  <c r="AL242" i="37"/>
  <c r="O7" i="37"/>
  <c r="P86" i="37"/>
  <c r="AE242" i="37"/>
  <c r="M7" i="37"/>
  <c r="AC242" i="37"/>
  <c r="K86" i="37"/>
  <c r="I7" i="37"/>
  <c r="G7" i="37"/>
  <c r="G86" i="37"/>
  <c r="C237" i="37"/>
  <c r="F86" i="37"/>
  <c r="X242" i="37"/>
  <c r="E7" i="37"/>
  <c r="E86" i="37"/>
  <c r="V242" i="37"/>
  <c r="D7" i="37"/>
  <c r="C7" i="37"/>
  <c r="U242" i="37"/>
  <c r="AI94" i="37"/>
  <c r="AH94" i="37"/>
  <c r="J7" i="37"/>
  <c r="J86" i="37"/>
  <c r="AB242" i="37"/>
  <c r="AH83" i="37"/>
  <c r="AI83" i="37"/>
  <c r="B85" i="37"/>
  <c r="H222" i="37"/>
  <c r="G104" i="37"/>
  <c r="G228" i="37"/>
  <c r="G263" i="37"/>
  <c r="I227" i="37"/>
  <c r="B237" i="37"/>
  <c r="K6" i="37" l="1"/>
  <c r="H263" i="37"/>
  <c r="J227" i="37"/>
  <c r="I222" i="37"/>
  <c r="H228" i="37"/>
  <c r="H104" i="37"/>
  <c r="B86" i="37"/>
  <c r="AI85" i="37"/>
  <c r="B7" i="37"/>
  <c r="A7" i="37" s="1"/>
  <c r="T242" i="37"/>
  <c r="AH85" i="37"/>
  <c r="K227" i="37" l="1"/>
  <c r="I263" i="37"/>
  <c r="I104" i="37"/>
  <c r="J222" i="37"/>
  <c r="AI86" i="37"/>
  <c r="AH86" i="37"/>
  <c r="J104" i="37" l="1"/>
  <c r="K222" i="37"/>
  <c r="J263" i="37"/>
  <c r="L227" i="37"/>
  <c r="K263" i="37" l="1"/>
  <c r="M227" i="37"/>
  <c r="L222" i="37"/>
  <c r="K104" i="37"/>
  <c r="L104" i="37" l="1"/>
  <c r="M222" i="37"/>
  <c r="N227" i="37"/>
  <c r="L263" i="37"/>
  <c r="M263" i="37" l="1"/>
  <c r="O227" i="37"/>
  <c r="N222" i="37"/>
  <c r="M104" i="37"/>
  <c r="N104" i="37" l="1"/>
  <c r="O222" i="37"/>
  <c r="N263" i="37"/>
  <c r="P227" i="37"/>
  <c r="O263" i="37" s="1"/>
  <c r="P222" i="37" l="1"/>
  <c r="O104" i="37"/>
  <c r="AI104" i="37" l="1"/>
  <c r="AH104" i="37"/>
  <c r="X108" i="36" l="1"/>
  <c r="X107" i="36"/>
  <c r="W107" i="36"/>
  <c r="V107" i="36" l="1"/>
  <c r="U107" i="36"/>
  <c r="T107" i="36"/>
  <c r="R107" i="36" l="1"/>
  <c r="R44" i="36"/>
  <c r="R48" i="36"/>
  <c r="R62" i="36"/>
  <c r="R66" i="36"/>
  <c r="R78" i="36"/>
  <c r="R83" i="36" s="1"/>
  <c r="R85" i="36" s="1"/>
  <c r="M107" i="36"/>
  <c r="K107" i="36"/>
  <c r="AI107" i="36" s="1"/>
  <c r="J107" i="36"/>
  <c r="I107" i="36"/>
  <c r="H107" i="36"/>
  <c r="G107" i="36"/>
  <c r="F107" i="36"/>
  <c r="E107" i="36"/>
  <c r="AF267" i="36"/>
  <c r="AE267" i="36"/>
  <c r="AD267" i="36"/>
  <c r="AC267" i="36"/>
  <c r="AB267" i="36"/>
  <c r="AA267" i="36"/>
  <c r="Z267" i="36"/>
  <c r="Y267" i="36"/>
  <c r="X267" i="36"/>
  <c r="W267" i="36"/>
  <c r="V267" i="36"/>
  <c r="U267" i="36"/>
  <c r="T267" i="36"/>
  <c r="S267" i="36"/>
  <c r="R267" i="36"/>
  <c r="Q267" i="36"/>
  <c r="P267" i="36"/>
  <c r="O267" i="36"/>
  <c r="N267" i="36"/>
  <c r="M267" i="36"/>
  <c r="L267" i="36"/>
  <c r="K267" i="36"/>
  <c r="J267" i="36"/>
  <c r="I267" i="36"/>
  <c r="H267" i="36"/>
  <c r="G267" i="36"/>
  <c r="F267" i="36"/>
  <c r="E267" i="36"/>
  <c r="D267" i="36"/>
  <c r="C267" i="36"/>
  <c r="B267" i="36"/>
  <c r="A267" i="36"/>
  <c r="AF266" i="36"/>
  <c r="AE266" i="36"/>
  <c r="AD266" i="36"/>
  <c r="AC266" i="36"/>
  <c r="AB266" i="36"/>
  <c r="AA266" i="36"/>
  <c r="Z266" i="36"/>
  <c r="Y266" i="36"/>
  <c r="X266" i="36"/>
  <c r="W266" i="36"/>
  <c r="V266" i="36"/>
  <c r="U266" i="36"/>
  <c r="T266" i="36"/>
  <c r="S266" i="36"/>
  <c r="R266" i="36"/>
  <c r="Q266" i="36"/>
  <c r="P266" i="36"/>
  <c r="O266" i="36"/>
  <c r="N266" i="36"/>
  <c r="M266" i="36"/>
  <c r="L266" i="36"/>
  <c r="K266" i="36"/>
  <c r="J266" i="36"/>
  <c r="I266" i="36"/>
  <c r="H266" i="36"/>
  <c r="G266" i="36"/>
  <c r="F266" i="36"/>
  <c r="E266" i="36"/>
  <c r="D266" i="36"/>
  <c r="C266" i="36"/>
  <c r="B266" i="36"/>
  <c r="A266" i="36"/>
  <c r="AF265" i="36"/>
  <c r="AE265" i="36"/>
  <c r="AD265" i="36"/>
  <c r="AC265" i="36"/>
  <c r="AB265" i="36"/>
  <c r="AA265" i="36"/>
  <c r="Z265" i="36"/>
  <c r="Y265" i="36"/>
  <c r="X265" i="36"/>
  <c r="W265" i="36"/>
  <c r="V265" i="36"/>
  <c r="U265" i="36"/>
  <c r="T265" i="36"/>
  <c r="S265" i="36"/>
  <c r="R265" i="36"/>
  <c r="Q265" i="36"/>
  <c r="P265" i="36"/>
  <c r="O265" i="36"/>
  <c r="N265" i="36"/>
  <c r="M265" i="36"/>
  <c r="L265" i="36"/>
  <c r="K265" i="36"/>
  <c r="J265" i="36"/>
  <c r="I265" i="36"/>
  <c r="H265" i="36"/>
  <c r="G265" i="36"/>
  <c r="F265" i="36"/>
  <c r="E265" i="36"/>
  <c r="D265" i="36"/>
  <c r="C265" i="36"/>
  <c r="B265" i="36"/>
  <c r="A265" i="36"/>
  <c r="AF264" i="36"/>
  <c r="AE264" i="36"/>
  <c r="AD264" i="36"/>
  <c r="AC264" i="36"/>
  <c r="AB264" i="36"/>
  <c r="AA264" i="36"/>
  <c r="Z264" i="36"/>
  <c r="Y264" i="36"/>
  <c r="X264" i="36"/>
  <c r="W264" i="36"/>
  <c r="V264" i="36"/>
  <c r="U264" i="36"/>
  <c r="T264" i="36"/>
  <c r="S264" i="36"/>
  <c r="R264" i="36"/>
  <c r="Q264" i="36"/>
  <c r="P264" i="36"/>
  <c r="O264" i="36"/>
  <c r="N264" i="36"/>
  <c r="M264" i="36"/>
  <c r="L264" i="36"/>
  <c r="K264" i="36"/>
  <c r="J264" i="36"/>
  <c r="I264" i="36"/>
  <c r="H264" i="36"/>
  <c r="G264" i="36"/>
  <c r="F264" i="36"/>
  <c r="E264" i="36"/>
  <c r="D264" i="36"/>
  <c r="C264" i="36"/>
  <c r="B264" i="36"/>
  <c r="A264" i="36"/>
  <c r="AE263" i="36"/>
  <c r="AD263" i="36"/>
  <c r="AC263" i="36"/>
  <c r="AB263" i="36"/>
  <c r="AA263" i="36"/>
  <c r="Z263" i="36"/>
  <c r="Y263" i="36"/>
  <c r="X263" i="36"/>
  <c r="W263" i="36"/>
  <c r="V263" i="36"/>
  <c r="U263" i="36"/>
  <c r="T263" i="36"/>
  <c r="S263" i="36"/>
  <c r="R263" i="36"/>
  <c r="Q263" i="36"/>
  <c r="P263" i="36"/>
  <c r="B263" i="36"/>
  <c r="S238" i="36"/>
  <c r="AG228" i="36"/>
  <c r="AG61" i="36" s="1"/>
  <c r="AG62" i="36" s="1"/>
  <c r="AG3" i="36" s="1"/>
  <c r="AF228" i="36"/>
  <c r="AE228" i="36"/>
  <c r="AD228" i="36"/>
  <c r="AC228" i="36"/>
  <c r="AB228" i="36"/>
  <c r="AA228" i="36"/>
  <c r="Z228" i="36"/>
  <c r="Y228" i="36"/>
  <c r="X228" i="36"/>
  <c r="W228" i="36"/>
  <c r="V228" i="36"/>
  <c r="U228" i="36"/>
  <c r="T228" i="36"/>
  <c r="S228" i="36"/>
  <c r="R228" i="36"/>
  <c r="Q228" i="36"/>
  <c r="C228" i="36"/>
  <c r="E227" i="36"/>
  <c r="D263" i="36" s="1"/>
  <c r="D227" i="36"/>
  <c r="C263" i="36" s="1"/>
  <c r="B227" i="36"/>
  <c r="AF263" i="36" s="1"/>
  <c r="E226" i="36"/>
  <c r="F226" i="36" s="1"/>
  <c r="G226" i="36" s="1"/>
  <c r="H226" i="36" s="1"/>
  <c r="I226" i="36" s="1"/>
  <c r="J226" i="36" s="1"/>
  <c r="K226" i="36" s="1"/>
  <c r="L226" i="36" s="1"/>
  <c r="M226" i="36" s="1"/>
  <c r="N226" i="36" s="1"/>
  <c r="O226" i="36" s="1"/>
  <c r="P226" i="36" s="1"/>
  <c r="D226" i="36"/>
  <c r="B226" i="36"/>
  <c r="D225" i="36"/>
  <c r="E225" i="36" s="1"/>
  <c r="F225" i="36" s="1"/>
  <c r="G225" i="36" s="1"/>
  <c r="H225" i="36" s="1"/>
  <c r="I225" i="36" s="1"/>
  <c r="B225" i="36"/>
  <c r="E224" i="36"/>
  <c r="F224" i="36" s="1"/>
  <c r="G224" i="36" s="1"/>
  <c r="H224" i="36" s="1"/>
  <c r="D224" i="36"/>
  <c r="B224" i="36"/>
  <c r="E223" i="36"/>
  <c r="F223" i="36" s="1"/>
  <c r="G223" i="36" s="1"/>
  <c r="H223" i="36" s="1"/>
  <c r="I223" i="36" s="1"/>
  <c r="J223" i="36" s="1"/>
  <c r="K223" i="36" s="1"/>
  <c r="L223" i="36" s="1"/>
  <c r="M223" i="36" s="1"/>
  <c r="N223" i="36" s="1"/>
  <c r="O223" i="36" s="1"/>
  <c r="P223" i="36" s="1"/>
  <c r="D223" i="36"/>
  <c r="B223" i="36"/>
  <c r="E222" i="36"/>
  <c r="F222" i="36" s="1"/>
  <c r="D222" i="36"/>
  <c r="B222" i="36"/>
  <c r="B104" i="36" s="1"/>
  <c r="AG220" i="36"/>
  <c r="AF220" i="36"/>
  <c r="AE220" i="36"/>
  <c r="AD220" i="36"/>
  <c r="AC220" i="36"/>
  <c r="AB220" i="36"/>
  <c r="AA220" i="36"/>
  <c r="Z220" i="36"/>
  <c r="Y220" i="36"/>
  <c r="X220" i="36"/>
  <c r="W220" i="36"/>
  <c r="V220" i="36"/>
  <c r="U220" i="36"/>
  <c r="T220" i="36"/>
  <c r="S220" i="36"/>
  <c r="R220" i="36"/>
  <c r="Q220" i="36"/>
  <c r="P220" i="36"/>
  <c r="O220" i="36"/>
  <c r="N220" i="36"/>
  <c r="M220" i="36"/>
  <c r="L220" i="36"/>
  <c r="K220" i="36"/>
  <c r="J220" i="36"/>
  <c r="I220" i="36"/>
  <c r="H220" i="36"/>
  <c r="G220" i="36"/>
  <c r="F220" i="36"/>
  <c r="E220" i="36"/>
  <c r="D220" i="36"/>
  <c r="C220" i="36"/>
  <c r="B220" i="36"/>
  <c r="AI113" i="36"/>
  <c r="AH113" i="36"/>
  <c r="AI112" i="36"/>
  <c r="AH112" i="36"/>
  <c r="AI111" i="36"/>
  <c r="AH111" i="36"/>
  <c r="AI110" i="36"/>
  <c r="AH110" i="36"/>
  <c r="AI109" i="36"/>
  <c r="AH109" i="36"/>
  <c r="AI108" i="36"/>
  <c r="AH108" i="36"/>
  <c r="AI106" i="36"/>
  <c r="AH106" i="36"/>
  <c r="AI105" i="36"/>
  <c r="AH105" i="36"/>
  <c r="AF104" i="36"/>
  <c r="AE104" i="36"/>
  <c r="AD104" i="36"/>
  <c r="AC104" i="36"/>
  <c r="AB104" i="36"/>
  <c r="AA104" i="36"/>
  <c r="Z104" i="36"/>
  <c r="X104" i="36"/>
  <c r="W104" i="36"/>
  <c r="V104" i="36"/>
  <c r="U104" i="36"/>
  <c r="T104" i="36"/>
  <c r="S104" i="36"/>
  <c r="R104" i="36"/>
  <c r="Q104" i="36"/>
  <c r="C104" i="36"/>
  <c r="AI103" i="36"/>
  <c r="AH103" i="36"/>
  <c r="AI102" i="36"/>
  <c r="AH102" i="36"/>
  <c r="AI101" i="36"/>
  <c r="AH101" i="36"/>
  <c r="AI100" i="36"/>
  <c r="AH100" i="36"/>
  <c r="AI99" i="36"/>
  <c r="AH99" i="36"/>
  <c r="AI98" i="36"/>
  <c r="AH98" i="36"/>
  <c r="AI97" i="36"/>
  <c r="AH97" i="36"/>
  <c r="AI96" i="36"/>
  <c r="AH96" i="36"/>
  <c r="AI95" i="36"/>
  <c r="AH95" i="36"/>
  <c r="AI93" i="36"/>
  <c r="AH93" i="36"/>
  <c r="AI92" i="36"/>
  <c r="AH92" i="36"/>
  <c r="AI91" i="36"/>
  <c r="AH91" i="36"/>
  <c r="AI90" i="36"/>
  <c r="AH90" i="36"/>
  <c r="AI89" i="36"/>
  <c r="AH89" i="36"/>
  <c r="AI88" i="36"/>
  <c r="AH88" i="36"/>
  <c r="AI87" i="36"/>
  <c r="AH87" i="36"/>
  <c r="AI84" i="36"/>
  <c r="AH84" i="36"/>
  <c r="AI82" i="36"/>
  <c r="AH82" i="36"/>
  <c r="AG82" i="36"/>
  <c r="AI81" i="36"/>
  <c r="AH81" i="36"/>
  <c r="AI80" i="36"/>
  <c r="AH80" i="36"/>
  <c r="AI79" i="36"/>
  <c r="AH79" i="36"/>
  <c r="AN78" i="36"/>
  <c r="AG78" i="36"/>
  <c r="AF78" i="36"/>
  <c r="AE5" i="36" s="1"/>
  <c r="AE78" i="36"/>
  <c r="AD5" i="36" s="1"/>
  <c r="AD78" i="36"/>
  <c r="AD94" i="36" s="1"/>
  <c r="AC78" i="36"/>
  <c r="AB5" i="36" s="1"/>
  <c r="AB78" i="36"/>
  <c r="AB94" i="36" s="1"/>
  <c r="AA78" i="36"/>
  <c r="AA94" i="36" s="1"/>
  <c r="Z78" i="36"/>
  <c r="Y5" i="36" s="1"/>
  <c r="X5" i="36"/>
  <c r="X78" i="36"/>
  <c r="W5" i="36" s="1"/>
  <c r="W78" i="36"/>
  <c r="V5" i="36" s="1"/>
  <c r="V78" i="36"/>
  <c r="V94" i="36" s="1"/>
  <c r="U78" i="36"/>
  <c r="U94" i="36" s="1"/>
  <c r="T78" i="36"/>
  <c r="T94" i="36" s="1"/>
  <c r="S78" i="36"/>
  <c r="S94" i="36" s="1"/>
  <c r="R94" i="36"/>
  <c r="Q78" i="36"/>
  <c r="P5" i="36" s="1"/>
  <c r="P78" i="36"/>
  <c r="O5" i="36" s="1"/>
  <c r="O78" i="36"/>
  <c r="N5" i="36" s="1"/>
  <c r="N78" i="36"/>
  <c r="N94" i="36" s="1"/>
  <c r="M78" i="36"/>
  <c r="L5" i="36" s="1"/>
  <c r="L78" i="36"/>
  <c r="L94" i="36" s="1"/>
  <c r="K78" i="36"/>
  <c r="K94" i="36" s="1"/>
  <c r="J78" i="36"/>
  <c r="I5" i="36" s="1"/>
  <c r="I78" i="36"/>
  <c r="H5" i="36" s="1"/>
  <c r="H78" i="36"/>
  <c r="G5" i="36" s="1"/>
  <c r="G78" i="36"/>
  <c r="F5" i="36" s="1"/>
  <c r="F78" i="36"/>
  <c r="F94" i="36" s="1"/>
  <c r="E78" i="36"/>
  <c r="E94" i="36" s="1"/>
  <c r="D78" i="36"/>
  <c r="D94" i="36" s="1"/>
  <c r="C78" i="36"/>
  <c r="C94" i="36" s="1"/>
  <c r="B78" i="36"/>
  <c r="B94" i="36" s="1"/>
  <c r="AI77" i="36"/>
  <c r="AH77" i="36"/>
  <c r="AN76" i="36"/>
  <c r="AI76" i="36"/>
  <c r="AH76" i="36"/>
  <c r="AN75" i="36"/>
  <c r="AN77" i="36" s="1"/>
  <c r="AI75" i="36"/>
  <c r="AH75" i="36"/>
  <c r="AI74" i="36"/>
  <c r="AH74" i="36"/>
  <c r="AI73" i="36"/>
  <c r="AH73" i="36"/>
  <c r="AI72" i="36"/>
  <c r="AH72" i="36"/>
  <c r="AI71" i="36"/>
  <c r="AH71" i="36"/>
  <c r="AI70" i="36"/>
  <c r="AH70" i="36"/>
  <c r="AI69" i="36"/>
  <c r="AH69" i="36"/>
  <c r="AI68" i="36"/>
  <c r="AH68" i="36"/>
  <c r="AI67" i="36"/>
  <c r="AH67" i="36"/>
  <c r="AG66" i="36"/>
  <c r="AG4" i="36" s="1"/>
  <c r="AF66" i="36"/>
  <c r="AE66" i="36"/>
  <c r="AD66" i="36"/>
  <c r="AC66" i="36"/>
  <c r="AB66" i="36"/>
  <c r="AA66" i="36"/>
  <c r="Z66" i="36"/>
  <c r="X66" i="36"/>
  <c r="W66" i="36"/>
  <c r="V66" i="36"/>
  <c r="U66" i="36"/>
  <c r="T66" i="36"/>
  <c r="S66" i="36"/>
  <c r="Q66" i="36"/>
  <c r="P66" i="36"/>
  <c r="O66" i="36"/>
  <c r="N66" i="36"/>
  <c r="M66" i="36"/>
  <c r="L66" i="36"/>
  <c r="AI65" i="36"/>
  <c r="AH65" i="36"/>
  <c r="AI64" i="36"/>
  <c r="AH64" i="36"/>
  <c r="AI63" i="36"/>
  <c r="AH63" i="36"/>
  <c r="AF62" i="36"/>
  <c r="AE62" i="36"/>
  <c r="AD62" i="36"/>
  <c r="AC62" i="36"/>
  <c r="AB62" i="36"/>
  <c r="AA62" i="36"/>
  <c r="Z62" i="36"/>
  <c r="X62" i="36"/>
  <c r="W62" i="36"/>
  <c r="V62" i="36"/>
  <c r="U62" i="36"/>
  <c r="T62" i="36"/>
  <c r="S62" i="36"/>
  <c r="Q62" i="36"/>
  <c r="P62" i="36"/>
  <c r="O62" i="36"/>
  <c r="N62" i="36"/>
  <c r="M62" i="36"/>
  <c r="L62" i="36"/>
  <c r="K62" i="36"/>
  <c r="J62" i="36"/>
  <c r="I62" i="36"/>
  <c r="H62" i="36"/>
  <c r="G62" i="36"/>
  <c r="F62" i="36"/>
  <c r="E62" i="36"/>
  <c r="D62" i="36"/>
  <c r="C62" i="36"/>
  <c r="B62" i="36"/>
  <c r="AI61" i="36"/>
  <c r="AH61" i="36"/>
  <c r="AI60" i="36"/>
  <c r="AH60" i="36"/>
  <c r="AI59" i="36"/>
  <c r="AH59" i="36"/>
  <c r="AI58" i="36"/>
  <c r="AH58" i="36"/>
  <c r="AI57" i="36"/>
  <c r="AH57" i="36"/>
  <c r="AI56" i="36"/>
  <c r="AH56" i="36"/>
  <c r="AI55" i="36"/>
  <c r="AH55" i="36"/>
  <c r="AI54" i="36"/>
  <c r="AH54" i="36"/>
  <c r="AI53" i="36"/>
  <c r="AH53" i="36"/>
  <c r="AI52" i="36"/>
  <c r="AH52" i="36"/>
  <c r="AI51" i="36"/>
  <c r="AH51" i="36"/>
  <c r="AI50" i="36"/>
  <c r="AH50" i="36"/>
  <c r="AI49" i="36"/>
  <c r="AH49" i="36"/>
  <c r="AG48" i="36"/>
  <c r="AF48" i="36"/>
  <c r="AE48" i="36"/>
  <c r="AD48" i="36"/>
  <c r="AC48" i="36"/>
  <c r="AB48" i="36"/>
  <c r="AA48" i="36"/>
  <c r="Z48" i="36"/>
  <c r="X48" i="36"/>
  <c r="W48" i="36"/>
  <c r="V48" i="36"/>
  <c r="U48" i="36"/>
  <c r="T48" i="36"/>
  <c r="S48" i="36"/>
  <c r="Q48" i="36"/>
  <c r="P48" i="36"/>
  <c r="O48" i="36"/>
  <c r="N48" i="36"/>
  <c r="M48" i="36"/>
  <c r="L48" i="36"/>
  <c r="K48" i="36"/>
  <c r="J48" i="36"/>
  <c r="I48" i="36"/>
  <c r="H48" i="36"/>
  <c r="G48" i="36"/>
  <c r="F48" i="36"/>
  <c r="E48" i="36"/>
  <c r="D48" i="36"/>
  <c r="C48" i="36"/>
  <c r="B48" i="36"/>
  <c r="AI47" i="36"/>
  <c r="AH47" i="36"/>
  <c r="AI46" i="36"/>
  <c r="AH46" i="36"/>
  <c r="AI45" i="36"/>
  <c r="AH45" i="36"/>
  <c r="AG44" i="36"/>
  <c r="AF44" i="36"/>
  <c r="AE44" i="36"/>
  <c r="AD44" i="36"/>
  <c r="AC44" i="36"/>
  <c r="AB44" i="36"/>
  <c r="AA44" i="36"/>
  <c r="Z44" i="36"/>
  <c r="X44" i="36"/>
  <c r="W44" i="36"/>
  <c r="V44" i="36"/>
  <c r="U44" i="36"/>
  <c r="T44" i="36"/>
  <c r="S44" i="36"/>
  <c r="Q44" i="36"/>
  <c r="P44" i="36"/>
  <c r="O44" i="36"/>
  <c r="N44" i="36"/>
  <c r="M44" i="36"/>
  <c r="L44" i="36"/>
  <c r="K44" i="36"/>
  <c r="J44" i="36"/>
  <c r="I44" i="36"/>
  <c r="H44" i="36"/>
  <c r="G44" i="36"/>
  <c r="F44" i="36"/>
  <c r="E44" i="36"/>
  <c r="D44" i="36"/>
  <c r="C44" i="36"/>
  <c r="B44" i="36"/>
  <c r="AI43" i="36"/>
  <c r="AH43" i="36"/>
  <c r="AI42" i="36"/>
  <c r="AH42" i="36"/>
  <c r="AI41" i="36"/>
  <c r="AH41" i="36"/>
  <c r="AI40" i="36"/>
  <c r="AH40" i="36"/>
  <c r="AI39" i="36"/>
  <c r="AH39" i="36"/>
  <c r="AI38" i="36"/>
  <c r="AH38" i="36"/>
  <c r="AI37" i="36"/>
  <c r="AH37" i="36"/>
  <c r="AI36" i="36"/>
  <c r="AH36" i="36"/>
  <c r="AI35" i="36"/>
  <c r="AH35" i="36"/>
  <c r="AI34" i="36"/>
  <c r="AH34" i="36"/>
  <c r="AI33" i="36"/>
  <c r="AH33" i="36"/>
  <c r="AI32" i="36"/>
  <c r="AH32" i="36"/>
  <c r="AI31" i="36"/>
  <c r="AH31" i="36"/>
  <c r="AI30" i="36"/>
  <c r="AH30" i="36"/>
  <c r="AI29" i="36"/>
  <c r="AH29" i="36"/>
  <c r="AI28" i="36"/>
  <c r="AH28" i="36"/>
  <c r="AI27" i="36"/>
  <c r="AH27" i="36"/>
  <c r="AI26" i="36"/>
  <c r="AH26" i="36"/>
  <c r="AI25" i="36"/>
  <c r="AH25" i="36"/>
  <c r="AI24" i="36"/>
  <c r="AH24" i="36"/>
  <c r="AI23" i="36"/>
  <c r="AH23" i="36"/>
  <c r="AI22" i="36"/>
  <c r="AH22" i="36"/>
  <c r="AI21" i="36"/>
  <c r="AH21" i="36"/>
  <c r="AI20" i="36"/>
  <c r="AH20" i="36"/>
  <c r="AI19" i="36"/>
  <c r="AH19" i="36"/>
  <c r="AI18" i="36"/>
  <c r="AH18" i="36"/>
  <c r="AI17" i="36"/>
  <c r="AH17" i="36"/>
  <c r="AI16" i="36"/>
  <c r="AH16" i="36"/>
  <c r="AI15" i="36"/>
  <c r="AH15" i="36"/>
  <c r="AI14" i="36"/>
  <c r="AH14" i="36"/>
  <c r="AI13" i="36"/>
  <c r="AH13" i="36"/>
  <c r="AI12" i="36"/>
  <c r="AH12" i="36"/>
  <c r="AI11" i="36"/>
  <c r="AH11" i="36"/>
  <c r="S5" i="36"/>
  <c r="K4" i="36"/>
  <c r="E4" i="36"/>
  <c r="H4" i="36" s="1"/>
  <c r="B4" i="36"/>
  <c r="S239" i="36" s="1"/>
  <c r="AG2" i="36"/>
  <c r="Z107" i="35"/>
  <c r="X107" i="35"/>
  <c r="W107" i="35"/>
  <c r="V107" i="35"/>
  <c r="U107" i="35"/>
  <c r="F227" i="36" l="1"/>
  <c r="X83" i="36"/>
  <c r="X85" i="36" s="1"/>
  <c r="P94" i="36"/>
  <c r="D228" i="36"/>
  <c r="X94" i="36"/>
  <c r="AH107" i="36"/>
  <c r="AE94" i="36"/>
  <c r="AF94" i="36"/>
  <c r="AF83" i="36"/>
  <c r="AF85" i="36" s="1"/>
  <c r="AF86" i="36" s="1"/>
  <c r="AE83" i="36"/>
  <c r="AE85" i="36" s="1"/>
  <c r="AW242" i="36" s="1"/>
  <c r="AC5" i="36"/>
  <c r="AD83" i="36"/>
  <c r="AD85" i="36" s="1"/>
  <c r="AC94" i="36"/>
  <c r="AC83" i="36"/>
  <c r="AC85" i="36" s="1"/>
  <c r="AU242" i="36" s="1"/>
  <c r="AA5" i="36"/>
  <c r="AB83" i="36"/>
  <c r="AB85" i="36" s="1"/>
  <c r="AT242" i="36" s="1"/>
  <c r="Z5" i="36"/>
  <c r="AA83" i="36"/>
  <c r="AA85" i="36" s="1"/>
  <c r="AA7" i="36" s="1"/>
  <c r="Z83" i="36"/>
  <c r="Z85" i="36" s="1"/>
  <c r="Z86" i="36" s="1"/>
  <c r="W94" i="36"/>
  <c r="W83" i="36"/>
  <c r="W85" i="36" s="1"/>
  <c r="AO242" i="36" s="1"/>
  <c r="T5" i="36"/>
  <c r="U5" i="36"/>
  <c r="V83" i="36"/>
  <c r="V85" i="36" s="1"/>
  <c r="AN242" i="36" s="1"/>
  <c r="U83" i="36"/>
  <c r="U85" i="36" s="1"/>
  <c r="T83" i="36"/>
  <c r="T85" i="36" s="1"/>
  <c r="R5" i="36"/>
  <c r="S83" i="36"/>
  <c r="S85" i="36" s="1"/>
  <c r="Q94" i="36"/>
  <c r="Q83" i="36"/>
  <c r="Q85" i="36" s="1"/>
  <c r="Q7" i="36" s="1"/>
  <c r="P83" i="36"/>
  <c r="P85" i="36" s="1"/>
  <c r="P86" i="36" s="1"/>
  <c r="O94" i="36"/>
  <c r="O83" i="36"/>
  <c r="O85" i="36" s="1"/>
  <c r="M5" i="36"/>
  <c r="N83" i="36"/>
  <c r="N85" i="36" s="1"/>
  <c r="M94" i="36"/>
  <c r="M83" i="36"/>
  <c r="M85" i="36" s="1"/>
  <c r="M7" i="36" s="1"/>
  <c r="J5" i="36"/>
  <c r="K5" i="36"/>
  <c r="L83" i="36"/>
  <c r="L85" i="36" s="1"/>
  <c r="L86" i="36" s="1"/>
  <c r="K83" i="36"/>
  <c r="K85" i="36" s="1"/>
  <c r="K86" i="36" s="1"/>
  <c r="J83" i="36"/>
  <c r="J85" i="36" s="1"/>
  <c r="AB242" i="36" s="1"/>
  <c r="I94" i="36"/>
  <c r="I83" i="36"/>
  <c r="I85" i="36" s="1"/>
  <c r="I86" i="36" s="1"/>
  <c r="H94" i="36"/>
  <c r="H83" i="36"/>
  <c r="H85" i="36" s="1"/>
  <c r="H86" i="36" s="1"/>
  <c r="G94" i="36"/>
  <c r="G83" i="36"/>
  <c r="G85" i="36" s="1"/>
  <c r="Y242" i="36" s="1"/>
  <c r="F83" i="36"/>
  <c r="F85" i="36" s="1"/>
  <c r="E5" i="36"/>
  <c r="D5" i="36"/>
  <c r="E83" i="36"/>
  <c r="E85" i="36" s="1"/>
  <c r="E86" i="36" s="1"/>
  <c r="C5" i="36"/>
  <c r="AI48" i="36"/>
  <c r="B5" i="36"/>
  <c r="AH62" i="36"/>
  <c r="D83" i="36"/>
  <c r="D85" i="36" s="1"/>
  <c r="D86" i="36" s="1"/>
  <c r="AI62" i="36"/>
  <c r="B83" i="36"/>
  <c r="X86" i="36"/>
  <c r="X7" i="36"/>
  <c r="AP242" i="36"/>
  <c r="U7" i="36"/>
  <c r="AM242" i="36"/>
  <c r="U86" i="36"/>
  <c r="J225" i="36"/>
  <c r="K225" i="36" s="1"/>
  <c r="L225" i="36" s="1"/>
  <c r="M225" i="36" s="1"/>
  <c r="N225" i="36" s="1"/>
  <c r="O225" i="36" s="1"/>
  <c r="P225" i="36" s="1"/>
  <c r="P7" i="36"/>
  <c r="AH242" i="36"/>
  <c r="AA242" i="36"/>
  <c r="Q86" i="36"/>
  <c r="Y7" i="36"/>
  <c r="AQ242" i="36"/>
  <c r="AG83" i="36"/>
  <c r="X242" i="36"/>
  <c r="F86" i="36"/>
  <c r="F7" i="36"/>
  <c r="AG6" i="36"/>
  <c r="F104" i="36"/>
  <c r="G222" i="36"/>
  <c r="F228" i="36"/>
  <c r="AF242" i="36"/>
  <c r="N86" i="36"/>
  <c r="N7" i="36"/>
  <c r="AV242" i="36"/>
  <c r="AD86" i="36"/>
  <c r="AD7" i="36"/>
  <c r="Z7" i="36"/>
  <c r="AG85" i="36"/>
  <c r="B85" i="36"/>
  <c r="S86" i="36"/>
  <c r="AK242" i="36"/>
  <c r="S7" i="36"/>
  <c r="AA86" i="36"/>
  <c r="R7" i="36"/>
  <c r="R86" i="36"/>
  <c r="AJ242" i="36"/>
  <c r="G86" i="36"/>
  <c r="AG242" i="36"/>
  <c r="O86" i="36"/>
  <c r="O7" i="36"/>
  <c r="T86" i="36"/>
  <c r="AL242" i="36"/>
  <c r="T7" i="36"/>
  <c r="AI78" i="36"/>
  <c r="AF5" i="36"/>
  <c r="AH66" i="36"/>
  <c r="C83" i="36"/>
  <c r="C85" i="36" s="1"/>
  <c r="E228" i="36"/>
  <c r="D239" i="36"/>
  <c r="J94" i="36"/>
  <c r="Z94" i="36"/>
  <c r="Q5" i="36"/>
  <c r="AI66" i="36"/>
  <c r="D104" i="36"/>
  <c r="E104" i="36"/>
  <c r="AH78" i="36"/>
  <c r="AH44" i="36"/>
  <c r="AH48" i="36"/>
  <c r="B228" i="36"/>
  <c r="AI44" i="36"/>
  <c r="O107" i="35"/>
  <c r="N107" i="35"/>
  <c r="I66" i="35"/>
  <c r="J66" i="35"/>
  <c r="K66" i="35"/>
  <c r="L66" i="35"/>
  <c r="H66" i="35"/>
  <c r="D107" i="35"/>
  <c r="D44" i="35"/>
  <c r="D48" i="35"/>
  <c r="D62" i="35"/>
  <c r="D78" i="35"/>
  <c r="D94" i="35" s="1"/>
  <c r="C107" i="35"/>
  <c r="C62" i="35"/>
  <c r="B107" i="35"/>
  <c r="B78" i="35"/>
  <c r="B94" i="35" s="1"/>
  <c r="B66" i="35"/>
  <c r="B62" i="35"/>
  <c r="B48" i="35"/>
  <c r="B44" i="35"/>
  <c r="AF267" i="35"/>
  <c r="AE267" i="35"/>
  <c r="AD267" i="35"/>
  <c r="AC267" i="35"/>
  <c r="AB267" i="35"/>
  <c r="AA267" i="35"/>
  <c r="Z267" i="35"/>
  <c r="Y267" i="35"/>
  <c r="X267" i="35"/>
  <c r="W267" i="35"/>
  <c r="V267" i="35"/>
  <c r="U267" i="35"/>
  <c r="T267" i="35"/>
  <c r="S267" i="35"/>
  <c r="R267" i="35"/>
  <c r="Q267" i="35"/>
  <c r="P267" i="35"/>
  <c r="O267" i="35"/>
  <c r="N267" i="35"/>
  <c r="M267" i="35"/>
  <c r="L267" i="35"/>
  <c r="K267" i="35"/>
  <c r="J267" i="35"/>
  <c r="I267" i="35"/>
  <c r="H267" i="35"/>
  <c r="G267" i="35"/>
  <c r="F267" i="35"/>
  <c r="E267" i="35"/>
  <c r="D267" i="35"/>
  <c r="C267" i="35"/>
  <c r="B267" i="35"/>
  <c r="A267" i="35"/>
  <c r="AF266" i="35"/>
  <c r="AE266" i="35"/>
  <c r="AD266" i="35"/>
  <c r="AC266" i="35"/>
  <c r="AB266" i="35"/>
  <c r="AA266" i="35"/>
  <c r="Z266" i="35"/>
  <c r="Y266" i="35"/>
  <c r="X266" i="35"/>
  <c r="W266" i="35"/>
  <c r="V266" i="35"/>
  <c r="U266" i="35"/>
  <c r="T266" i="35"/>
  <c r="S266" i="35"/>
  <c r="R266" i="35"/>
  <c r="Q266" i="35"/>
  <c r="P266" i="35"/>
  <c r="O266" i="35"/>
  <c r="N266" i="35"/>
  <c r="M266" i="35"/>
  <c r="L266" i="35"/>
  <c r="K266" i="35"/>
  <c r="J266" i="35"/>
  <c r="I266" i="35"/>
  <c r="H266" i="35"/>
  <c r="G266" i="35"/>
  <c r="F266" i="35"/>
  <c r="E266" i="35"/>
  <c r="D266" i="35"/>
  <c r="C266" i="35"/>
  <c r="B266" i="35"/>
  <c r="A266" i="35"/>
  <c r="AF265" i="35"/>
  <c r="AE265" i="35"/>
  <c r="AD265" i="35"/>
  <c r="AC265" i="35"/>
  <c r="AB265" i="35"/>
  <c r="AA265" i="35"/>
  <c r="Z265" i="35"/>
  <c r="Y265" i="35"/>
  <c r="X265" i="35"/>
  <c r="W265" i="35"/>
  <c r="V265" i="35"/>
  <c r="U265" i="35"/>
  <c r="T265" i="35"/>
  <c r="S265" i="35"/>
  <c r="R265" i="35"/>
  <c r="Q265" i="35"/>
  <c r="P265" i="35"/>
  <c r="O265" i="35"/>
  <c r="N265" i="35"/>
  <c r="M265" i="35"/>
  <c r="L265" i="35"/>
  <c r="K265" i="35"/>
  <c r="J265" i="35"/>
  <c r="I265" i="35"/>
  <c r="H265" i="35"/>
  <c r="G265" i="35"/>
  <c r="F265" i="35"/>
  <c r="E265" i="35"/>
  <c r="D265" i="35"/>
  <c r="C265" i="35"/>
  <c r="B265" i="35"/>
  <c r="A265" i="35"/>
  <c r="AF264" i="35"/>
  <c r="AE264" i="35"/>
  <c r="AD264" i="35"/>
  <c r="AC264" i="35"/>
  <c r="AB264" i="35"/>
  <c r="AA264" i="35"/>
  <c r="Z264" i="35"/>
  <c r="Y264" i="35"/>
  <c r="X264" i="35"/>
  <c r="W264" i="35"/>
  <c r="V264" i="35"/>
  <c r="U264" i="35"/>
  <c r="T264" i="35"/>
  <c r="S264" i="35"/>
  <c r="R264" i="35"/>
  <c r="Q264" i="35"/>
  <c r="P264" i="35"/>
  <c r="O264" i="35"/>
  <c r="N264" i="35"/>
  <c r="M264" i="35"/>
  <c r="L264" i="35"/>
  <c r="K264" i="35"/>
  <c r="J264" i="35"/>
  <c r="I264" i="35"/>
  <c r="H264" i="35"/>
  <c r="G264" i="35"/>
  <c r="F264" i="35"/>
  <c r="E264" i="35"/>
  <c r="D264" i="35"/>
  <c r="C264" i="35"/>
  <c r="B264" i="35"/>
  <c r="A264" i="35"/>
  <c r="AE263" i="35"/>
  <c r="AD263" i="35"/>
  <c r="AC263" i="35"/>
  <c r="AB263" i="35"/>
  <c r="AA263" i="35"/>
  <c r="Z263" i="35"/>
  <c r="Y263" i="35"/>
  <c r="X263" i="35"/>
  <c r="W263" i="35"/>
  <c r="V263" i="35"/>
  <c r="U263" i="35"/>
  <c r="T263" i="35"/>
  <c r="S263" i="35"/>
  <c r="R263" i="35"/>
  <c r="Q263" i="35"/>
  <c r="P263" i="35"/>
  <c r="B263" i="35"/>
  <c r="S238" i="35"/>
  <c r="AG228" i="35"/>
  <c r="AF228" i="35"/>
  <c r="AE228" i="35"/>
  <c r="AD228" i="35"/>
  <c r="AC228" i="35"/>
  <c r="AB228" i="35"/>
  <c r="AA228" i="35"/>
  <c r="Z228" i="35"/>
  <c r="Y228" i="35"/>
  <c r="X228" i="35"/>
  <c r="W228" i="35"/>
  <c r="V228" i="35"/>
  <c r="U228" i="35"/>
  <c r="T228" i="35"/>
  <c r="S228" i="35"/>
  <c r="R228" i="35"/>
  <c r="Q228" i="35"/>
  <c r="C228" i="35"/>
  <c r="D227" i="35"/>
  <c r="E227" i="35" s="1"/>
  <c r="D263" i="35" s="1"/>
  <c r="B227" i="35"/>
  <c r="AF263" i="35" s="1"/>
  <c r="E226" i="35"/>
  <c r="F226" i="35" s="1"/>
  <c r="G226" i="35" s="1"/>
  <c r="H226" i="35" s="1"/>
  <c r="I226" i="35" s="1"/>
  <c r="J226" i="35" s="1"/>
  <c r="K226" i="35" s="1"/>
  <c r="L226" i="35" s="1"/>
  <c r="M226" i="35" s="1"/>
  <c r="N226" i="35" s="1"/>
  <c r="O226" i="35" s="1"/>
  <c r="P226" i="35" s="1"/>
  <c r="D226" i="35"/>
  <c r="B226" i="35"/>
  <c r="D225" i="35"/>
  <c r="E225" i="35" s="1"/>
  <c r="F225" i="35" s="1"/>
  <c r="G225" i="35" s="1"/>
  <c r="H225" i="35" s="1"/>
  <c r="I225" i="35" s="1"/>
  <c r="B225" i="35"/>
  <c r="D224" i="35"/>
  <c r="E224" i="35" s="1"/>
  <c r="F224" i="35" s="1"/>
  <c r="G224" i="35" s="1"/>
  <c r="H224" i="35" s="1"/>
  <c r="B224" i="35"/>
  <c r="D223" i="35"/>
  <c r="E223" i="35" s="1"/>
  <c r="F223" i="35" s="1"/>
  <c r="G223" i="35" s="1"/>
  <c r="H223" i="35" s="1"/>
  <c r="I223" i="35" s="1"/>
  <c r="J223" i="35" s="1"/>
  <c r="K223" i="35" s="1"/>
  <c r="L223" i="35" s="1"/>
  <c r="M223" i="35" s="1"/>
  <c r="N223" i="35" s="1"/>
  <c r="O223" i="35" s="1"/>
  <c r="P223" i="35" s="1"/>
  <c r="B223" i="35"/>
  <c r="D222" i="35"/>
  <c r="B222" i="35"/>
  <c r="B104" i="35" s="1"/>
  <c r="AG220" i="35"/>
  <c r="AF220" i="35"/>
  <c r="AE220" i="35"/>
  <c r="AD220" i="35"/>
  <c r="AC220" i="35"/>
  <c r="AB220" i="35"/>
  <c r="AA220" i="35"/>
  <c r="Z220" i="35"/>
  <c r="Y220" i="35"/>
  <c r="X220" i="35"/>
  <c r="W220" i="35"/>
  <c r="V220" i="35"/>
  <c r="U220" i="35"/>
  <c r="T220" i="35"/>
  <c r="S220" i="35"/>
  <c r="R220" i="35"/>
  <c r="Q220" i="35"/>
  <c r="P220" i="35"/>
  <c r="O220" i="35"/>
  <c r="N220" i="35"/>
  <c r="M220" i="35"/>
  <c r="L220" i="35"/>
  <c r="K220" i="35"/>
  <c r="J220" i="35"/>
  <c r="I220" i="35"/>
  <c r="H220" i="35"/>
  <c r="G220" i="35"/>
  <c r="F220" i="35"/>
  <c r="E220" i="35"/>
  <c r="D220" i="35"/>
  <c r="C220" i="35"/>
  <c r="B220" i="35"/>
  <c r="AI113" i="35"/>
  <c r="AH113" i="35"/>
  <c r="AI112" i="35"/>
  <c r="AH112" i="35"/>
  <c r="AI111" i="35"/>
  <c r="AH111" i="35"/>
  <c r="AI110" i="35"/>
  <c r="AH110" i="35"/>
  <c r="AI109" i="35"/>
  <c r="AH109" i="35"/>
  <c r="AI108" i="35"/>
  <c r="AH108" i="35"/>
  <c r="AI106" i="35"/>
  <c r="AH106" i="35"/>
  <c r="AI105" i="35"/>
  <c r="AH105" i="35"/>
  <c r="AF104" i="35"/>
  <c r="AE104" i="35"/>
  <c r="AD104" i="35"/>
  <c r="AC104" i="35"/>
  <c r="AB104" i="35"/>
  <c r="AA104" i="35"/>
  <c r="Z104" i="35"/>
  <c r="X104" i="35"/>
  <c r="W104" i="35"/>
  <c r="V104" i="35"/>
  <c r="U104" i="35"/>
  <c r="T104" i="35"/>
  <c r="S104" i="35"/>
  <c r="R104" i="35"/>
  <c r="Q104" i="35"/>
  <c r="AI103" i="35"/>
  <c r="AH103" i="35"/>
  <c r="AI102" i="35"/>
  <c r="AH102" i="35"/>
  <c r="AI101" i="35"/>
  <c r="AH101" i="35"/>
  <c r="AI100" i="35"/>
  <c r="AH100" i="35"/>
  <c r="AI99" i="35"/>
  <c r="AH99" i="35"/>
  <c r="AI98" i="35"/>
  <c r="AH98" i="35"/>
  <c r="AI97" i="35"/>
  <c r="AH97" i="35"/>
  <c r="AI96" i="35"/>
  <c r="AH96" i="35"/>
  <c r="AI95" i="35"/>
  <c r="AH95" i="35"/>
  <c r="AI93" i="35"/>
  <c r="AH93" i="35"/>
  <c r="AI92" i="35"/>
  <c r="AH92" i="35"/>
  <c r="AI91" i="35"/>
  <c r="AH91" i="35"/>
  <c r="AI90" i="35"/>
  <c r="AH90" i="35"/>
  <c r="AI89" i="35"/>
  <c r="AH89" i="35"/>
  <c r="AI88" i="35"/>
  <c r="AH88" i="35"/>
  <c r="AI87" i="35"/>
  <c r="AH87" i="35"/>
  <c r="AI84" i="35"/>
  <c r="AH84" i="35"/>
  <c r="AI82" i="35"/>
  <c r="AH82" i="35"/>
  <c r="AG82" i="35"/>
  <c r="AI81" i="35"/>
  <c r="AH81" i="35"/>
  <c r="AI80" i="35"/>
  <c r="AH80" i="35"/>
  <c r="AI79" i="35"/>
  <c r="AH79" i="35"/>
  <c r="AN78" i="35"/>
  <c r="AG78" i="35"/>
  <c r="AF78" i="35"/>
  <c r="AF94" i="35" s="1"/>
  <c r="AE78" i="35"/>
  <c r="AD5" i="35" s="1"/>
  <c r="AD78" i="35"/>
  <c r="AC5" i="35" s="1"/>
  <c r="AC78" i="35"/>
  <c r="AC94" i="35" s="1"/>
  <c r="AB78" i="35"/>
  <c r="AB94" i="35" s="1"/>
  <c r="AA78" i="35"/>
  <c r="AA94" i="35" s="1"/>
  <c r="Z78" i="35"/>
  <c r="Z94" i="35" s="1"/>
  <c r="X78" i="35"/>
  <c r="X94" i="35" s="1"/>
  <c r="W78" i="35"/>
  <c r="W94" i="35" s="1"/>
  <c r="V78" i="35"/>
  <c r="U5" i="35" s="1"/>
  <c r="U78" i="35"/>
  <c r="U94" i="35" s="1"/>
  <c r="T78" i="35"/>
  <c r="T94" i="35" s="1"/>
  <c r="S78" i="35"/>
  <c r="S94" i="35" s="1"/>
  <c r="R78" i="35"/>
  <c r="R94" i="35" s="1"/>
  <c r="Q78" i="35"/>
  <c r="Q94" i="35" s="1"/>
  <c r="P78" i="35"/>
  <c r="P94" i="35" s="1"/>
  <c r="O78" i="35"/>
  <c r="O94" i="35" s="1"/>
  <c r="N78" i="35"/>
  <c r="M5" i="35" s="1"/>
  <c r="M78" i="35"/>
  <c r="M94" i="35" s="1"/>
  <c r="L78" i="35"/>
  <c r="L94" i="35" s="1"/>
  <c r="K78" i="35"/>
  <c r="K94" i="35" s="1"/>
  <c r="J78" i="35"/>
  <c r="J94" i="35" s="1"/>
  <c r="I78" i="35"/>
  <c r="I94" i="35" s="1"/>
  <c r="H78" i="35"/>
  <c r="H94" i="35" s="1"/>
  <c r="G78" i="35"/>
  <c r="F5" i="35" s="1"/>
  <c r="F78" i="35"/>
  <c r="E5" i="35" s="1"/>
  <c r="E78" i="35"/>
  <c r="E94" i="35" s="1"/>
  <c r="C78" i="35"/>
  <c r="C94" i="35" s="1"/>
  <c r="AI77" i="35"/>
  <c r="AH77" i="35"/>
  <c r="AN76" i="35"/>
  <c r="AI76" i="35"/>
  <c r="AH76" i="35"/>
  <c r="AN75" i="35"/>
  <c r="AI75" i="35"/>
  <c r="AH75" i="35"/>
  <c r="AI74" i="35"/>
  <c r="AH74" i="35"/>
  <c r="AI73" i="35"/>
  <c r="AH73" i="35"/>
  <c r="AI72" i="35"/>
  <c r="AH72" i="35"/>
  <c r="AI71" i="35"/>
  <c r="AH71" i="35"/>
  <c r="AI70" i="35"/>
  <c r="AH70" i="35"/>
  <c r="AI69" i="35"/>
  <c r="AH69" i="35"/>
  <c r="AI68" i="35"/>
  <c r="AH68" i="35"/>
  <c r="AI67" i="35"/>
  <c r="AH67" i="35"/>
  <c r="AG66" i="35"/>
  <c r="AF66" i="35"/>
  <c r="AE66" i="35"/>
  <c r="AD66" i="35"/>
  <c r="AC66" i="35"/>
  <c r="AB66" i="35"/>
  <c r="AA66" i="35"/>
  <c r="Z66" i="35"/>
  <c r="X66" i="35"/>
  <c r="W66" i="35"/>
  <c r="V66" i="35"/>
  <c r="U66" i="35"/>
  <c r="T66" i="35"/>
  <c r="S66" i="35"/>
  <c r="R66" i="35"/>
  <c r="Q66" i="35"/>
  <c r="P66" i="35"/>
  <c r="O66" i="35"/>
  <c r="N66" i="35"/>
  <c r="M66" i="35"/>
  <c r="AI65" i="35"/>
  <c r="AH65" i="35"/>
  <c r="AI64" i="35"/>
  <c r="AH64" i="35"/>
  <c r="AI63" i="35"/>
  <c r="AH63" i="35"/>
  <c r="AF62" i="35"/>
  <c r="AE62" i="35"/>
  <c r="AD62" i="35"/>
  <c r="AC62" i="35"/>
  <c r="AB62" i="35"/>
  <c r="AA62" i="35"/>
  <c r="Z62" i="35"/>
  <c r="X62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AI61" i="35"/>
  <c r="AH61" i="35"/>
  <c r="AG61" i="35"/>
  <c r="AG62" i="35" s="1"/>
  <c r="AG3" i="35" s="1"/>
  <c r="AI60" i="35"/>
  <c r="AH60" i="35"/>
  <c r="AI59" i="35"/>
  <c r="AH59" i="35"/>
  <c r="AI58" i="35"/>
  <c r="AH58" i="35"/>
  <c r="AI57" i="35"/>
  <c r="AH57" i="35"/>
  <c r="AI56" i="35"/>
  <c r="AH56" i="35"/>
  <c r="AI55" i="35"/>
  <c r="AH55" i="35"/>
  <c r="AI54" i="35"/>
  <c r="AH54" i="35"/>
  <c r="AI53" i="35"/>
  <c r="AH53" i="35"/>
  <c r="AI52" i="35"/>
  <c r="AH52" i="35"/>
  <c r="AI51" i="35"/>
  <c r="AH51" i="35"/>
  <c r="AI50" i="35"/>
  <c r="AH50" i="35"/>
  <c r="AI49" i="35"/>
  <c r="AH49" i="35"/>
  <c r="AG48" i="35"/>
  <c r="AF48" i="35"/>
  <c r="AE48" i="35"/>
  <c r="AD48" i="35"/>
  <c r="AC48" i="35"/>
  <c r="AB48" i="35"/>
  <c r="AA48" i="35"/>
  <c r="Z48" i="35"/>
  <c r="X48" i="35"/>
  <c r="W48" i="35"/>
  <c r="V48" i="35"/>
  <c r="U48" i="35"/>
  <c r="T48" i="35"/>
  <c r="S48" i="35"/>
  <c r="R48" i="35"/>
  <c r="Q48" i="35"/>
  <c r="P48" i="35"/>
  <c r="O48" i="35"/>
  <c r="N48" i="35"/>
  <c r="M48" i="35"/>
  <c r="L48" i="35"/>
  <c r="K48" i="35"/>
  <c r="J48" i="35"/>
  <c r="I48" i="35"/>
  <c r="H48" i="35"/>
  <c r="G48" i="35"/>
  <c r="F48" i="35"/>
  <c r="E48" i="35"/>
  <c r="C48" i="35"/>
  <c r="AI47" i="35"/>
  <c r="AH47" i="35"/>
  <c r="AI46" i="35"/>
  <c r="AH46" i="35"/>
  <c r="AI45" i="35"/>
  <c r="AH45" i="35"/>
  <c r="AG44" i="35"/>
  <c r="AF44" i="35"/>
  <c r="AE44" i="35"/>
  <c r="AD44" i="35"/>
  <c r="AC44" i="35"/>
  <c r="AB44" i="35"/>
  <c r="AA44" i="35"/>
  <c r="Z44" i="35"/>
  <c r="X44" i="35"/>
  <c r="W44" i="35"/>
  <c r="V44" i="35"/>
  <c r="U44" i="35"/>
  <c r="T44" i="35"/>
  <c r="S44" i="35"/>
  <c r="R44" i="35"/>
  <c r="Q44" i="35"/>
  <c r="P44" i="35"/>
  <c r="O44" i="35"/>
  <c r="N44" i="35"/>
  <c r="M44" i="35"/>
  <c r="L44" i="35"/>
  <c r="K44" i="35"/>
  <c r="J44" i="35"/>
  <c r="I44" i="35"/>
  <c r="H44" i="35"/>
  <c r="G44" i="35"/>
  <c r="F44" i="35"/>
  <c r="E44" i="35"/>
  <c r="C44" i="35"/>
  <c r="AI43" i="35"/>
  <c r="AH43" i="35"/>
  <c r="AI42" i="35"/>
  <c r="AH42" i="35"/>
  <c r="AI41" i="35"/>
  <c r="AH41" i="35"/>
  <c r="AI40" i="35"/>
  <c r="AH40" i="35"/>
  <c r="AI39" i="35"/>
  <c r="AH39" i="35"/>
  <c r="AI38" i="35"/>
  <c r="AH38" i="35"/>
  <c r="AI37" i="35"/>
  <c r="AH37" i="35"/>
  <c r="AI36" i="35"/>
  <c r="AH36" i="35"/>
  <c r="AI35" i="35"/>
  <c r="AH35" i="35"/>
  <c r="AI34" i="35"/>
  <c r="AH34" i="35"/>
  <c r="AI33" i="35"/>
  <c r="AH33" i="35"/>
  <c r="AI32" i="35"/>
  <c r="AH32" i="35"/>
  <c r="AI31" i="35"/>
  <c r="AH31" i="35"/>
  <c r="AI30" i="35"/>
  <c r="AH30" i="35"/>
  <c r="AI29" i="35"/>
  <c r="AH29" i="35"/>
  <c r="AI28" i="35"/>
  <c r="AH28" i="35"/>
  <c r="AI27" i="35"/>
  <c r="AH27" i="35"/>
  <c r="AI26" i="35"/>
  <c r="AH26" i="35"/>
  <c r="AI25" i="35"/>
  <c r="AH25" i="35"/>
  <c r="AI24" i="35"/>
  <c r="AH24" i="35"/>
  <c r="AI23" i="35"/>
  <c r="AH23" i="35"/>
  <c r="AI22" i="35"/>
  <c r="AH22" i="35"/>
  <c r="AI21" i="35"/>
  <c r="AH21" i="35"/>
  <c r="AI20" i="35"/>
  <c r="AH20" i="35"/>
  <c r="AI19" i="35"/>
  <c r="AH19" i="35"/>
  <c r="AI18" i="35"/>
  <c r="AH18" i="35"/>
  <c r="AI17" i="35"/>
  <c r="AH17" i="35"/>
  <c r="AI16" i="35"/>
  <c r="AH16" i="35"/>
  <c r="AI15" i="35"/>
  <c r="AH15" i="35"/>
  <c r="AI14" i="35"/>
  <c r="AH14" i="35"/>
  <c r="AI13" i="35"/>
  <c r="AH13" i="35"/>
  <c r="AI12" i="35"/>
  <c r="AH12" i="35"/>
  <c r="AI11" i="35"/>
  <c r="AH11" i="35"/>
  <c r="T5" i="35"/>
  <c r="Q5" i="35"/>
  <c r="AG4" i="35"/>
  <c r="K4" i="35"/>
  <c r="E4" i="35"/>
  <c r="H4" i="35" s="1"/>
  <c r="B4" i="35"/>
  <c r="S239" i="35" s="1"/>
  <c r="AG2" i="35"/>
  <c r="AF107" i="34"/>
  <c r="AF104" i="34" s="1"/>
  <c r="AF44" i="34"/>
  <c r="AE107" i="34"/>
  <c r="AD44" i="34"/>
  <c r="AD48" i="34"/>
  <c r="AD62" i="34"/>
  <c r="AD66" i="34"/>
  <c r="AD78" i="34"/>
  <c r="AC5" i="34" s="1"/>
  <c r="AD104" i="34"/>
  <c r="AA107" i="34"/>
  <c r="Z107" i="34"/>
  <c r="S66" i="34"/>
  <c r="L107" i="34"/>
  <c r="K107" i="34"/>
  <c r="I107" i="34"/>
  <c r="H107" i="34"/>
  <c r="G107" i="34"/>
  <c r="B66" i="34"/>
  <c r="C66" i="34"/>
  <c r="D66" i="34"/>
  <c r="E66" i="34"/>
  <c r="F66" i="34"/>
  <c r="G66" i="34"/>
  <c r="H66" i="34"/>
  <c r="I66" i="34"/>
  <c r="J66" i="34"/>
  <c r="K66" i="34"/>
  <c r="L66" i="34"/>
  <c r="F107" i="34"/>
  <c r="E107" i="34"/>
  <c r="AI107" i="34" s="1"/>
  <c r="G66" i="33"/>
  <c r="H66" i="33"/>
  <c r="B62" i="34"/>
  <c r="B48" i="34"/>
  <c r="B44" i="34"/>
  <c r="AF267" i="34"/>
  <c r="AE267" i="34"/>
  <c r="AD267" i="34"/>
  <c r="AC267" i="34"/>
  <c r="AB267" i="34"/>
  <c r="AA267" i="34"/>
  <c r="Z267" i="34"/>
  <c r="Y267" i="34"/>
  <c r="X267" i="34"/>
  <c r="W267" i="34"/>
  <c r="V267" i="34"/>
  <c r="U267" i="34"/>
  <c r="T267" i="34"/>
  <c r="S267" i="34"/>
  <c r="R267" i="34"/>
  <c r="Q267" i="34"/>
  <c r="P267" i="34"/>
  <c r="O267" i="34"/>
  <c r="N267" i="34"/>
  <c r="M267" i="34"/>
  <c r="L267" i="34"/>
  <c r="K267" i="34"/>
  <c r="J267" i="34"/>
  <c r="I267" i="34"/>
  <c r="H267" i="34"/>
  <c r="G267" i="34"/>
  <c r="F267" i="34"/>
  <c r="E267" i="34"/>
  <c r="D267" i="34"/>
  <c r="C267" i="34"/>
  <c r="B267" i="34"/>
  <c r="A267" i="34"/>
  <c r="AF266" i="34"/>
  <c r="AE266" i="34"/>
  <c r="AD266" i="34"/>
  <c r="AC266" i="34"/>
  <c r="AB266" i="34"/>
  <c r="AA266" i="34"/>
  <c r="Z266" i="34"/>
  <c r="Y266" i="34"/>
  <c r="X266" i="34"/>
  <c r="W266" i="34"/>
  <c r="V266" i="34"/>
  <c r="U266" i="34"/>
  <c r="T266" i="34"/>
  <c r="S266" i="34"/>
  <c r="R266" i="34"/>
  <c r="Q266" i="34"/>
  <c r="P266" i="34"/>
  <c r="O266" i="34"/>
  <c r="N266" i="34"/>
  <c r="M266" i="34"/>
  <c r="L266" i="34"/>
  <c r="K266" i="34"/>
  <c r="J266" i="34"/>
  <c r="I266" i="34"/>
  <c r="H266" i="34"/>
  <c r="G266" i="34"/>
  <c r="F266" i="34"/>
  <c r="E266" i="34"/>
  <c r="D266" i="34"/>
  <c r="C266" i="34"/>
  <c r="B266" i="34"/>
  <c r="A266" i="34"/>
  <c r="AF265" i="34"/>
  <c r="AE265" i="34"/>
  <c r="AD265" i="34"/>
  <c r="AC265" i="34"/>
  <c r="AB265" i="34"/>
  <c r="AA265" i="34"/>
  <c r="Z265" i="34"/>
  <c r="Y265" i="34"/>
  <c r="X265" i="34"/>
  <c r="W265" i="34"/>
  <c r="V265" i="34"/>
  <c r="U265" i="34"/>
  <c r="T265" i="34"/>
  <c r="S265" i="34"/>
  <c r="R265" i="34"/>
  <c r="Q265" i="34"/>
  <c r="P265" i="34"/>
  <c r="O265" i="34"/>
  <c r="N265" i="34"/>
  <c r="M265" i="34"/>
  <c r="L265" i="34"/>
  <c r="K265" i="34"/>
  <c r="J265" i="34"/>
  <c r="I265" i="34"/>
  <c r="H265" i="34"/>
  <c r="G265" i="34"/>
  <c r="F265" i="34"/>
  <c r="E265" i="34"/>
  <c r="D265" i="34"/>
  <c r="C265" i="34"/>
  <c r="B265" i="34"/>
  <c r="A265" i="34"/>
  <c r="AF264" i="34"/>
  <c r="AE264" i="34"/>
  <c r="AD264" i="34"/>
  <c r="AC264" i="34"/>
  <c r="AB264" i="34"/>
  <c r="AA264" i="34"/>
  <c r="Z264" i="34"/>
  <c r="Y264" i="34"/>
  <c r="X264" i="34"/>
  <c r="W264" i="34"/>
  <c r="V264" i="34"/>
  <c r="U264" i="34"/>
  <c r="T264" i="34"/>
  <c r="S264" i="34"/>
  <c r="R264" i="34"/>
  <c r="Q264" i="34"/>
  <c r="P264" i="34"/>
  <c r="O264" i="34"/>
  <c r="N264" i="34"/>
  <c r="M264" i="34"/>
  <c r="L264" i="34"/>
  <c r="K264" i="34"/>
  <c r="J264" i="34"/>
  <c r="I264" i="34"/>
  <c r="H264" i="34"/>
  <c r="G264" i="34"/>
  <c r="F264" i="34"/>
  <c r="E264" i="34"/>
  <c r="D264" i="34"/>
  <c r="C264" i="34"/>
  <c r="B264" i="34"/>
  <c r="A264" i="34"/>
  <c r="AE263" i="34"/>
  <c r="AD263" i="34"/>
  <c r="AC263" i="34"/>
  <c r="AB263" i="34"/>
  <c r="AA263" i="34"/>
  <c r="Z263" i="34"/>
  <c r="Y263" i="34"/>
  <c r="X263" i="34"/>
  <c r="W263" i="34"/>
  <c r="V263" i="34"/>
  <c r="U263" i="34"/>
  <c r="T263" i="34"/>
  <c r="S263" i="34"/>
  <c r="R263" i="34"/>
  <c r="Q263" i="34"/>
  <c r="P263" i="34"/>
  <c r="B263" i="34"/>
  <c r="S238" i="34"/>
  <c r="AG228" i="34"/>
  <c r="AG61" i="34" s="1"/>
  <c r="AG62" i="34" s="1"/>
  <c r="AG3" i="34" s="1"/>
  <c r="AF228" i="34"/>
  <c r="AE228" i="34"/>
  <c r="AD228" i="34"/>
  <c r="AC228" i="34"/>
  <c r="AB228" i="34"/>
  <c r="AA228" i="34"/>
  <c r="Z228" i="34"/>
  <c r="Y228" i="34"/>
  <c r="X228" i="34"/>
  <c r="W228" i="34"/>
  <c r="V228" i="34"/>
  <c r="U228" i="34"/>
  <c r="T228" i="34"/>
  <c r="S228" i="34"/>
  <c r="R228" i="34"/>
  <c r="Q228" i="34"/>
  <c r="C228" i="34"/>
  <c r="D227" i="34"/>
  <c r="C263" i="34" s="1"/>
  <c r="B227" i="34"/>
  <c r="AF263" i="34" s="1"/>
  <c r="E226" i="34"/>
  <c r="F226" i="34" s="1"/>
  <c r="G226" i="34" s="1"/>
  <c r="H226" i="34" s="1"/>
  <c r="I226" i="34" s="1"/>
  <c r="J226" i="34" s="1"/>
  <c r="K226" i="34" s="1"/>
  <c r="L226" i="34" s="1"/>
  <c r="M226" i="34" s="1"/>
  <c r="N226" i="34" s="1"/>
  <c r="O226" i="34" s="1"/>
  <c r="P226" i="34" s="1"/>
  <c r="D226" i="34"/>
  <c r="B226" i="34"/>
  <c r="D225" i="34"/>
  <c r="B225" i="34"/>
  <c r="E224" i="34"/>
  <c r="F224" i="34" s="1"/>
  <c r="G224" i="34" s="1"/>
  <c r="H224" i="34" s="1"/>
  <c r="D224" i="34"/>
  <c r="B224" i="34"/>
  <c r="E223" i="34"/>
  <c r="F223" i="34" s="1"/>
  <c r="G223" i="34" s="1"/>
  <c r="H223" i="34" s="1"/>
  <c r="I223" i="34" s="1"/>
  <c r="J223" i="34" s="1"/>
  <c r="K223" i="34" s="1"/>
  <c r="L223" i="34" s="1"/>
  <c r="M223" i="34" s="1"/>
  <c r="N223" i="34" s="1"/>
  <c r="O223" i="34" s="1"/>
  <c r="P223" i="34" s="1"/>
  <c r="D223" i="34"/>
  <c r="B223" i="34"/>
  <c r="D222" i="34"/>
  <c r="D104" i="34" s="1"/>
  <c r="B222" i="34"/>
  <c r="B104" i="34" s="1"/>
  <c r="AG220" i="34"/>
  <c r="AF220" i="34"/>
  <c r="AE220" i="34"/>
  <c r="AD220" i="34"/>
  <c r="AC220" i="34"/>
  <c r="AB220" i="34"/>
  <c r="AA220" i="34"/>
  <c r="Z220" i="34"/>
  <c r="Y220" i="34"/>
  <c r="X220" i="34"/>
  <c r="W220" i="34"/>
  <c r="V220" i="34"/>
  <c r="U220" i="34"/>
  <c r="T220" i="34"/>
  <c r="S220" i="34"/>
  <c r="R220" i="34"/>
  <c r="Q220" i="34"/>
  <c r="P220" i="34"/>
  <c r="O220" i="34"/>
  <c r="N220" i="34"/>
  <c r="M220" i="34"/>
  <c r="L220" i="34"/>
  <c r="K220" i="34"/>
  <c r="J220" i="34"/>
  <c r="I220" i="34"/>
  <c r="H220" i="34"/>
  <c r="G220" i="34"/>
  <c r="F220" i="34"/>
  <c r="E220" i="34"/>
  <c r="D220" i="34"/>
  <c r="C220" i="34"/>
  <c r="B220" i="34"/>
  <c r="AI113" i="34"/>
  <c r="AH113" i="34"/>
  <c r="AI112" i="34"/>
  <c r="AH112" i="34"/>
  <c r="AI111" i="34"/>
  <c r="AH111" i="34"/>
  <c r="AI110" i="34"/>
  <c r="AH110" i="34"/>
  <c r="AI109" i="34"/>
  <c r="AH109" i="34"/>
  <c r="AI108" i="34"/>
  <c r="AH108" i="34"/>
  <c r="AI106" i="34"/>
  <c r="AH106" i="34"/>
  <c r="AI105" i="34"/>
  <c r="AH105" i="34"/>
  <c r="AE104" i="34"/>
  <c r="AC104" i="34"/>
  <c r="AB104" i="34"/>
  <c r="AA104" i="34"/>
  <c r="Z104" i="34"/>
  <c r="Y104" i="34"/>
  <c r="X104" i="34"/>
  <c r="W104" i="34"/>
  <c r="V104" i="34"/>
  <c r="U104" i="34"/>
  <c r="T104" i="34"/>
  <c r="S104" i="34"/>
  <c r="R104" i="34"/>
  <c r="Q104" i="34"/>
  <c r="C104" i="34"/>
  <c r="AI103" i="34"/>
  <c r="AH103" i="34"/>
  <c r="AI102" i="34"/>
  <c r="AH102" i="34"/>
  <c r="AI101" i="34"/>
  <c r="AH101" i="34"/>
  <c r="AI100" i="34"/>
  <c r="AH100" i="34"/>
  <c r="AI99" i="34"/>
  <c r="AH99" i="34"/>
  <c r="AI98" i="34"/>
  <c r="AH98" i="34"/>
  <c r="AI97" i="34"/>
  <c r="AH97" i="34"/>
  <c r="AI96" i="34"/>
  <c r="AH96" i="34"/>
  <c r="AI95" i="34"/>
  <c r="AH95" i="34"/>
  <c r="AI93" i="34"/>
  <c r="AH93" i="34"/>
  <c r="AI92" i="34"/>
  <c r="AH92" i="34"/>
  <c r="AI91" i="34"/>
  <c r="AH91" i="34"/>
  <c r="AI90" i="34"/>
  <c r="AH90" i="34"/>
  <c r="AI89" i="34"/>
  <c r="AH89" i="34"/>
  <c r="AI88" i="34"/>
  <c r="AH88" i="34"/>
  <c r="AI87" i="34"/>
  <c r="AH87" i="34"/>
  <c r="AI84" i="34"/>
  <c r="AH84" i="34"/>
  <c r="AI82" i="34"/>
  <c r="AH82" i="34"/>
  <c r="AG82" i="34"/>
  <c r="AI81" i="34"/>
  <c r="AH81" i="34"/>
  <c r="AI80" i="34"/>
  <c r="AH80" i="34"/>
  <c r="AI79" i="34"/>
  <c r="AH79" i="34"/>
  <c r="AN78" i="34"/>
  <c r="AG78" i="34"/>
  <c r="AF78" i="34"/>
  <c r="AE5" i="34" s="1"/>
  <c r="AE78" i="34"/>
  <c r="AE94" i="34" s="1"/>
  <c r="AC78" i="34"/>
  <c r="AC94" i="34" s="1"/>
  <c r="AB78" i="34"/>
  <c r="AB94" i="34" s="1"/>
  <c r="AA78" i="34"/>
  <c r="Z5" i="34" s="1"/>
  <c r="Z78" i="34"/>
  <c r="Z94" i="34" s="1"/>
  <c r="X78" i="34"/>
  <c r="W5" i="34" s="1"/>
  <c r="W78" i="34"/>
  <c r="V5" i="34" s="1"/>
  <c r="V78" i="34"/>
  <c r="V94" i="34" s="1"/>
  <c r="U78" i="34"/>
  <c r="U94" i="34" s="1"/>
  <c r="T78" i="34"/>
  <c r="T94" i="34" s="1"/>
  <c r="S78" i="34"/>
  <c r="R5" i="34" s="1"/>
  <c r="R78" i="34"/>
  <c r="R94" i="34" s="1"/>
  <c r="Q78" i="34"/>
  <c r="Q94" i="34" s="1"/>
  <c r="P78" i="34"/>
  <c r="O5" i="34" s="1"/>
  <c r="O78" i="34"/>
  <c r="N5" i="34" s="1"/>
  <c r="N78" i="34"/>
  <c r="N94" i="34" s="1"/>
  <c r="M78" i="34"/>
  <c r="M94" i="34" s="1"/>
  <c r="L78" i="34"/>
  <c r="L94" i="34" s="1"/>
  <c r="K78" i="34"/>
  <c r="J5" i="34" s="1"/>
  <c r="J78" i="34"/>
  <c r="J94" i="34" s="1"/>
  <c r="I78" i="34"/>
  <c r="I94" i="34" s="1"/>
  <c r="H78" i="34"/>
  <c r="G5" i="34" s="1"/>
  <c r="G78" i="34"/>
  <c r="G94" i="34" s="1"/>
  <c r="F78" i="34"/>
  <c r="F94" i="34" s="1"/>
  <c r="E78" i="34"/>
  <c r="E94" i="34" s="1"/>
  <c r="D78" i="34"/>
  <c r="D94" i="34" s="1"/>
  <c r="C78" i="34"/>
  <c r="B78" i="34"/>
  <c r="AI77" i="34"/>
  <c r="AH77" i="34"/>
  <c r="AN76" i="34"/>
  <c r="AI76" i="34"/>
  <c r="AH76" i="34"/>
  <c r="AN75" i="34"/>
  <c r="AN77" i="34" s="1"/>
  <c r="AI75" i="34"/>
  <c r="AH75" i="34"/>
  <c r="AI74" i="34"/>
  <c r="AH74" i="34"/>
  <c r="AI73" i="34"/>
  <c r="AH73" i="34"/>
  <c r="AI72" i="34"/>
  <c r="AH72" i="34"/>
  <c r="AI71" i="34"/>
  <c r="AH71" i="34"/>
  <c r="AI70" i="34"/>
  <c r="AH70" i="34"/>
  <c r="AI69" i="34"/>
  <c r="AH69" i="34"/>
  <c r="AI68" i="34"/>
  <c r="AH68" i="34"/>
  <c r="AI67" i="34"/>
  <c r="AH67" i="34"/>
  <c r="AG66" i="34"/>
  <c r="AF66" i="34"/>
  <c r="AE66" i="34"/>
  <c r="AC66" i="34"/>
  <c r="AB66" i="34"/>
  <c r="AA66" i="34"/>
  <c r="Z66" i="34"/>
  <c r="X66" i="34"/>
  <c r="W66" i="34"/>
  <c r="V66" i="34"/>
  <c r="U66" i="34"/>
  <c r="T66" i="34"/>
  <c r="R66" i="34"/>
  <c r="Q66" i="34"/>
  <c r="P66" i="34"/>
  <c r="O66" i="34"/>
  <c r="N66" i="34"/>
  <c r="M66" i="34"/>
  <c r="AI65" i="34"/>
  <c r="AH65" i="34"/>
  <c r="AI64" i="34"/>
  <c r="AH64" i="34"/>
  <c r="AI63" i="34"/>
  <c r="AH63" i="34"/>
  <c r="AF62" i="34"/>
  <c r="AE62" i="34"/>
  <c r="AC62" i="34"/>
  <c r="AB62" i="34"/>
  <c r="AA62" i="34"/>
  <c r="Z62" i="34"/>
  <c r="X62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AI61" i="34"/>
  <c r="AH61" i="34"/>
  <c r="AI60" i="34"/>
  <c r="AH60" i="34"/>
  <c r="AI59" i="34"/>
  <c r="AH59" i="34"/>
  <c r="AI58" i="34"/>
  <c r="AH58" i="34"/>
  <c r="AI57" i="34"/>
  <c r="AH57" i="34"/>
  <c r="AI56" i="34"/>
  <c r="AH56" i="34"/>
  <c r="AI55" i="34"/>
  <c r="AH55" i="34"/>
  <c r="AI54" i="34"/>
  <c r="AH54" i="34"/>
  <c r="AI53" i="34"/>
  <c r="AH53" i="34"/>
  <c r="AI52" i="34"/>
  <c r="AH52" i="34"/>
  <c r="AI51" i="34"/>
  <c r="AH51" i="34"/>
  <c r="AI50" i="34"/>
  <c r="AH50" i="34"/>
  <c r="AI49" i="34"/>
  <c r="AH49" i="34"/>
  <c r="AG48" i="34"/>
  <c r="AF48" i="34"/>
  <c r="AE48" i="34"/>
  <c r="AC48" i="34"/>
  <c r="AB48" i="34"/>
  <c r="AA48" i="34"/>
  <c r="Z48" i="34"/>
  <c r="X48" i="34"/>
  <c r="W48" i="34"/>
  <c r="V48" i="34"/>
  <c r="U48" i="34"/>
  <c r="T48" i="34"/>
  <c r="S48" i="34"/>
  <c r="R48" i="34"/>
  <c r="Q48" i="34"/>
  <c r="P48" i="34"/>
  <c r="O48" i="34"/>
  <c r="N48" i="34"/>
  <c r="M48" i="34"/>
  <c r="L48" i="34"/>
  <c r="K48" i="34"/>
  <c r="J48" i="34"/>
  <c r="I48" i="34"/>
  <c r="H48" i="34"/>
  <c r="G48" i="34"/>
  <c r="F48" i="34"/>
  <c r="E48" i="34"/>
  <c r="D48" i="34"/>
  <c r="C48" i="34"/>
  <c r="AI47" i="34"/>
  <c r="AH47" i="34"/>
  <c r="AI46" i="34"/>
  <c r="AH46" i="34"/>
  <c r="AI45" i="34"/>
  <c r="AH45" i="34"/>
  <c r="AG44" i="34"/>
  <c r="AG83" i="34" s="1"/>
  <c r="AE44" i="34"/>
  <c r="AC44" i="34"/>
  <c r="AB44" i="34"/>
  <c r="AA44" i="34"/>
  <c r="Z44" i="34"/>
  <c r="X44" i="34"/>
  <c r="W44" i="34"/>
  <c r="V44" i="34"/>
  <c r="U44" i="34"/>
  <c r="T44" i="34"/>
  <c r="S44" i="34"/>
  <c r="R44" i="34"/>
  <c r="Q44" i="34"/>
  <c r="P44" i="34"/>
  <c r="O44" i="34"/>
  <c r="N44" i="34"/>
  <c r="M44" i="34"/>
  <c r="L44" i="34"/>
  <c r="K44" i="34"/>
  <c r="J44" i="34"/>
  <c r="I44" i="34"/>
  <c r="H44" i="34"/>
  <c r="G44" i="34"/>
  <c r="F44" i="34"/>
  <c r="E44" i="34"/>
  <c r="D44" i="34"/>
  <c r="C44" i="34"/>
  <c r="AI43" i="34"/>
  <c r="AH43" i="34"/>
  <c r="AI42" i="34"/>
  <c r="AH42" i="34"/>
  <c r="AI41" i="34"/>
  <c r="AH41" i="34"/>
  <c r="AI40" i="34"/>
  <c r="AH40" i="34"/>
  <c r="AI39" i="34"/>
  <c r="AH39" i="34"/>
  <c r="AI38" i="34"/>
  <c r="AH38" i="34"/>
  <c r="AI37" i="34"/>
  <c r="AH37" i="34"/>
  <c r="AI36" i="34"/>
  <c r="AH36" i="34"/>
  <c r="AI35" i="34"/>
  <c r="AH35" i="34"/>
  <c r="AI34" i="34"/>
  <c r="AH34" i="34"/>
  <c r="AI33" i="34"/>
  <c r="AH33" i="34"/>
  <c r="AI32" i="34"/>
  <c r="AH32" i="34"/>
  <c r="AI31" i="34"/>
  <c r="AH31" i="34"/>
  <c r="AI30" i="34"/>
  <c r="AH30" i="34"/>
  <c r="AI29" i="34"/>
  <c r="AH29" i="34"/>
  <c r="AI28" i="34"/>
  <c r="AH28" i="34"/>
  <c r="AI27" i="34"/>
  <c r="AH27" i="34"/>
  <c r="AI26" i="34"/>
  <c r="AH26" i="34"/>
  <c r="AI25" i="34"/>
  <c r="AH25" i="34"/>
  <c r="AI24" i="34"/>
  <c r="AH24" i="34"/>
  <c r="AI23" i="34"/>
  <c r="AH23" i="34"/>
  <c r="AI22" i="34"/>
  <c r="AH22" i="34"/>
  <c r="AI21" i="34"/>
  <c r="AH21" i="34"/>
  <c r="AI20" i="34"/>
  <c r="AH20" i="34"/>
  <c r="AI19" i="34"/>
  <c r="AH19" i="34"/>
  <c r="AI18" i="34"/>
  <c r="AH18" i="34"/>
  <c r="AI17" i="34"/>
  <c r="AH17" i="34"/>
  <c r="AI16" i="34"/>
  <c r="AH16" i="34"/>
  <c r="AI15" i="34"/>
  <c r="AH15" i="34"/>
  <c r="AI14" i="34"/>
  <c r="AH14" i="34"/>
  <c r="AI13" i="34"/>
  <c r="AH13" i="34"/>
  <c r="AI12" i="34"/>
  <c r="AH12" i="34"/>
  <c r="AI11" i="34"/>
  <c r="AH11" i="34"/>
  <c r="X5" i="34"/>
  <c r="D5" i="34"/>
  <c r="AG4" i="34"/>
  <c r="K4" i="34"/>
  <c r="E4" i="34"/>
  <c r="H4" i="34" s="1"/>
  <c r="B4" i="34"/>
  <c r="S239" i="34" s="1"/>
  <c r="Z107" i="33"/>
  <c r="X107" i="33"/>
  <c r="X104" i="33" s="1"/>
  <c r="X44" i="33"/>
  <c r="X48" i="33"/>
  <c r="W107" i="33"/>
  <c r="W104" i="33" s="1"/>
  <c r="V107" i="33"/>
  <c r="U107" i="33"/>
  <c r="L107" i="33"/>
  <c r="K107" i="33"/>
  <c r="J107" i="33"/>
  <c r="I107" i="33"/>
  <c r="H107" i="33"/>
  <c r="G107" i="33"/>
  <c r="F107" i="33"/>
  <c r="E107" i="33"/>
  <c r="AF267" i="33"/>
  <c r="AE267" i="33"/>
  <c r="AD267" i="33"/>
  <c r="AC267" i="33"/>
  <c r="AB267" i="33"/>
  <c r="AA267" i="33"/>
  <c r="Z267" i="33"/>
  <c r="Y267" i="33"/>
  <c r="X267" i="33"/>
  <c r="W267" i="33"/>
  <c r="V267" i="33"/>
  <c r="U267" i="33"/>
  <c r="T267" i="33"/>
  <c r="S267" i="33"/>
  <c r="R267" i="33"/>
  <c r="Q267" i="33"/>
  <c r="P267" i="33"/>
  <c r="O267" i="33"/>
  <c r="N267" i="33"/>
  <c r="M267" i="33"/>
  <c r="L267" i="33"/>
  <c r="K267" i="33"/>
  <c r="J267" i="33"/>
  <c r="I267" i="33"/>
  <c r="H267" i="33"/>
  <c r="G267" i="33"/>
  <c r="F267" i="33"/>
  <c r="E267" i="33"/>
  <c r="D267" i="33"/>
  <c r="C267" i="33"/>
  <c r="B267" i="33"/>
  <c r="A267" i="33"/>
  <c r="AF266" i="33"/>
  <c r="AE266" i="33"/>
  <c r="AD266" i="33"/>
  <c r="AC266" i="33"/>
  <c r="AB266" i="33"/>
  <c r="AA266" i="33"/>
  <c r="Z266" i="33"/>
  <c r="Y266" i="33"/>
  <c r="X266" i="33"/>
  <c r="W266" i="33"/>
  <c r="V266" i="33"/>
  <c r="U266" i="33"/>
  <c r="T266" i="33"/>
  <c r="S266" i="33"/>
  <c r="R266" i="33"/>
  <c r="Q266" i="33"/>
  <c r="P266" i="33"/>
  <c r="O266" i="33"/>
  <c r="N266" i="33"/>
  <c r="M266" i="33"/>
  <c r="L266" i="33"/>
  <c r="K266" i="33"/>
  <c r="J266" i="33"/>
  <c r="I266" i="33"/>
  <c r="H266" i="33"/>
  <c r="G266" i="33"/>
  <c r="F266" i="33"/>
  <c r="E266" i="33"/>
  <c r="D266" i="33"/>
  <c r="C266" i="33"/>
  <c r="B266" i="33"/>
  <c r="A266" i="33"/>
  <c r="AF265" i="33"/>
  <c r="AE265" i="33"/>
  <c r="AD265" i="33"/>
  <c r="AC265" i="33"/>
  <c r="AB265" i="33"/>
  <c r="AA265" i="33"/>
  <c r="Z265" i="33"/>
  <c r="Y265" i="33"/>
  <c r="X265" i="33"/>
  <c r="W265" i="33"/>
  <c r="V265" i="33"/>
  <c r="U265" i="33"/>
  <c r="T265" i="33"/>
  <c r="S265" i="33"/>
  <c r="R265" i="33"/>
  <c r="Q265" i="33"/>
  <c r="P265" i="33"/>
  <c r="O265" i="33"/>
  <c r="N265" i="33"/>
  <c r="M265" i="33"/>
  <c r="L265" i="33"/>
  <c r="K265" i="33"/>
  <c r="J265" i="33"/>
  <c r="I265" i="33"/>
  <c r="H265" i="33"/>
  <c r="G265" i="33"/>
  <c r="F265" i="33"/>
  <c r="E265" i="33"/>
  <c r="D265" i="33"/>
  <c r="C265" i="33"/>
  <c r="B265" i="33"/>
  <c r="A265" i="33"/>
  <c r="AF264" i="33"/>
  <c r="AE264" i="33"/>
  <c r="AD264" i="33"/>
  <c r="AC264" i="33"/>
  <c r="AB264" i="33"/>
  <c r="AA264" i="33"/>
  <c r="Z264" i="33"/>
  <c r="Y264" i="33"/>
  <c r="X264" i="33"/>
  <c r="W264" i="33"/>
  <c r="V264" i="33"/>
  <c r="U264" i="33"/>
  <c r="T264" i="33"/>
  <c r="S264" i="33"/>
  <c r="R264" i="33"/>
  <c r="Q264" i="33"/>
  <c r="P264" i="33"/>
  <c r="O264" i="33"/>
  <c r="N264" i="33"/>
  <c r="M264" i="33"/>
  <c r="L264" i="33"/>
  <c r="K264" i="33"/>
  <c r="J264" i="33"/>
  <c r="I264" i="33"/>
  <c r="H264" i="33"/>
  <c r="G264" i="33"/>
  <c r="F264" i="33"/>
  <c r="E264" i="33"/>
  <c r="D264" i="33"/>
  <c r="C264" i="33"/>
  <c r="B264" i="33"/>
  <c r="A264" i="33"/>
  <c r="AE263" i="33"/>
  <c r="AD263" i="33"/>
  <c r="AC263" i="33"/>
  <c r="AB263" i="33"/>
  <c r="AA263" i="33"/>
  <c r="Z263" i="33"/>
  <c r="Y263" i="33"/>
  <c r="X263" i="33"/>
  <c r="W263" i="33"/>
  <c r="V263" i="33"/>
  <c r="U263" i="33"/>
  <c r="T263" i="33"/>
  <c r="S263" i="33"/>
  <c r="R263" i="33"/>
  <c r="Q263" i="33"/>
  <c r="P263" i="33"/>
  <c r="B263" i="33"/>
  <c r="S238" i="33"/>
  <c r="AG228" i="33"/>
  <c r="AG61" i="33" s="1"/>
  <c r="AG62" i="33" s="1"/>
  <c r="AG3" i="33" s="1"/>
  <c r="AF228" i="33"/>
  <c r="AE228" i="33"/>
  <c r="AD228" i="33"/>
  <c r="AC228" i="33"/>
  <c r="AB228" i="33"/>
  <c r="AA228" i="33"/>
  <c r="Z228" i="33"/>
  <c r="Y228" i="33"/>
  <c r="X228" i="33"/>
  <c r="W228" i="33"/>
  <c r="V228" i="33"/>
  <c r="U228" i="33"/>
  <c r="T228" i="33"/>
  <c r="S228" i="33"/>
  <c r="R228" i="33"/>
  <c r="Q228" i="33"/>
  <c r="C228" i="33"/>
  <c r="D227" i="33"/>
  <c r="C263" i="33" s="1"/>
  <c r="B227" i="33"/>
  <c r="AF263" i="33" s="1"/>
  <c r="D226" i="33"/>
  <c r="E226" i="33" s="1"/>
  <c r="F226" i="33" s="1"/>
  <c r="G226" i="33" s="1"/>
  <c r="H226" i="33" s="1"/>
  <c r="I226" i="33" s="1"/>
  <c r="J226" i="33" s="1"/>
  <c r="K226" i="33" s="1"/>
  <c r="L226" i="33" s="1"/>
  <c r="M226" i="33" s="1"/>
  <c r="N226" i="33" s="1"/>
  <c r="O226" i="33" s="1"/>
  <c r="P226" i="33" s="1"/>
  <c r="B226" i="33"/>
  <c r="E225" i="33"/>
  <c r="F225" i="33" s="1"/>
  <c r="G225" i="33" s="1"/>
  <c r="H225" i="33" s="1"/>
  <c r="I225" i="33" s="1"/>
  <c r="D225" i="33"/>
  <c r="B225" i="33"/>
  <c r="D224" i="33"/>
  <c r="E224" i="33" s="1"/>
  <c r="F224" i="33" s="1"/>
  <c r="G224" i="33" s="1"/>
  <c r="H224" i="33" s="1"/>
  <c r="B224" i="33"/>
  <c r="D223" i="33"/>
  <c r="E223" i="33" s="1"/>
  <c r="F223" i="33" s="1"/>
  <c r="G223" i="33" s="1"/>
  <c r="H223" i="33" s="1"/>
  <c r="I223" i="33" s="1"/>
  <c r="J223" i="33" s="1"/>
  <c r="K223" i="33" s="1"/>
  <c r="L223" i="33" s="1"/>
  <c r="M223" i="33" s="1"/>
  <c r="N223" i="33" s="1"/>
  <c r="O223" i="33" s="1"/>
  <c r="P223" i="33" s="1"/>
  <c r="B223" i="33"/>
  <c r="D222" i="33"/>
  <c r="B222" i="33"/>
  <c r="AG220" i="33"/>
  <c r="AF220" i="33"/>
  <c r="AE220" i="33"/>
  <c r="AD220" i="33"/>
  <c r="AC220" i="33"/>
  <c r="AB220" i="33"/>
  <c r="AA220" i="33"/>
  <c r="Z220" i="33"/>
  <c r="Y220" i="33"/>
  <c r="X220" i="33"/>
  <c r="W220" i="33"/>
  <c r="V220" i="33"/>
  <c r="U220" i="33"/>
  <c r="T220" i="33"/>
  <c r="S220" i="33"/>
  <c r="R220" i="33"/>
  <c r="Q220" i="33"/>
  <c r="P220" i="33"/>
  <c r="O220" i="33"/>
  <c r="N220" i="33"/>
  <c r="M220" i="33"/>
  <c r="L220" i="33"/>
  <c r="K220" i="33"/>
  <c r="J220" i="33"/>
  <c r="I220" i="33"/>
  <c r="H220" i="33"/>
  <c r="G220" i="33"/>
  <c r="F220" i="33"/>
  <c r="E220" i="33"/>
  <c r="D220" i="33"/>
  <c r="C220" i="33"/>
  <c r="B220" i="33"/>
  <c r="AI113" i="33"/>
  <c r="AH113" i="33"/>
  <c r="AI112" i="33"/>
  <c r="AH112" i="33"/>
  <c r="AI111" i="33"/>
  <c r="AH111" i="33"/>
  <c r="AI110" i="33"/>
  <c r="AH110" i="33"/>
  <c r="AI109" i="33"/>
  <c r="AH109" i="33"/>
  <c r="AI108" i="33"/>
  <c r="AH108" i="33"/>
  <c r="AI106" i="33"/>
  <c r="AH106" i="33"/>
  <c r="AI105" i="33"/>
  <c r="AH105" i="33"/>
  <c r="AF104" i="33"/>
  <c r="AE104" i="33"/>
  <c r="AD104" i="33"/>
  <c r="AC104" i="33"/>
  <c r="AB104" i="33"/>
  <c r="AA104" i="33"/>
  <c r="Z104" i="33"/>
  <c r="Y104" i="33"/>
  <c r="V104" i="33"/>
  <c r="U104" i="33"/>
  <c r="T104" i="33"/>
  <c r="S104" i="33"/>
  <c r="R104" i="33"/>
  <c r="Q104" i="33"/>
  <c r="C104" i="33"/>
  <c r="AI103" i="33"/>
  <c r="AH103" i="33"/>
  <c r="AI102" i="33"/>
  <c r="AH102" i="33"/>
  <c r="AI101" i="33"/>
  <c r="AH101" i="33"/>
  <c r="AI100" i="33"/>
  <c r="AH100" i="33"/>
  <c r="AI99" i="33"/>
  <c r="AH99" i="33"/>
  <c r="AI98" i="33"/>
  <c r="AH98" i="33"/>
  <c r="AI97" i="33"/>
  <c r="AH97" i="33"/>
  <c r="AI96" i="33"/>
  <c r="AH96" i="33"/>
  <c r="AI95" i="33"/>
  <c r="AH95" i="33"/>
  <c r="AI93" i="33"/>
  <c r="AH93" i="33"/>
  <c r="AI92" i="33"/>
  <c r="AH92" i="33"/>
  <c r="AI91" i="33"/>
  <c r="AH91" i="33"/>
  <c r="AI90" i="33"/>
  <c r="AH90" i="33"/>
  <c r="AI89" i="33"/>
  <c r="AH89" i="33"/>
  <c r="AI88" i="33"/>
  <c r="AH88" i="33"/>
  <c r="AI87" i="33"/>
  <c r="AH87" i="33"/>
  <c r="AI84" i="33"/>
  <c r="AH84" i="33"/>
  <c r="AI82" i="33"/>
  <c r="AH82" i="33"/>
  <c r="AG82" i="33"/>
  <c r="AI81" i="33"/>
  <c r="AH81" i="33"/>
  <c r="AI80" i="33"/>
  <c r="AH80" i="33"/>
  <c r="AI79" i="33"/>
  <c r="AH79" i="33"/>
  <c r="AN78" i="33"/>
  <c r="AG78" i="33"/>
  <c r="AF78" i="33"/>
  <c r="AF94" i="33" s="1"/>
  <c r="AE78" i="33"/>
  <c r="AD5" i="33" s="1"/>
  <c r="AD78" i="33"/>
  <c r="AD94" i="33" s="1"/>
  <c r="AC78" i="33"/>
  <c r="AC94" i="33" s="1"/>
  <c r="AB78" i="33"/>
  <c r="AB94" i="33" s="1"/>
  <c r="AA78" i="33"/>
  <c r="AA94" i="33" s="1"/>
  <c r="Z78" i="33"/>
  <c r="Z94" i="33" s="1"/>
  <c r="Y78" i="33"/>
  <c r="Y94" i="33" s="1"/>
  <c r="X78" i="33"/>
  <c r="X94" i="33" s="1"/>
  <c r="W78" i="33"/>
  <c r="V5" i="33" s="1"/>
  <c r="V78" i="33"/>
  <c r="V94" i="33" s="1"/>
  <c r="U78" i="33"/>
  <c r="U94" i="33" s="1"/>
  <c r="T78" i="33"/>
  <c r="T94" i="33" s="1"/>
  <c r="S78" i="33"/>
  <c r="S94" i="33" s="1"/>
  <c r="R78" i="33"/>
  <c r="R94" i="33" s="1"/>
  <c r="Q78" i="33"/>
  <c r="Q94" i="33" s="1"/>
  <c r="P78" i="33"/>
  <c r="P94" i="33" s="1"/>
  <c r="O78" i="33"/>
  <c r="N5" i="33" s="1"/>
  <c r="N78" i="33"/>
  <c r="N94" i="33" s="1"/>
  <c r="M78" i="33"/>
  <c r="M94" i="33" s="1"/>
  <c r="L78" i="33"/>
  <c r="L94" i="33" s="1"/>
  <c r="K78" i="33"/>
  <c r="K94" i="33" s="1"/>
  <c r="J78" i="33"/>
  <c r="J94" i="33" s="1"/>
  <c r="I78" i="33"/>
  <c r="I94" i="33" s="1"/>
  <c r="H78" i="33"/>
  <c r="H94" i="33" s="1"/>
  <c r="G78" i="33"/>
  <c r="F5" i="33" s="1"/>
  <c r="F78" i="33"/>
  <c r="F94" i="33" s="1"/>
  <c r="E78" i="33"/>
  <c r="E94" i="33" s="1"/>
  <c r="D78" i="33"/>
  <c r="D94" i="33" s="1"/>
  <c r="C78" i="33"/>
  <c r="C94" i="33" s="1"/>
  <c r="B78" i="33"/>
  <c r="B94" i="33" s="1"/>
  <c r="AI77" i="33"/>
  <c r="AH77" i="33"/>
  <c r="AN76" i="33"/>
  <c r="AI76" i="33"/>
  <c r="AH76" i="33"/>
  <c r="AN75" i="33"/>
  <c r="AN77" i="33" s="1"/>
  <c r="AI75" i="33"/>
  <c r="AH75" i="33"/>
  <c r="AI74" i="33"/>
  <c r="AH74" i="33"/>
  <c r="AI73" i="33"/>
  <c r="AH73" i="33"/>
  <c r="AI72" i="33"/>
  <c r="AH72" i="33"/>
  <c r="AI71" i="33"/>
  <c r="AH71" i="33"/>
  <c r="AI70" i="33"/>
  <c r="AH70" i="33"/>
  <c r="AI69" i="33"/>
  <c r="AH69" i="33"/>
  <c r="AI68" i="33"/>
  <c r="AH68" i="33"/>
  <c r="AI67" i="33"/>
  <c r="AH67" i="33"/>
  <c r="AG66" i="33"/>
  <c r="AF66" i="33"/>
  <c r="AE66" i="33"/>
  <c r="AD66" i="33"/>
  <c r="AC66" i="33"/>
  <c r="AB66" i="33"/>
  <c r="AA66" i="33"/>
  <c r="Z66" i="33"/>
  <c r="Y66" i="33"/>
  <c r="X66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AI65" i="33"/>
  <c r="AH65" i="33"/>
  <c r="AI64" i="33"/>
  <c r="AH64" i="33"/>
  <c r="AI63" i="33"/>
  <c r="AH63" i="33"/>
  <c r="AF62" i="33"/>
  <c r="AE62" i="33"/>
  <c r="AD62" i="33"/>
  <c r="AC62" i="33"/>
  <c r="AB62" i="33"/>
  <c r="AA62" i="33"/>
  <c r="Z62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AI61" i="33"/>
  <c r="AH61" i="33"/>
  <c r="AI60" i="33"/>
  <c r="AH60" i="33"/>
  <c r="AI59" i="33"/>
  <c r="AH59" i="33"/>
  <c r="AI58" i="33"/>
  <c r="AH58" i="33"/>
  <c r="AI57" i="33"/>
  <c r="AH57" i="33"/>
  <c r="AI56" i="33"/>
  <c r="AH56" i="33"/>
  <c r="AI55" i="33"/>
  <c r="AH55" i="33"/>
  <c r="AI54" i="33"/>
  <c r="AH54" i="33"/>
  <c r="AI53" i="33"/>
  <c r="AH53" i="33"/>
  <c r="AI52" i="33"/>
  <c r="AH52" i="33"/>
  <c r="AI51" i="33"/>
  <c r="AH51" i="33"/>
  <c r="AI50" i="33"/>
  <c r="AH50" i="33"/>
  <c r="AI49" i="33"/>
  <c r="AH49" i="33"/>
  <c r="AG48" i="33"/>
  <c r="AF48" i="33"/>
  <c r="AE48" i="33"/>
  <c r="AD48" i="33"/>
  <c r="AC48" i="33"/>
  <c r="AB48" i="33"/>
  <c r="AA48" i="33"/>
  <c r="Z48" i="33"/>
  <c r="Y48" i="33"/>
  <c r="W48" i="33"/>
  <c r="V48" i="33"/>
  <c r="U48" i="33"/>
  <c r="T48" i="33"/>
  <c r="S48" i="33"/>
  <c r="R48" i="33"/>
  <c r="Q48" i="33"/>
  <c r="P48" i="33"/>
  <c r="O48" i="33"/>
  <c r="N48" i="33"/>
  <c r="M48" i="33"/>
  <c r="L48" i="33"/>
  <c r="K48" i="33"/>
  <c r="J48" i="33"/>
  <c r="I48" i="33"/>
  <c r="H48" i="33"/>
  <c r="G48" i="33"/>
  <c r="F48" i="33"/>
  <c r="E48" i="33"/>
  <c r="D48" i="33"/>
  <c r="C48" i="33"/>
  <c r="B48" i="33"/>
  <c r="AI47" i="33"/>
  <c r="AH47" i="33"/>
  <c r="AI46" i="33"/>
  <c r="AH46" i="33"/>
  <c r="AI45" i="33"/>
  <c r="AH45" i="33"/>
  <c r="AG44" i="33"/>
  <c r="AG2" i="33" s="1"/>
  <c r="AG6" i="33" s="1"/>
  <c r="AF44" i="33"/>
  <c r="AE44" i="33"/>
  <c r="AD44" i="33"/>
  <c r="AC44" i="33"/>
  <c r="AB44" i="33"/>
  <c r="AA44" i="33"/>
  <c r="Z44" i="33"/>
  <c r="Y44" i="33"/>
  <c r="W44" i="33"/>
  <c r="V44" i="33"/>
  <c r="U44" i="33"/>
  <c r="T44" i="33"/>
  <c r="S44" i="33"/>
  <c r="R44" i="33"/>
  <c r="Q44" i="33"/>
  <c r="P44" i="33"/>
  <c r="O44" i="33"/>
  <c r="N44" i="33"/>
  <c r="M44" i="33"/>
  <c r="L44" i="33"/>
  <c r="K44" i="33"/>
  <c r="J44" i="33"/>
  <c r="I44" i="33"/>
  <c r="H44" i="33"/>
  <c r="G44" i="33"/>
  <c r="F44" i="33"/>
  <c r="E44" i="33"/>
  <c r="D44" i="33"/>
  <c r="C44" i="33"/>
  <c r="B44" i="33"/>
  <c r="AI43" i="33"/>
  <c r="AH43" i="33"/>
  <c r="AI42" i="33"/>
  <c r="AH42" i="33"/>
  <c r="AI41" i="33"/>
  <c r="AH41" i="33"/>
  <c r="AI40" i="33"/>
  <c r="AH40" i="33"/>
  <c r="AI39" i="33"/>
  <c r="AH39" i="33"/>
  <c r="AI38" i="33"/>
  <c r="AH38" i="33"/>
  <c r="AI37" i="33"/>
  <c r="AH37" i="33"/>
  <c r="AI36" i="33"/>
  <c r="AH36" i="33"/>
  <c r="AI35" i="33"/>
  <c r="AH35" i="33"/>
  <c r="AI34" i="33"/>
  <c r="AH34" i="33"/>
  <c r="AI33" i="33"/>
  <c r="AH33" i="33"/>
  <c r="AI32" i="33"/>
  <c r="AH32" i="33"/>
  <c r="AI31" i="33"/>
  <c r="AH31" i="33"/>
  <c r="AI30" i="33"/>
  <c r="AH30" i="33"/>
  <c r="AI29" i="33"/>
  <c r="AH29" i="33"/>
  <c r="AI28" i="33"/>
  <c r="AH28" i="33"/>
  <c r="AI27" i="33"/>
  <c r="AH27" i="33"/>
  <c r="AI26" i="33"/>
  <c r="AH26" i="33"/>
  <c r="AI25" i="33"/>
  <c r="AH25" i="33"/>
  <c r="AI24" i="33"/>
  <c r="AH24" i="33"/>
  <c r="AI23" i="33"/>
  <c r="AH23" i="33"/>
  <c r="AI22" i="33"/>
  <c r="AH22" i="33"/>
  <c r="AI21" i="33"/>
  <c r="AH21" i="33"/>
  <c r="AI20" i="33"/>
  <c r="AH20" i="33"/>
  <c r="AI19" i="33"/>
  <c r="AH19" i="33"/>
  <c r="AI18" i="33"/>
  <c r="AH18" i="33"/>
  <c r="AI17" i="33"/>
  <c r="AH17" i="33"/>
  <c r="AI16" i="33"/>
  <c r="AH16" i="33"/>
  <c r="AI15" i="33"/>
  <c r="AH15" i="33"/>
  <c r="AI14" i="33"/>
  <c r="AH14" i="33"/>
  <c r="AI13" i="33"/>
  <c r="AH13" i="33"/>
  <c r="AI12" i="33"/>
  <c r="AH12" i="33"/>
  <c r="AI11" i="33"/>
  <c r="AH11" i="33"/>
  <c r="I5" i="33"/>
  <c r="AG4" i="33"/>
  <c r="K4" i="33"/>
  <c r="E4" i="33"/>
  <c r="H4" i="33" s="1"/>
  <c r="B4" i="33"/>
  <c r="S239" i="33" s="1"/>
  <c r="AB107" i="32"/>
  <c r="Y82" i="32"/>
  <c r="AI82" i="32" s="1"/>
  <c r="Y62" i="32"/>
  <c r="R107" i="32"/>
  <c r="AI107" i="32" s="1"/>
  <c r="Q48" i="32"/>
  <c r="AF267" i="32"/>
  <c r="AE267" i="32"/>
  <c r="AD267" i="32"/>
  <c r="AC267" i="32"/>
  <c r="AB267" i="32"/>
  <c r="AA267" i="32"/>
  <c r="Z267" i="32"/>
  <c r="Y267" i="32"/>
  <c r="X267" i="32"/>
  <c r="W267" i="32"/>
  <c r="V267" i="32"/>
  <c r="U267" i="32"/>
  <c r="T267" i="32"/>
  <c r="S267" i="32"/>
  <c r="R267" i="32"/>
  <c r="Q267" i="32"/>
  <c r="P267" i="32"/>
  <c r="O267" i="32"/>
  <c r="N267" i="32"/>
  <c r="M267" i="32"/>
  <c r="L267" i="32"/>
  <c r="K267" i="32"/>
  <c r="J267" i="32"/>
  <c r="I267" i="32"/>
  <c r="H267" i="32"/>
  <c r="G267" i="32"/>
  <c r="F267" i="32"/>
  <c r="E267" i="32"/>
  <c r="D267" i="32"/>
  <c r="C267" i="32"/>
  <c r="B267" i="32"/>
  <c r="A267" i="32"/>
  <c r="AF266" i="32"/>
  <c r="AE266" i="32"/>
  <c r="AD266" i="32"/>
  <c r="AC266" i="32"/>
  <c r="AB266" i="32"/>
  <c r="AA266" i="32"/>
  <c r="Z266" i="32"/>
  <c r="Y266" i="32"/>
  <c r="X266" i="32"/>
  <c r="W266" i="32"/>
  <c r="V266" i="32"/>
  <c r="U266" i="32"/>
  <c r="T266" i="32"/>
  <c r="S266" i="32"/>
  <c r="R266" i="32"/>
  <c r="Q266" i="32"/>
  <c r="P266" i="32"/>
  <c r="O266" i="32"/>
  <c r="N266" i="32"/>
  <c r="M266" i="32"/>
  <c r="L266" i="32"/>
  <c r="K266" i="32"/>
  <c r="J266" i="32"/>
  <c r="I266" i="32"/>
  <c r="H266" i="32"/>
  <c r="G266" i="32"/>
  <c r="F266" i="32"/>
  <c r="E266" i="32"/>
  <c r="D266" i="32"/>
  <c r="C266" i="32"/>
  <c r="B266" i="32"/>
  <c r="A266" i="32"/>
  <c r="AF265" i="32"/>
  <c r="AE265" i="32"/>
  <c r="AD265" i="32"/>
  <c r="AC265" i="32"/>
  <c r="AB265" i="32"/>
  <c r="AA265" i="32"/>
  <c r="Z265" i="32"/>
  <c r="Y265" i="32"/>
  <c r="X265" i="32"/>
  <c r="W265" i="32"/>
  <c r="V265" i="32"/>
  <c r="U265" i="32"/>
  <c r="T265" i="32"/>
  <c r="S265" i="32"/>
  <c r="R265" i="32"/>
  <c r="Q265" i="32"/>
  <c r="P265" i="32"/>
  <c r="O265" i="32"/>
  <c r="N265" i="32"/>
  <c r="M265" i="32"/>
  <c r="L265" i="32"/>
  <c r="K265" i="32"/>
  <c r="J265" i="32"/>
  <c r="I265" i="32"/>
  <c r="H265" i="32"/>
  <c r="G265" i="32"/>
  <c r="F265" i="32"/>
  <c r="E265" i="32"/>
  <c r="D265" i="32"/>
  <c r="C265" i="32"/>
  <c r="B265" i="32"/>
  <c r="A265" i="32"/>
  <c r="AF264" i="32"/>
  <c r="AE264" i="32"/>
  <c r="AD264" i="32"/>
  <c r="AC264" i="32"/>
  <c r="AB264" i="32"/>
  <c r="AA264" i="32"/>
  <c r="Z264" i="32"/>
  <c r="Y264" i="32"/>
  <c r="X264" i="32"/>
  <c r="W264" i="32"/>
  <c r="V264" i="32"/>
  <c r="U264" i="32"/>
  <c r="T264" i="32"/>
  <c r="S264" i="32"/>
  <c r="R264" i="32"/>
  <c r="Q264" i="32"/>
  <c r="P264" i="32"/>
  <c r="O264" i="32"/>
  <c r="N264" i="32"/>
  <c r="M264" i="32"/>
  <c r="L264" i="32"/>
  <c r="K264" i="32"/>
  <c r="J264" i="32"/>
  <c r="I264" i="32"/>
  <c r="H264" i="32"/>
  <c r="G264" i="32"/>
  <c r="F264" i="32"/>
  <c r="E264" i="32"/>
  <c r="D264" i="32"/>
  <c r="C264" i="32"/>
  <c r="B264" i="32"/>
  <c r="A264" i="32"/>
  <c r="AE263" i="32"/>
  <c r="AD263" i="32"/>
  <c r="AC263" i="32"/>
  <c r="AB263" i="32"/>
  <c r="AA263" i="32"/>
  <c r="Z263" i="32"/>
  <c r="Y263" i="32"/>
  <c r="X263" i="32"/>
  <c r="W263" i="32"/>
  <c r="V263" i="32"/>
  <c r="U263" i="32"/>
  <c r="T263" i="32"/>
  <c r="S263" i="32"/>
  <c r="R263" i="32"/>
  <c r="Q263" i="32"/>
  <c r="P263" i="32"/>
  <c r="B263" i="32"/>
  <c r="S238" i="32"/>
  <c r="AG228" i="32"/>
  <c r="AF228" i="32"/>
  <c r="AE228" i="32"/>
  <c r="AD228" i="32"/>
  <c r="AC228" i="32"/>
  <c r="AB228" i="32"/>
  <c r="AA228" i="32"/>
  <c r="Z228" i="32"/>
  <c r="Y228" i="32"/>
  <c r="X228" i="32"/>
  <c r="W228" i="32"/>
  <c r="V228" i="32"/>
  <c r="U228" i="32"/>
  <c r="T228" i="32"/>
  <c r="S228" i="32"/>
  <c r="R228" i="32"/>
  <c r="Q228" i="32"/>
  <c r="C228" i="32"/>
  <c r="D227" i="32"/>
  <c r="C263" i="32" s="1"/>
  <c r="B227" i="32"/>
  <c r="AF263" i="32" s="1"/>
  <c r="E226" i="32"/>
  <c r="F226" i="32" s="1"/>
  <c r="G226" i="32" s="1"/>
  <c r="H226" i="32" s="1"/>
  <c r="I226" i="32" s="1"/>
  <c r="J226" i="32" s="1"/>
  <c r="K226" i="32" s="1"/>
  <c r="L226" i="32" s="1"/>
  <c r="M226" i="32" s="1"/>
  <c r="N226" i="32" s="1"/>
  <c r="O226" i="32" s="1"/>
  <c r="P226" i="32" s="1"/>
  <c r="D226" i="32"/>
  <c r="B226" i="32"/>
  <c r="D225" i="32"/>
  <c r="E225" i="32" s="1"/>
  <c r="F225" i="32" s="1"/>
  <c r="G225" i="32" s="1"/>
  <c r="H225" i="32" s="1"/>
  <c r="I225" i="32" s="1"/>
  <c r="B225" i="32"/>
  <c r="D224" i="32"/>
  <c r="E224" i="32" s="1"/>
  <c r="F224" i="32" s="1"/>
  <c r="G224" i="32" s="1"/>
  <c r="H224" i="32" s="1"/>
  <c r="B224" i="32"/>
  <c r="D223" i="32"/>
  <c r="B223" i="32"/>
  <c r="E222" i="32"/>
  <c r="F222" i="32" s="1"/>
  <c r="D222" i="32"/>
  <c r="B222" i="32"/>
  <c r="AG220" i="32"/>
  <c r="AF220" i="32"/>
  <c r="AE220" i="32"/>
  <c r="AD220" i="32"/>
  <c r="AC220" i="32"/>
  <c r="AB220" i="32"/>
  <c r="AA220" i="32"/>
  <c r="Z220" i="32"/>
  <c r="Y220" i="32"/>
  <c r="X220" i="32"/>
  <c r="W220" i="32"/>
  <c r="V220" i="32"/>
  <c r="U220" i="32"/>
  <c r="T220" i="32"/>
  <c r="S220" i="32"/>
  <c r="R220" i="32"/>
  <c r="Q220" i="32"/>
  <c r="P220" i="32"/>
  <c r="O220" i="32"/>
  <c r="N220" i="32"/>
  <c r="M220" i="32"/>
  <c r="L220" i="32"/>
  <c r="K220" i="32"/>
  <c r="J220" i="32"/>
  <c r="I220" i="32"/>
  <c r="H220" i="32"/>
  <c r="G220" i="32"/>
  <c r="F220" i="32"/>
  <c r="E220" i="32"/>
  <c r="D220" i="32"/>
  <c r="C220" i="32"/>
  <c r="B220" i="32"/>
  <c r="AI113" i="32"/>
  <c r="AH113" i="32"/>
  <c r="AI112" i="32"/>
  <c r="AH112" i="32"/>
  <c r="AI111" i="32"/>
  <c r="AH111" i="32"/>
  <c r="AI110" i="32"/>
  <c r="AH110" i="32"/>
  <c r="AI109" i="32"/>
  <c r="AH109" i="32"/>
  <c r="AI108" i="32"/>
  <c r="AH108" i="32"/>
  <c r="AI106" i="32"/>
  <c r="AH106" i="32"/>
  <c r="AI105" i="32"/>
  <c r="AH105" i="32"/>
  <c r="AF104" i="32"/>
  <c r="AE104" i="32"/>
  <c r="AD104" i="32"/>
  <c r="AC104" i="32"/>
  <c r="AB104" i="32"/>
  <c r="AA104" i="32"/>
  <c r="Z104" i="32"/>
  <c r="Y104" i="32"/>
  <c r="X104" i="32"/>
  <c r="W104" i="32"/>
  <c r="V104" i="32"/>
  <c r="U104" i="32"/>
  <c r="T104" i="32"/>
  <c r="S104" i="32"/>
  <c r="Q104" i="32"/>
  <c r="C104" i="32"/>
  <c r="AI103" i="32"/>
  <c r="AH103" i="32"/>
  <c r="AI102" i="32"/>
  <c r="AH102" i="32"/>
  <c r="AI101" i="32"/>
  <c r="AH101" i="32"/>
  <c r="AI100" i="32"/>
  <c r="AH100" i="32"/>
  <c r="AI99" i="32"/>
  <c r="AH99" i="32"/>
  <c r="AI98" i="32"/>
  <c r="AH98" i="32"/>
  <c r="AI97" i="32"/>
  <c r="AH97" i="32"/>
  <c r="AI96" i="32"/>
  <c r="AH96" i="32"/>
  <c r="AI95" i="32"/>
  <c r="AH95" i="32"/>
  <c r="AI93" i="32"/>
  <c r="AH93" i="32"/>
  <c r="AI92" i="32"/>
  <c r="AH92" i="32"/>
  <c r="AI91" i="32"/>
  <c r="AH91" i="32"/>
  <c r="AI90" i="32"/>
  <c r="AH90" i="32"/>
  <c r="AI89" i="32"/>
  <c r="AH89" i="32"/>
  <c r="AI88" i="32"/>
  <c r="AH88" i="32"/>
  <c r="AI87" i="32"/>
  <c r="AH87" i="32"/>
  <c r="AI84" i="32"/>
  <c r="AH84" i="32"/>
  <c r="AH82" i="32"/>
  <c r="AG82" i="32"/>
  <c r="AI81" i="32"/>
  <c r="AH81" i="32"/>
  <c r="AI80" i="32"/>
  <c r="AH80" i="32"/>
  <c r="AI79" i="32"/>
  <c r="AH79" i="32"/>
  <c r="AN78" i="32"/>
  <c r="AG78" i="32"/>
  <c r="AF78" i="32"/>
  <c r="AF94" i="32" s="1"/>
  <c r="AE78" i="32"/>
  <c r="AD5" i="32" s="1"/>
  <c r="AD78" i="32"/>
  <c r="AD94" i="32" s="1"/>
  <c r="AC78" i="32"/>
  <c r="AC94" i="32" s="1"/>
  <c r="AB78" i="32"/>
  <c r="AB94" i="32" s="1"/>
  <c r="AA78" i="32"/>
  <c r="AA94" i="32" s="1"/>
  <c r="Z78" i="32"/>
  <c r="Z94" i="32" s="1"/>
  <c r="Y78" i="32"/>
  <c r="Y94" i="32" s="1"/>
  <c r="X78" i="32"/>
  <c r="X94" i="32" s="1"/>
  <c r="W78" i="32"/>
  <c r="V5" i="32" s="1"/>
  <c r="V78" i="32"/>
  <c r="V94" i="32" s="1"/>
  <c r="U78" i="32"/>
  <c r="U94" i="32" s="1"/>
  <c r="T78" i="32"/>
  <c r="T94" i="32" s="1"/>
  <c r="S78" i="32"/>
  <c r="S94" i="32" s="1"/>
  <c r="R78" i="32"/>
  <c r="R94" i="32" s="1"/>
  <c r="Q78" i="32"/>
  <c r="Q94" i="32" s="1"/>
  <c r="P78" i="32"/>
  <c r="P94" i="32" s="1"/>
  <c r="O78" i="32"/>
  <c r="N5" i="32" s="1"/>
  <c r="N78" i="32"/>
  <c r="N94" i="32" s="1"/>
  <c r="M78" i="32"/>
  <c r="M94" i="32" s="1"/>
  <c r="L78" i="32"/>
  <c r="L94" i="32" s="1"/>
  <c r="K78" i="32"/>
  <c r="K94" i="32" s="1"/>
  <c r="J78" i="32"/>
  <c r="J94" i="32" s="1"/>
  <c r="I78" i="32"/>
  <c r="I94" i="32" s="1"/>
  <c r="H78" i="32"/>
  <c r="H94" i="32" s="1"/>
  <c r="G78" i="32"/>
  <c r="F5" i="32" s="1"/>
  <c r="F78" i="32"/>
  <c r="F94" i="32" s="1"/>
  <c r="E78" i="32"/>
  <c r="E94" i="32" s="1"/>
  <c r="D78" i="32"/>
  <c r="D94" i="32" s="1"/>
  <c r="C78" i="32"/>
  <c r="C94" i="32" s="1"/>
  <c r="B78" i="32"/>
  <c r="B94" i="32" s="1"/>
  <c r="AI77" i="32"/>
  <c r="AH77" i="32"/>
  <c r="AN76" i="32"/>
  <c r="AI76" i="32"/>
  <c r="AH76" i="32"/>
  <c r="AN75" i="32"/>
  <c r="AI75" i="32"/>
  <c r="AH75" i="32"/>
  <c r="AI74" i="32"/>
  <c r="AH74" i="32"/>
  <c r="AI73" i="32"/>
  <c r="AH73" i="32"/>
  <c r="AI72" i="32"/>
  <c r="AH72" i="32"/>
  <c r="AI71" i="32"/>
  <c r="AH71" i="32"/>
  <c r="AI70" i="32"/>
  <c r="AH70" i="32"/>
  <c r="AI69" i="32"/>
  <c r="AH69" i="32"/>
  <c r="AI68" i="32"/>
  <c r="AH68" i="32"/>
  <c r="AI67" i="32"/>
  <c r="AH67" i="32"/>
  <c r="AG66" i="32"/>
  <c r="AF66" i="32"/>
  <c r="AE66" i="32"/>
  <c r="AD66" i="32"/>
  <c r="AC66" i="32"/>
  <c r="AB66" i="32"/>
  <c r="AA66" i="32"/>
  <c r="Z66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AI65" i="32"/>
  <c r="AH65" i="32"/>
  <c r="AI64" i="32"/>
  <c r="AH64" i="32"/>
  <c r="AI63" i="32"/>
  <c r="AH63" i="32"/>
  <c r="AF62" i="32"/>
  <c r="AE62" i="32"/>
  <c r="AD62" i="32"/>
  <c r="AC62" i="32"/>
  <c r="AB62" i="32"/>
  <c r="AA62" i="32"/>
  <c r="Z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AI61" i="32"/>
  <c r="AH61" i="32"/>
  <c r="AG61" i="32"/>
  <c r="AG62" i="32" s="1"/>
  <c r="AG3" i="32" s="1"/>
  <c r="AI60" i="32"/>
  <c r="AH60" i="32"/>
  <c r="AI59" i="32"/>
  <c r="AH59" i="32"/>
  <c r="AI58" i="32"/>
  <c r="AH58" i="32"/>
  <c r="AI57" i="32"/>
  <c r="AH57" i="32"/>
  <c r="AI56" i="32"/>
  <c r="AH56" i="32"/>
  <c r="AI55" i="32"/>
  <c r="AH55" i="32"/>
  <c r="AI54" i="32"/>
  <c r="AH54" i="32"/>
  <c r="AI53" i="32"/>
  <c r="AH53" i="32"/>
  <c r="AI52" i="32"/>
  <c r="AH52" i="32"/>
  <c r="AI51" i="32"/>
  <c r="AH51" i="32"/>
  <c r="AI50" i="32"/>
  <c r="AH50" i="32"/>
  <c r="AI49" i="32"/>
  <c r="AH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B48" i="32"/>
  <c r="AI47" i="32"/>
  <c r="AH47" i="32"/>
  <c r="AI46" i="32"/>
  <c r="AH46" i="32"/>
  <c r="AI45" i="32"/>
  <c r="AH45" i="32"/>
  <c r="AG44" i="32"/>
  <c r="AG2" i="32" s="1"/>
  <c r="AG6" i="32" s="1"/>
  <c r="AF44" i="32"/>
  <c r="AE44" i="32"/>
  <c r="AD44" i="32"/>
  <c r="AC44" i="32"/>
  <c r="AB44" i="32"/>
  <c r="AA44" i="32"/>
  <c r="Z44" i="32"/>
  <c r="Y44" i="32"/>
  <c r="X44" i="32"/>
  <c r="X83" i="32" s="1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AI43" i="32"/>
  <c r="AH43" i="32"/>
  <c r="AI42" i="32"/>
  <c r="AH42" i="32"/>
  <c r="AI41" i="32"/>
  <c r="AH41" i="32"/>
  <c r="AI40" i="32"/>
  <c r="AH40" i="32"/>
  <c r="AI39" i="32"/>
  <c r="AH39" i="32"/>
  <c r="AI38" i="32"/>
  <c r="AH38" i="32"/>
  <c r="AI37" i="32"/>
  <c r="AH37" i="32"/>
  <c r="AI36" i="32"/>
  <c r="AH36" i="32"/>
  <c r="AI35" i="32"/>
  <c r="AH35" i="32"/>
  <c r="AI34" i="32"/>
  <c r="AH34" i="32"/>
  <c r="AI33" i="32"/>
  <c r="AH33" i="32"/>
  <c r="AI32" i="32"/>
  <c r="AH32" i="32"/>
  <c r="AI31" i="32"/>
  <c r="AH31" i="32"/>
  <c r="AI30" i="32"/>
  <c r="AH30" i="32"/>
  <c r="AI29" i="32"/>
  <c r="AH29" i="32"/>
  <c r="AI28" i="32"/>
  <c r="AH28" i="32"/>
  <c r="AI27" i="32"/>
  <c r="AH27" i="32"/>
  <c r="AI26" i="32"/>
  <c r="AH26" i="32"/>
  <c r="AI25" i="32"/>
  <c r="AH25" i="32"/>
  <c r="AI24" i="32"/>
  <c r="AH24" i="32"/>
  <c r="AI23" i="32"/>
  <c r="AH23" i="32"/>
  <c r="AI22" i="32"/>
  <c r="AH22" i="32"/>
  <c r="AI21" i="32"/>
  <c r="AH21" i="32"/>
  <c r="AI20" i="32"/>
  <c r="AH20" i="32"/>
  <c r="AI19" i="32"/>
  <c r="AH19" i="32"/>
  <c r="AI18" i="32"/>
  <c r="AH18" i="32"/>
  <c r="AI17" i="32"/>
  <c r="AH17" i="32"/>
  <c r="AI16" i="32"/>
  <c r="AH16" i="32"/>
  <c r="AI15" i="32"/>
  <c r="AH15" i="32"/>
  <c r="AI14" i="32"/>
  <c r="AH14" i="32"/>
  <c r="AI13" i="32"/>
  <c r="AH13" i="32"/>
  <c r="AI12" i="32"/>
  <c r="AH12" i="32"/>
  <c r="AI11" i="32"/>
  <c r="AH11" i="32"/>
  <c r="O5" i="32"/>
  <c r="AG4" i="32"/>
  <c r="K4" i="32"/>
  <c r="E4" i="32"/>
  <c r="H4" i="32" s="1"/>
  <c r="B4" i="32"/>
  <c r="S239" i="32" s="1"/>
  <c r="Y62" i="31"/>
  <c r="Y44" i="31"/>
  <c r="R107" i="31"/>
  <c r="Q107" i="31"/>
  <c r="Q104" i="31" s="1"/>
  <c r="O107" i="31"/>
  <c r="N107" i="31"/>
  <c r="N44" i="31"/>
  <c r="N48" i="31"/>
  <c r="N62" i="31"/>
  <c r="N66" i="31"/>
  <c r="N78" i="31"/>
  <c r="N94" i="31" s="1"/>
  <c r="M107" i="31"/>
  <c r="AH107" i="31" s="1"/>
  <c r="J44" i="31"/>
  <c r="E4" i="3"/>
  <c r="B4" i="3"/>
  <c r="E4" i="31"/>
  <c r="H4" i="31" s="1"/>
  <c r="B4" i="31"/>
  <c r="S239" i="31" s="1"/>
  <c r="AF267" i="31"/>
  <c r="AE267" i="31"/>
  <c r="AD267" i="31"/>
  <c r="AC267" i="31"/>
  <c r="AB267" i="31"/>
  <c r="AA267" i="31"/>
  <c r="Z267" i="31"/>
  <c r="Y267" i="31"/>
  <c r="X267" i="31"/>
  <c r="W267" i="31"/>
  <c r="V267" i="31"/>
  <c r="U267" i="31"/>
  <c r="T267" i="31"/>
  <c r="S267" i="31"/>
  <c r="R267" i="31"/>
  <c r="Q267" i="31"/>
  <c r="P267" i="31"/>
  <c r="O267" i="31"/>
  <c r="N267" i="31"/>
  <c r="M267" i="31"/>
  <c r="L267" i="31"/>
  <c r="K267" i="31"/>
  <c r="J267" i="31"/>
  <c r="I267" i="31"/>
  <c r="H267" i="31"/>
  <c r="G267" i="31"/>
  <c r="F267" i="31"/>
  <c r="E267" i="31"/>
  <c r="D267" i="31"/>
  <c r="C267" i="31"/>
  <c r="B267" i="31"/>
  <c r="A267" i="31"/>
  <c r="AF266" i="31"/>
  <c r="AE266" i="31"/>
  <c r="AD266" i="31"/>
  <c r="AC266" i="31"/>
  <c r="AB266" i="31"/>
  <c r="AA266" i="31"/>
  <c r="Z266" i="31"/>
  <c r="Y266" i="31"/>
  <c r="X266" i="31"/>
  <c r="W266" i="31"/>
  <c r="V266" i="31"/>
  <c r="U266" i="31"/>
  <c r="T266" i="31"/>
  <c r="S266" i="31"/>
  <c r="R266" i="31"/>
  <c r="Q266" i="31"/>
  <c r="P266" i="31"/>
  <c r="O266" i="31"/>
  <c r="N266" i="31"/>
  <c r="M266" i="31"/>
  <c r="L266" i="31"/>
  <c r="K266" i="31"/>
  <c r="J266" i="31"/>
  <c r="I266" i="31"/>
  <c r="H266" i="31"/>
  <c r="G266" i="31"/>
  <c r="F266" i="31"/>
  <c r="E266" i="31"/>
  <c r="D266" i="31"/>
  <c r="C266" i="31"/>
  <c r="B266" i="31"/>
  <c r="A266" i="31"/>
  <c r="AF265" i="31"/>
  <c r="AE265" i="31"/>
  <c r="AD265" i="31"/>
  <c r="AC265" i="31"/>
  <c r="AB265" i="31"/>
  <c r="AA265" i="31"/>
  <c r="Z265" i="31"/>
  <c r="Y265" i="31"/>
  <c r="X265" i="31"/>
  <c r="W265" i="31"/>
  <c r="V265" i="31"/>
  <c r="U265" i="31"/>
  <c r="T265" i="31"/>
  <c r="S265" i="31"/>
  <c r="R265" i="31"/>
  <c r="Q265" i="31"/>
  <c r="P265" i="31"/>
  <c r="O265" i="31"/>
  <c r="N265" i="31"/>
  <c r="M265" i="31"/>
  <c r="L265" i="31"/>
  <c r="K265" i="31"/>
  <c r="J265" i="31"/>
  <c r="I265" i="31"/>
  <c r="H265" i="31"/>
  <c r="G265" i="31"/>
  <c r="F265" i="31"/>
  <c r="E265" i="31"/>
  <c r="D265" i="31"/>
  <c r="C265" i="31"/>
  <c r="B265" i="31"/>
  <c r="A265" i="31"/>
  <c r="AF264" i="31"/>
  <c r="AE264" i="31"/>
  <c r="AD264" i="31"/>
  <c r="AC264" i="31"/>
  <c r="AB264" i="31"/>
  <c r="AA264" i="31"/>
  <c r="Z264" i="31"/>
  <c r="Y264" i="31"/>
  <c r="X264" i="31"/>
  <c r="W264" i="31"/>
  <c r="V264" i="31"/>
  <c r="U264" i="31"/>
  <c r="T264" i="31"/>
  <c r="S264" i="31"/>
  <c r="R264" i="31"/>
  <c r="Q264" i="31"/>
  <c r="P264" i="31"/>
  <c r="O264" i="31"/>
  <c r="N264" i="31"/>
  <c r="M264" i="31"/>
  <c r="L264" i="31"/>
  <c r="K264" i="31"/>
  <c r="J264" i="31"/>
  <c r="I264" i="31"/>
  <c r="H264" i="31"/>
  <c r="G264" i="31"/>
  <c r="F264" i="31"/>
  <c r="E264" i="31"/>
  <c r="D264" i="31"/>
  <c r="C264" i="31"/>
  <c r="B264" i="31"/>
  <c r="A264" i="31"/>
  <c r="AE263" i="31"/>
  <c r="AD263" i="31"/>
  <c r="AC263" i="31"/>
  <c r="AB263" i="31"/>
  <c r="AA263" i="31"/>
  <c r="Z263" i="31"/>
  <c r="Y263" i="31"/>
  <c r="X263" i="31"/>
  <c r="W263" i="31"/>
  <c r="V263" i="31"/>
  <c r="U263" i="31"/>
  <c r="T263" i="31"/>
  <c r="S263" i="31"/>
  <c r="R263" i="31"/>
  <c r="Q263" i="31"/>
  <c r="P263" i="31"/>
  <c r="C263" i="31"/>
  <c r="B263" i="31"/>
  <c r="S238" i="31"/>
  <c r="AG228" i="31"/>
  <c r="AG61" i="31" s="1"/>
  <c r="AG62" i="31" s="1"/>
  <c r="AG3" i="31" s="1"/>
  <c r="AF228" i="31"/>
  <c r="AE228" i="31"/>
  <c r="AD228" i="31"/>
  <c r="AC228" i="31"/>
  <c r="AB228" i="31"/>
  <c r="AA228" i="31"/>
  <c r="Z228" i="31"/>
  <c r="Y228" i="31"/>
  <c r="X228" i="31"/>
  <c r="W228" i="31"/>
  <c r="V228" i="31"/>
  <c r="U228" i="31"/>
  <c r="T228" i="31"/>
  <c r="S228" i="31"/>
  <c r="R228" i="31"/>
  <c r="Q228" i="31"/>
  <c r="C228" i="31"/>
  <c r="E227" i="31"/>
  <c r="D263" i="31" s="1"/>
  <c r="D227" i="31"/>
  <c r="B227" i="31"/>
  <c r="AF263" i="31" s="1"/>
  <c r="D226" i="31"/>
  <c r="E226" i="31" s="1"/>
  <c r="F226" i="31" s="1"/>
  <c r="G226" i="31" s="1"/>
  <c r="H226" i="31" s="1"/>
  <c r="I226" i="31" s="1"/>
  <c r="J226" i="31" s="1"/>
  <c r="K226" i="31" s="1"/>
  <c r="L226" i="31" s="1"/>
  <c r="M226" i="31" s="1"/>
  <c r="N226" i="31" s="1"/>
  <c r="O226" i="31" s="1"/>
  <c r="P226" i="31" s="1"/>
  <c r="B226" i="31"/>
  <c r="D225" i="31"/>
  <c r="B225" i="31"/>
  <c r="D224" i="31"/>
  <c r="E224" i="31" s="1"/>
  <c r="F224" i="31" s="1"/>
  <c r="G224" i="31" s="1"/>
  <c r="H224" i="31" s="1"/>
  <c r="B224" i="31"/>
  <c r="D223" i="31"/>
  <c r="E223" i="31" s="1"/>
  <c r="F223" i="31" s="1"/>
  <c r="G223" i="31" s="1"/>
  <c r="H223" i="31" s="1"/>
  <c r="I223" i="31" s="1"/>
  <c r="J223" i="31" s="1"/>
  <c r="K223" i="31" s="1"/>
  <c r="L223" i="31" s="1"/>
  <c r="M223" i="31" s="1"/>
  <c r="N223" i="31" s="1"/>
  <c r="O223" i="31" s="1"/>
  <c r="P223" i="31" s="1"/>
  <c r="B223" i="31"/>
  <c r="D222" i="31"/>
  <c r="E222" i="31" s="1"/>
  <c r="B222" i="31"/>
  <c r="B104" i="31" s="1"/>
  <c r="AG220" i="31"/>
  <c r="AF220" i="31"/>
  <c r="AE220" i="31"/>
  <c r="AD220" i="31"/>
  <c r="AC220" i="31"/>
  <c r="AB220" i="31"/>
  <c r="AA220" i="31"/>
  <c r="Z220" i="31"/>
  <c r="Y220" i="31"/>
  <c r="X220" i="31"/>
  <c r="W220" i="31"/>
  <c r="V220" i="31"/>
  <c r="U220" i="31"/>
  <c r="T220" i="31"/>
  <c r="S220" i="31"/>
  <c r="R220" i="31"/>
  <c r="Q220" i="31"/>
  <c r="P220" i="31"/>
  <c r="O220" i="31"/>
  <c r="N220" i="31"/>
  <c r="M220" i="31"/>
  <c r="L220" i="31"/>
  <c r="K220" i="31"/>
  <c r="J220" i="31"/>
  <c r="I220" i="31"/>
  <c r="H220" i="31"/>
  <c r="G220" i="31"/>
  <c r="F220" i="31"/>
  <c r="E220" i="31"/>
  <c r="D220" i="31"/>
  <c r="C220" i="31"/>
  <c r="B220" i="31"/>
  <c r="AI113" i="31"/>
  <c r="AH113" i="31"/>
  <c r="AI112" i="31"/>
  <c r="AH112" i="31"/>
  <c r="AI111" i="31"/>
  <c r="AH111" i="31"/>
  <c r="AI110" i="31"/>
  <c r="AH110" i="31"/>
  <c r="AI109" i="31"/>
  <c r="AH109" i="31"/>
  <c r="AI108" i="31"/>
  <c r="AH108" i="31"/>
  <c r="AI107" i="31"/>
  <c r="AI106" i="31"/>
  <c r="AH106" i="31"/>
  <c r="AI105" i="31"/>
  <c r="AH105" i="31"/>
  <c r="AF104" i="31"/>
  <c r="AE104" i="31"/>
  <c r="AD104" i="31"/>
  <c r="AC104" i="31"/>
  <c r="AB104" i="31"/>
  <c r="AA104" i="31"/>
  <c r="Z104" i="31"/>
  <c r="Y104" i="31"/>
  <c r="X104" i="31"/>
  <c r="W104" i="31"/>
  <c r="V104" i="31"/>
  <c r="U104" i="31"/>
  <c r="T104" i="31"/>
  <c r="S104" i="31"/>
  <c r="R104" i="31"/>
  <c r="D104" i="31"/>
  <c r="C104" i="31"/>
  <c r="AI103" i="31"/>
  <c r="AH103" i="31"/>
  <c r="AI102" i="31"/>
  <c r="AH102" i="31"/>
  <c r="AI101" i="31"/>
  <c r="AH101" i="31"/>
  <c r="AI100" i="31"/>
  <c r="AH100" i="31"/>
  <c r="AI99" i="31"/>
  <c r="AH99" i="31"/>
  <c r="AI98" i="31"/>
  <c r="AH98" i="31"/>
  <c r="AI97" i="31"/>
  <c r="AH97" i="31"/>
  <c r="AI96" i="31"/>
  <c r="AH96" i="31"/>
  <c r="AI95" i="31"/>
  <c r="AH95" i="31"/>
  <c r="R94" i="31"/>
  <c r="AI93" i="31"/>
  <c r="AH93" i="31"/>
  <c r="AI92" i="31"/>
  <c r="AH92" i="31"/>
  <c r="AI91" i="31"/>
  <c r="AH91" i="31"/>
  <c r="AI90" i="31"/>
  <c r="AH90" i="31"/>
  <c r="AI89" i="31"/>
  <c r="AH89" i="31"/>
  <c r="AI88" i="31"/>
  <c r="AH88" i="31"/>
  <c r="AI87" i="31"/>
  <c r="AH87" i="31"/>
  <c r="AI84" i="31"/>
  <c r="AH84" i="31"/>
  <c r="AI82" i="31"/>
  <c r="AH82" i="31"/>
  <c r="AG82" i="31"/>
  <c r="AI81" i="31"/>
  <c r="AH81" i="31"/>
  <c r="AI80" i="31"/>
  <c r="AH80" i="31"/>
  <c r="AI79" i="31"/>
  <c r="AH79" i="31"/>
  <c r="AN78" i="31"/>
  <c r="AG78" i="31"/>
  <c r="AF78" i="31"/>
  <c r="AF94" i="31" s="1"/>
  <c r="AE78" i="31"/>
  <c r="AE94" i="31" s="1"/>
  <c r="AD78" i="31"/>
  <c r="AD94" i="31" s="1"/>
  <c r="AC78" i="31"/>
  <c r="AC94" i="31" s="1"/>
  <c r="AB78" i="31"/>
  <c r="AB94" i="31" s="1"/>
  <c r="AA78" i="31"/>
  <c r="AA94" i="31" s="1"/>
  <c r="Z78" i="31"/>
  <c r="Y5" i="31" s="1"/>
  <c r="Y78" i="31"/>
  <c r="Y94" i="31" s="1"/>
  <c r="X78" i="31"/>
  <c r="X94" i="31" s="1"/>
  <c r="W78" i="31"/>
  <c r="W94" i="31" s="1"/>
  <c r="V78" i="31"/>
  <c r="V94" i="31" s="1"/>
  <c r="U78" i="31"/>
  <c r="U94" i="31" s="1"/>
  <c r="T78" i="31"/>
  <c r="T94" i="31" s="1"/>
  <c r="S78" i="31"/>
  <c r="R5" i="31" s="1"/>
  <c r="R78" i="31"/>
  <c r="Q78" i="31"/>
  <c r="Q94" i="31" s="1"/>
  <c r="P78" i="31"/>
  <c r="P94" i="31" s="1"/>
  <c r="O78" i="31"/>
  <c r="O94" i="31" s="1"/>
  <c r="M78" i="31"/>
  <c r="M94" i="31" s="1"/>
  <c r="L78" i="31"/>
  <c r="L94" i="31" s="1"/>
  <c r="K78" i="31"/>
  <c r="J5" i="31" s="1"/>
  <c r="J78" i="31"/>
  <c r="J94" i="31" s="1"/>
  <c r="I78" i="31"/>
  <c r="I94" i="31" s="1"/>
  <c r="H78" i="31"/>
  <c r="H94" i="31" s="1"/>
  <c r="G78" i="31"/>
  <c r="G94" i="31" s="1"/>
  <c r="F78" i="31"/>
  <c r="F94" i="31" s="1"/>
  <c r="E78" i="31"/>
  <c r="E94" i="31" s="1"/>
  <c r="D78" i="31"/>
  <c r="D94" i="31" s="1"/>
  <c r="C78" i="31"/>
  <c r="C94" i="31" s="1"/>
  <c r="B78" i="31"/>
  <c r="AI77" i="31"/>
  <c r="AH77" i="31"/>
  <c r="AN76" i="31"/>
  <c r="AI76" i="31"/>
  <c r="AH76" i="31"/>
  <c r="AN75" i="31"/>
  <c r="AN77" i="31" s="1"/>
  <c r="AI75" i="31"/>
  <c r="AH75" i="31"/>
  <c r="AI74" i="31"/>
  <c r="AH74" i="31"/>
  <c r="AI73" i="31"/>
  <c r="AH73" i="31"/>
  <c r="AI72" i="31"/>
  <c r="AH72" i="31"/>
  <c r="AI71" i="31"/>
  <c r="AH71" i="31"/>
  <c r="AI70" i="31"/>
  <c r="AH70" i="31"/>
  <c r="AI69" i="31"/>
  <c r="AH69" i="31"/>
  <c r="AI68" i="31"/>
  <c r="AH68" i="31"/>
  <c r="AI67" i="31"/>
  <c r="AH67" i="31"/>
  <c r="AG66" i="31"/>
  <c r="AF66" i="31"/>
  <c r="AE66" i="31"/>
  <c r="AD66" i="31"/>
  <c r="AC66" i="31"/>
  <c r="AB66" i="31"/>
  <c r="AA66" i="31"/>
  <c r="Z66" i="31"/>
  <c r="X66" i="31"/>
  <c r="W66" i="31"/>
  <c r="V66" i="31"/>
  <c r="U66" i="31"/>
  <c r="T66" i="31"/>
  <c r="S66" i="31"/>
  <c r="R66" i="31"/>
  <c r="Q66" i="31"/>
  <c r="P66" i="31"/>
  <c r="O66" i="31"/>
  <c r="M66" i="31"/>
  <c r="L66" i="31"/>
  <c r="AI65" i="31"/>
  <c r="AH65" i="31"/>
  <c r="AI64" i="31"/>
  <c r="AH64" i="31"/>
  <c r="AI63" i="31"/>
  <c r="AH63" i="31"/>
  <c r="AF62" i="31"/>
  <c r="AE62" i="31"/>
  <c r="AD62" i="31"/>
  <c r="AC62" i="31"/>
  <c r="AB62" i="31"/>
  <c r="AA62" i="31"/>
  <c r="Z62" i="31"/>
  <c r="X62" i="31"/>
  <c r="W62" i="31"/>
  <c r="V62" i="31"/>
  <c r="U62" i="31"/>
  <c r="T62" i="31"/>
  <c r="S62" i="31"/>
  <c r="R62" i="31"/>
  <c r="Q62" i="31"/>
  <c r="P62" i="31"/>
  <c r="O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AI61" i="31"/>
  <c r="AH61" i="31"/>
  <c r="AI60" i="31"/>
  <c r="AH60" i="31"/>
  <c r="AI59" i="31"/>
  <c r="AH59" i="31"/>
  <c r="AI58" i="31"/>
  <c r="AH58" i="31"/>
  <c r="AI57" i="31"/>
  <c r="AH57" i="31"/>
  <c r="AI56" i="31"/>
  <c r="AH56" i="31"/>
  <c r="AI55" i="31"/>
  <c r="AH55" i="31"/>
  <c r="AI54" i="31"/>
  <c r="AH54" i="31"/>
  <c r="AI53" i="31"/>
  <c r="AH53" i="31"/>
  <c r="AI52" i="31"/>
  <c r="AH52" i="31"/>
  <c r="AI51" i="31"/>
  <c r="AH51" i="31"/>
  <c r="AI50" i="31"/>
  <c r="AH50" i="31"/>
  <c r="AI49" i="31"/>
  <c r="AH49" i="31"/>
  <c r="AG48" i="31"/>
  <c r="AF48" i="31"/>
  <c r="AE48" i="31"/>
  <c r="AD48" i="31"/>
  <c r="AC48" i="31"/>
  <c r="AB48" i="31"/>
  <c r="AA48" i="31"/>
  <c r="Z48" i="31"/>
  <c r="X48" i="31"/>
  <c r="W48" i="31"/>
  <c r="V48" i="31"/>
  <c r="U48" i="31"/>
  <c r="T48" i="31"/>
  <c r="S48" i="31"/>
  <c r="R48" i="31"/>
  <c r="Q48" i="31"/>
  <c r="P48" i="31"/>
  <c r="O48" i="31"/>
  <c r="M48" i="31"/>
  <c r="L48" i="31"/>
  <c r="K48" i="31"/>
  <c r="J48" i="31"/>
  <c r="I48" i="31"/>
  <c r="H48" i="31"/>
  <c r="G48" i="31"/>
  <c r="F48" i="31"/>
  <c r="E48" i="31"/>
  <c r="D48" i="31"/>
  <c r="C48" i="31"/>
  <c r="B48" i="31"/>
  <c r="AI47" i="31"/>
  <c r="AH47" i="31"/>
  <c r="AI46" i="31"/>
  <c r="AH46" i="31"/>
  <c r="AI45" i="31"/>
  <c r="AH45" i="31"/>
  <c r="AG44" i="31"/>
  <c r="AG83" i="31" s="1"/>
  <c r="AF44" i="31"/>
  <c r="AF83" i="31" s="1"/>
  <c r="AF85" i="31" s="1"/>
  <c r="AE44" i="31"/>
  <c r="AD44" i="31"/>
  <c r="AC44" i="31"/>
  <c r="AB44" i="31"/>
  <c r="AA44" i="31"/>
  <c r="Z44" i="31"/>
  <c r="Z83" i="31" s="1"/>
  <c r="Z85" i="31" s="1"/>
  <c r="Y83" i="31"/>
  <c r="Y85" i="31" s="1"/>
  <c r="X44" i="31"/>
  <c r="W44" i="31"/>
  <c r="V44" i="31"/>
  <c r="U44" i="31"/>
  <c r="T44" i="31"/>
  <c r="S44" i="31"/>
  <c r="R44" i="31"/>
  <c r="Q44" i="31"/>
  <c r="P44" i="31"/>
  <c r="O44" i="31"/>
  <c r="M44" i="31"/>
  <c r="L44" i="31"/>
  <c r="K44" i="31"/>
  <c r="I44" i="31"/>
  <c r="H44" i="31"/>
  <c r="G44" i="31"/>
  <c r="F44" i="31"/>
  <c r="E44" i="31"/>
  <c r="D44" i="31"/>
  <c r="C44" i="31"/>
  <c r="B44" i="31"/>
  <c r="AI43" i="31"/>
  <c r="AH43" i="31"/>
  <c r="AI42" i="31"/>
  <c r="AH42" i="31"/>
  <c r="AI41" i="31"/>
  <c r="AH41" i="31"/>
  <c r="AI40" i="31"/>
  <c r="AH40" i="31"/>
  <c r="AI39" i="31"/>
  <c r="AH39" i="31"/>
  <c r="AI38" i="31"/>
  <c r="AH38" i="31"/>
  <c r="AI37" i="31"/>
  <c r="AH37" i="31"/>
  <c r="AI36" i="31"/>
  <c r="AH36" i="31"/>
  <c r="AI35" i="31"/>
  <c r="AH35" i="31"/>
  <c r="AI34" i="31"/>
  <c r="AH34" i="31"/>
  <c r="AI33" i="31"/>
  <c r="AH33" i="31"/>
  <c r="AI32" i="31"/>
  <c r="AH32" i="31"/>
  <c r="AI31" i="31"/>
  <c r="AH31" i="31"/>
  <c r="AI30" i="31"/>
  <c r="AH30" i="31"/>
  <c r="AI29" i="31"/>
  <c r="AH29" i="31"/>
  <c r="AI28" i="31"/>
  <c r="AH28" i="31"/>
  <c r="AI27" i="31"/>
  <c r="AH27" i="31"/>
  <c r="AI26" i="31"/>
  <c r="AH26" i="31"/>
  <c r="AI25" i="31"/>
  <c r="AH25" i="31"/>
  <c r="AI24" i="31"/>
  <c r="AH24" i="31"/>
  <c r="AI23" i="31"/>
  <c r="AH23" i="31"/>
  <c r="AI22" i="31"/>
  <c r="AH22" i="31"/>
  <c r="AI21" i="31"/>
  <c r="AH21" i="31"/>
  <c r="AI20" i="31"/>
  <c r="AH20" i="31"/>
  <c r="AI19" i="31"/>
  <c r="AH19" i="31"/>
  <c r="AI18" i="31"/>
  <c r="AH18" i="31"/>
  <c r="AI17" i="31"/>
  <c r="AH17" i="31"/>
  <c r="AI16" i="31"/>
  <c r="AH16" i="31"/>
  <c r="AI15" i="31"/>
  <c r="AH15" i="31"/>
  <c r="AI14" i="31"/>
  <c r="AH14" i="31"/>
  <c r="AI13" i="31"/>
  <c r="AH13" i="31"/>
  <c r="AI12" i="31"/>
  <c r="AH12" i="31"/>
  <c r="AI11" i="31"/>
  <c r="AH11" i="31"/>
  <c r="AE5" i="31"/>
  <c r="AD5" i="31"/>
  <c r="Q5" i="31"/>
  <c r="M5" i="31"/>
  <c r="AG4" i="31"/>
  <c r="K4" i="31"/>
  <c r="AA107" i="30"/>
  <c r="Z44" i="30"/>
  <c r="Z107" i="30"/>
  <c r="Z104" i="30" s="1"/>
  <c r="X107" i="30"/>
  <c r="W107" i="30"/>
  <c r="W44" i="30"/>
  <c r="X44" i="30"/>
  <c r="W48" i="30"/>
  <c r="X48" i="30"/>
  <c r="U107" i="30"/>
  <c r="U104" i="30" s="1"/>
  <c r="T107" i="30"/>
  <c r="S107" i="30"/>
  <c r="N107" i="30"/>
  <c r="K107" i="30"/>
  <c r="J107" i="30"/>
  <c r="I107" i="30"/>
  <c r="H107" i="30"/>
  <c r="G107" i="30"/>
  <c r="F107" i="30"/>
  <c r="E107" i="30"/>
  <c r="AF267" i="30"/>
  <c r="AE267" i="30"/>
  <c r="AD267" i="30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J267" i="30"/>
  <c r="I267" i="30"/>
  <c r="H267" i="30"/>
  <c r="G267" i="30"/>
  <c r="F267" i="30"/>
  <c r="E267" i="30"/>
  <c r="D267" i="30"/>
  <c r="C267" i="30"/>
  <c r="B267" i="30"/>
  <c r="A267" i="30"/>
  <c r="AF266" i="30"/>
  <c r="AE266" i="30"/>
  <c r="AD266" i="30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J266" i="30"/>
  <c r="I266" i="30"/>
  <c r="H266" i="30"/>
  <c r="G266" i="30"/>
  <c r="F266" i="30"/>
  <c r="E266" i="30"/>
  <c r="D266" i="30"/>
  <c r="C266" i="30"/>
  <c r="B266" i="30"/>
  <c r="A266" i="30"/>
  <c r="AF265" i="30"/>
  <c r="AE265" i="30"/>
  <c r="AD265" i="30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J265" i="30"/>
  <c r="I265" i="30"/>
  <c r="H265" i="30"/>
  <c r="G265" i="30"/>
  <c r="F265" i="30"/>
  <c r="E265" i="30"/>
  <c r="D265" i="30"/>
  <c r="C265" i="30"/>
  <c r="B265" i="30"/>
  <c r="A265" i="30"/>
  <c r="AF264" i="30"/>
  <c r="AE264" i="30"/>
  <c r="AD264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J264" i="30"/>
  <c r="I264" i="30"/>
  <c r="H264" i="30"/>
  <c r="G264" i="30"/>
  <c r="F264" i="30"/>
  <c r="E264" i="30"/>
  <c r="D264" i="30"/>
  <c r="C264" i="30"/>
  <c r="B264" i="30"/>
  <c r="A264" i="30"/>
  <c r="AE263" i="30"/>
  <c r="AD263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B263" i="30"/>
  <c r="S238" i="30"/>
  <c r="AG228" i="30"/>
  <c r="AF228" i="30"/>
  <c r="AE228" i="30"/>
  <c r="AD228" i="30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C228" i="30"/>
  <c r="E227" i="30"/>
  <c r="F227" i="30" s="1"/>
  <c r="D227" i="30"/>
  <c r="C263" i="30" s="1"/>
  <c r="B227" i="30"/>
  <c r="AF263" i="30" s="1"/>
  <c r="D226" i="30"/>
  <c r="E226" i="30" s="1"/>
  <c r="F226" i="30" s="1"/>
  <c r="G226" i="30" s="1"/>
  <c r="H226" i="30" s="1"/>
  <c r="I226" i="30" s="1"/>
  <c r="J226" i="30" s="1"/>
  <c r="K226" i="30" s="1"/>
  <c r="L226" i="30" s="1"/>
  <c r="M226" i="30" s="1"/>
  <c r="N226" i="30" s="1"/>
  <c r="O226" i="30" s="1"/>
  <c r="P226" i="30" s="1"/>
  <c r="B226" i="30"/>
  <c r="D225" i="30"/>
  <c r="E225" i="30" s="1"/>
  <c r="F225" i="30" s="1"/>
  <c r="G225" i="30" s="1"/>
  <c r="H225" i="30" s="1"/>
  <c r="I225" i="30" s="1"/>
  <c r="B225" i="30"/>
  <c r="D224" i="30"/>
  <c r="E224" i="30" s="1"/>
  <c r="F224" i="30" s="1"/>
  <c r="G224" i="30" s="1"/>
  <c r="H224" i="30" s="1"/>
  <c r="B224" i="30"/>
  <c r="B228" i="30" s="1"/>
  <c r="E223" i="30"/>
  <c r="F223" i="30" s="1"/>
  <c r="G223" i="30" s="1"/>
  <c r="H223" i="30" s="1"/>
  <c r="I223" i="30" s="1"/>
  <c r="J223" i="30" s="1"/>
  <c r="K223" i="30" s="1"/>
  <c r="L223" i="30" s="1"/>
  <c r="M223" i="30" s="1"/>
  <c r="N223" i="30" s="1"/>
  <c r="O223" i="30" s="1"/>
  <c r="P223" i="30" s="1"/>
  <c r="D223" i="30"/>
  <c r="B223" i="30"/>
  <c r="E222" i="30"/>
  <c r="F222" i="30" s="1"/>
  <c r="D222" i="30"/>
  <c r="B222" i="30"/>
  <c r="B104" i="30" s="1"/>
  <c r="AG220" i="30"/>
  <c r="AF220" i="30"/>
  <c r="AE220" i="30"/>
  <c r="AD220" i="30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J220" i="30"/>
  <c r="I220" i="30"/>
  <c r="H220" i="30"/>
  <c r="G220" i="30"/>
  <c r="F220" i="30"/>
  <c r="E220" i="30"/>
  <c r="D220" i="30"/>
  <c r="C220" i="30"/>
  <c r="B220" i="30"/>
  <c r="AI113" i="30"/>
  <c r="AH113" i="30"/>
  <c r="AI112" i="30"/>
  <c r="AH112" i="30"/>
  <c r="AI111" i="30"/>
  <c r="AH111" i="30"/>
  <c r="AI110" i="30"/>
  <c r="AH110" i="30"/>
  <c r="AI109" i="30"/>
  <c r="AH109" i="30"/>
  <c r="AI108" i="30"/>
  <c r="AH108" i="30"/>
  <c r="AI106" i="30"/>
  <c r="AH106" i="30"/>
  <c r="AI105" i="30"/>
  <c r="AH105" i="30"/>
  <c r="AF104" i="30"/>
  <c r="AE104" i="30"/>
  <c r="AD104" i="30"/>
  <c r="AC104" i="30"/>
  <c r="AB104" i="30"/>
  <c r="AA104" i="30"/>
  <c r="X104" i="30"/>
  <c r="W104" i="30"/>
  <c r="V104" i="30"/>
  <c r="T104" i="30"/>
  <c r="S104" i="30"/>
  <c r="R104" i="30"/>
  <c r="Q104" i="30"/>
  <c r="D104" i="30"/>
  <c r="C104" i="30"/>
  <c r="AI103" i="30"/>
  <c r="AH103" i="30"/>
  <c r="AI102" i="30"/>
  <c r="AH102" i="30"/>
  <c r="AI101" i="30"/>
  <c r="AH101" i="30"/>
  <c r="AI100" i="30"/>
  <c r="AH100" i="30"/>
  <c r="AI99" i="30"/>
  <c r="AH99" i="30"/>
  <c r="AI98" i="30"/>
  <c r="AH98" i="30"/>
  <c r="AI97" i="30"/>
  <c r="AH97" i="30"/>
  <c r="AI96" i="30"/>
  <c r="AH96" i="30"/>
  <c r="AI95" i="30"/>
  <c r="AH95" i="30"/>
  <c r="AI93" i="30"/>
  <c r="AH93" i="30"/>
  <c r="AI92" i="30"/>
  <c r="AH92" i="30"/>
  <c r="AI91" i="30"/>
  <c r="AH91" i="30"/>
  <c r="AI90" i="30"/>
  <c r="AH90" i="30"/>
  <c r="AI89" i="30"/>
  <c r="AH89" i="30"/>
  <c r="AI88" i="30"/>
  <c r="AH88" i="30"/>
  <c r="AI87" i="30"/>
  <c r="AH87" i="30"/>
  <c r="AI84" i="30"/>
  <c r="AH84" i="30"/>
  <c r="AI82" i="30"/>
  <c r="AH82" i="30"/>
  <c r="AG82" i="30"/>
  <c r="AI81" i="30"/>
  <c r="AH81" i="30"/>
  <c r="AI80" i="30"/>
  <c r="AH80" i="30"/>
  <c r="AI79" i="30"/>
  <c r="AH79" i="30"/>
  <c r="AN78" i="30"/>
  <c r="AG78" i="30"/>
  <c r="AF78" i="30"/>
  <c r="AF94" i="30" s="1"/>
  <c r="AE78" i="30"/>
  <c r="AE94" i="30" s="1"/>
  <c r="AD78" i="30"/>
  <c r="AD94" i="30" s="1"/>
  <c r="AC78" i="30"/>
  <c r="AC94" i="30" s="1"/>
  <c r="AB78" i="30"/>
  <c r="AB94" i="30" s="1"/>
  <c r="AA78" i="30"/>
  <c r="AA94" i="30" s="1"/>
  <c r="Z78" i="30"/>
  <c r="Z94" i="30" s="1"/>
  <c r="X78" i="30"/>
  <c r="X94" i="30" s="1"/>
  <c r="W78" i="30"/>
  <c r="W94" i="30" s="1"/>
  <c r="V78" i="30"/>
  <c r="V94" i="30" s="1"/>
  <c r="U78" i="30"/>
  <c r="U94" i="30" s="1"/>
  <c r="T78" i="30"/>
  <c r="T94" i="30" s="1"/>
  <c r="S78" i="30"/>
  <c r="S94" i="30" s="1"/>
  <c r="R78" i="30"/>
  <c r="R94" i="30" s="1"/>
  <c r="Q78" i="30"/>
  <c r="Q94" i="30" s="1"/>
  <c r="P78" i="30"/>
  <c r="P94" i="30" s="1"/>
  <c r="O78" i="30"/>
  <c r="O94" i="30" s="1"/>
  <c r="N78" i="30"/>
  <c r="N94" i="30" s="1"/>
  <c r="M78" i="30"/>
  <c r="M94" i="30" s="1"/>
  <c r="L78" i="30"/>
  <c r="L94" i="30" s="1"/>
  <c r="K78" i="30"/>
  <c r="K94" i="30" s="1"/>
  <c r="J78" i="30"/>
  <c r="J94" i="30" s="1"/>
  <c r="I78" i="30"/>
  <c r="I94" i="30" s="1"/>
  <c r="H78" i="30"/>
  <c r="H94" i="30" s="1"/>
  <c r="G78" i="30"/>
  <c r="G94" i="30" s="1"/>
  <c r="F78" i="30"/>
  <c r="F94" i="30" s="1"/>
  <c r="E78" i="30"/>
  <c r="E94" i="30" s="1"/>
  <c r="D78" i="30"/>
  <c r="D94" i="30" s="1"/>
  <c r="C78" i="30"/>
  <c r="C94" i="30" s="1"/>
  <c r="B78" i="30"/>
  <c r="B94" i="30" s="1"/>
  <c r="AI77" i="30"/>
  <c r="AH77" i="30"/>
  <c r="AN76" i="30"/>
  <c r="AI76" i="30"/>
  <c r="AH76" i="30"/>
  <c r="AN75" i="30"/>
  <c r="AN77" i="30" s="1"/>
  <c r="AI75" i="30"/>
  <c r="AH75" i="30"/>
  <c r="AI74" i="30"/>
  <c r="AH74" i="30"/>
  <c r="AI73" i="30"/>
  <c r="AH73" i="30"/>
  <c r="AI72" i="30"/>
  <c r="AH72" i="30"/>
  <c r="AI71" i="30"/>
  <c r="AH71" i="30"/>
  <c r="AI70" i="30"/>
  <c r="AH70" i="30"/>
  <c r="AI69" i="30"/>
  <c r="AH69" i="30"/>
  <c r="AI68" i="30"/>
  <c r="AH68" i="30"/>
  <c r="AI67" i="30"/>
  <c r="AH67" i="30"/>
  <c r="AG66" i="30"/>
  <c r="AF66" i="30"/>
  <c r="AE66" i="30"/>
  <c r="AD66" i="30"/>
  <c r="AC66" i="30"/>
  <c r="AB66" i="30"/>
  <c r="AA66" i="30"/>
  <c r="Z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AI65" i="30"/>
  <c r="AH65" i="30"/>
  <c r="AI64" i="30"/>
  <c r="AH64" i="30"/>
  <c r="AI63" i="30"/>
  <c r="AH63" i="30"/>
  <c r="AF62" i="30"/>
  <c r="AE62" i="30"/>
  <c r="AD62" i="30"/>
  <c r="AC62" i="30"/>
  <c r="AB62" i="30"/>
  <c r="AA62" i="30"/>
  <c r="Z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AI61" i="30"/>
  <c r="AH61" i="30"/>
  <c r="AG61" i="30"/>
  <c r="AG62" i="30" s="1"/>
  <c r="AG3" i="30" s="1"/>
  <c r="AI60" i="30"/>
  <c r="AH60" i="30"/>
  <c r="AI59" i="30"/>
  <c r="AH59" i="30"/>
  <c r="AI58" i="30"/>
  <c r="AH58" i="30"/>
  <c r="AI57" i="30"/>
  <c r="AH57" i="30"/>
  <c r="AI56" i="30"/>
  <c r="AH56" i="30"/>
  <c r="AI55" i="30"/>
  <c r="AH55" i="30"/>
  <c r="AI54" i="30"/>
  <c r="AH54" i="30"/>
  <c r="AI53" i="30"/>
  <c r="AH53" i="30"/>
  <c r="AI52" i="30"/>
  <c r="AH52" i="30"/>
  <c r="AI51" i="30"/>
  <c r="AH51" i="30"/>
  <c r="AI50" i="30"/>
  <c r="AH50" i="30"/>
  <c r="AI49" i="30"/>
  <c r="AH49" i="30"/>
  <c r="AG48" i="30"/>
  <c r="AF48" i="30"/>
  <c r="AE48" i="30"/>
  <c r="AD48" i="30"/>
  <c r="AC48" i="30"/>
  <c r="AB48" i="30"/>
  <c r="AA48" i="30"/>
  <c r="Z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B48" i="30"/>
  <c r="AI47" i="30"/>
  <c r="AH47" i="30"/>
  <c r="AI46" i="30"/>
  <c r="AH46" i="30"/>
  <c r="AI45" i="30"/>
  <c r="AH45" i="30"/>
  <c r="AG44" i="30"/>
  <c r="AF44" i="30"/>
  <c r="AE44" i="30"/>
  <c r="AD44" i="30"/>
  <c r="AC44" i="30"/>
  <c r="AB44" i="30"/>
  <c r="AA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AI43" i="30"/>
  <c r="AH43" i="30"/>
  <c r="AI42" i="30"/>
  <c r="AH42" i="30"/>
  <c r="AI41" i="30"/>
  <c r="AH41" i="30"/>
  <c r="AI40" i="30"/>
  <c r="AH40" i="30"/>
  <c r="AI39" i="30"/>
  <c r="AH39" i="30"/>
  <c r="AI38" i="30"/>
  <c r="AH38" i="30"/>
  <c r="AI37" i="30"/>
  <c r="AH37" i="30"/>
  <c r="AI36" i="30"/>
  <c r="AH36" i="30"/>
  <c r="AI35" i="30"/>
  <c r="AH35" i="30"/>
  <c r="AI34" i="30"/>
  <c r="AH34" i="30"/>
  <c r="AI33" i="30"/>
  <c r="AH33" i="30"/>
  <c r="AI32" i="30"/>
  <c r="AH32" i="30"/>
  <c r="AI31" i="30"/>
  <c r="AH31" i="30"/>
  <c r="AI30" i="30"/>
  <c r="AH30" i="30"/>
  <c r="AI29" i="30"/>
  <c r="AH29" i="30"/>
  <c r="AI28" i="30"/>
  <c r="AH28" i="30"/>
  <c r="AI27" i="30"/>
  <c r="AH27" i="30"/>
  <c r="AI26" i="30"/>
  <c r="AH26" i="30"/>
  <c r="AI25" i="30"/>
  <c r="AH25" i="30"/>
  <c r="AI24" i="30"/>
  <c r="AH24" i="30"/>
  <c r="AI23" i="30"/>
  <c r="AH23" i="30"/>
  <c r="AI22" i="30"/>
  <c r="AH22" i="30"/>
  <c r="AI21" i="30"/>
  <c r="AH21" i="30"/>
  <c r="AI20" i="30"/>
  <c r="AH20" i="30"/>
  <c r="AI19" i="30"/>
  <c r="AH19" i="30"/>
  <c r="AI18" i="30"/>
  <c r="AH18" i="30"/>
  <c r="AI17" i="30"/>
  <c r="AH17" i="30"/>
  <c r="AI16" i="30"/>
  <c r="AH16" i="30"/>
  <c r="AI15" i="30"/>
  <c r="AH15" i="30"/>
  <c r="AI14" i="30"/>
  <c r="AH14" i="30"/>
  <c r="AI13" i="30"/>
  <c r="AH13" i="30"/>
  <c r="AI12" i="30"/>
  <c r="AH12" i="30"/>
  <c r="AI11" i="30"/>
  <c r="AH11" i="30"/>
  <c r="X5" i="30"/>
  <c r="W5" i="30"/>
  <c r="T5" i="30"/>
  <c r="AG4" i="30"/>
  <c r="K4" i="30"/>
  <c r="E4" i="30"/>
  <c r="H4" i="30" s="1"/>
  <c r="B4" i="30"/>
  <c r="S239" i="30" s="1"/>
  <c r="AG2" i="30"/>
  <c r="AA107" i="29"/>
  <c r="Z107" i="29"/>
  <c r="Z104" i="29" s="1"/>
  <c r="X107" i="29"/>
  <c r="W107" i="29"/>
  <c r="B48" i="29"/>
  <c r="B44" i="29"/>
  <c r="AF267" i="29"/>
  <c r="AE267" i="29"/>
  <c r="AD267" i="29"/>
  <c r="AC267" i="29"/>
  <c r="AB267" i="29"/>
  <c r="AA267" i="29"/>
  <c r="Z267" i="29"/>
  <c r="Y267" i="29"/>
  <c r="X267" i="29"/>
  <c r="W267" i="29"/>
  <c r="V267" i="29"/>
  <c r="U267" i="29"/>
  <c r="T267" i="29"/>
  <c r="S267" i="29"/>
  <c r="R267" i="29"/>
  <c r="Q267" i="29"/>
  <c r="P267" i="29"/>
  <c r="O267" i="29"/>
  <c r="N267" i="29"/>
  <c r="M267" i="29"/>
  <c r="L267" i="29"/>
  <c r="K267" i="29"/>
  <c r="J267" i="29"/>
  <c r="I267" i="29"/>
  <c r="H267" i="29"/>
  <c r="G267" i="29"/>
  <c r="F267" i="29"/>
  <c r="E267" i="29"/>
  <c r="D267" i="29"/>
  <c r="C267" i="29"/>
  <c r="B267" i="29"/>
  <c r="A267" i="29"/>
  <c r="AF266" i="29"/>
  <c r="AE266" i="29"/>
  <c r="AD266" i="29"/>
  <c r="AC266" i="29"/>
  <c r="AB266" i="29"/>
  <c r="AA266" i="29"/>
  <c r="Z266" i="29"/>
  <c r="Y266" i="29"/>
  <c r="X266" i="29"/>
  <c r="W266" i="29"/>
  <c r="V266" i="29"/>
  <c r="U266" i="29"/>
  <c r="T266" i="29"/>
  <c r="S266" i="29"/>
  <c r="R266" i="29"/>
  <c r="Q266" i="29"/>
  <c r="P266" i="29"/>
  <c r="O266" i="29"/>
  <c r="N266" i="29"/>
  <c r="M266" i="29"/>
  <c r="L266" i="29"/>
  <c r="K266" i="29"/>
  <c r="J266" i="29"/>
  <c r="I266" i="29"/>
  <c r="H266" i="29"/>
  <c r="G266" i="29"/>
  <c r="F266" i="29"/>
  <c r="E266" i="29"/>
  <c r="D266" i="29"/>
  <c r="C266" i="29"/>
  <c r="B266" i="29"/>
  <c r="A266" i="29"/>
  <c r="AF265" i="29"/>
  <c r="AE265" i="29"/>
  <c r="AD265" i="29"/>
  <c r="AC265" i="29"/>
  <c r="AB265" i="29"/>
  <c r="AA265" i="29"/>
  <c r="Z265" i="29"/>
  <c r="Y265" i="29"/>
  <c r="X265" i="29"/>
  <c r="W265" i="29"/>
  <c r="V265" i="29"/>
  <c r="U265" i="29"/>
  <c r="T265" i="29"/>
  <c r="S265" i="29"/>
  <c r="R265" i="29"/>
  <c r="Q265" i="29"/>
  <c r="P265" i="29"/>
  <c r="O265" i="29"/>
  <c r="N265" i="29"/>
  <c r="M265" i="29"/>
  <c r="L265" i="29"/>
  <c r="K265" i="29"/>
  <c r="J265" i="29"/>
  <c r="I265" i="29"/>
  <c r="H265" i="29"/>
  <c r="G265" i="29"/>
  <c r="F265" i="29"/>
  <c r="E265" i="29"/>
  <c r="D265" i="29"/>
  <c r="C265" i="29"/>
  <c r="B265" i="29"/>
  <c r="A265" i="29"/>
  <c r="AF264" i="29"/>
  <c r="AE264" i="29"/>
  <c r="AD264" i="29"/>
  <c r="AC264" i="29"/>
  <c r="AB264" i="29"/>
  <c r="AA264" i="29"/>
  <c r="Z264" i="29"/>
  <c r="Y264" i="29"/>
  <c r="X264" i="29"/>
  <c r="W264" i="29"/>
  <c r="V264" i="29"/>
  <c r="U264" i="29"/>
  <c r="T264" i="29"/>
  <c r="S264" i="29"/>
  <c r="R264" i="29"/>
  <c r="Q264" i="29"/>
  <c r="P264" i="29"/>
  <c r="O264" i="29"/>
  <c r="N264" i="29"/>
  <c r="M264" i="29"/>
  <c r="L264" i="29"/>
  <c r="K264" i="29"/>
  <c r="J264" i="29"/>
  <c r="I264" i="29"/>
  <c r="H264" i="29"/>
  <c r="G264" i="29"/>
  <c r="F264" i="29"/>
  <c r="E264" i="29"/>
  <c r="D264" i="29"/>
  <c r="C264" i="29"/>
  <c r="B264" i="29"/>
  <c r="A264" i="29"/>
  <c r="AE263" i="29"/>
  <c r="AD263" i="29"/>
  <c r="AC263" i="29"/>
  <c r="AB263" i="29"/>
  <c r="AA263" i="29"/>
  <c r="Z263" i="29"/>
  <c r="Y263" i="29"/>
  <c r="X263" i="29"/>
  <c r="W263" i="29"/>
  <c r="V263" i="29"/>
  <c r="U263" i="29"/>
  <c r="T263" i="29"/>
  <c r="S263" i="29"/>
  <c r="R263" i="29"/>
  <c r="Q263" i="29"/>
  <c r="P263" i="29"/>
  <c r="B263" i="29"/>
  <c r="S238" i="29"/>
  <c r="AG228" i="29"/>
  <c r="AG61" i="29" s="1"/>
  <c r="AG62" i="29" s="1"/>
  <c r="AG3" i="29" s="1"/>
  <c r="AF228" i="29"/>
  <c r="AE228" i="29"/>
  <c r="AD228" i="29"/>
  <c r="AC228" i="29"/>
  <c r="AB228" i="29"/>
  <c r="AA228" i="29"/>
  <c r="Z228" i="29"/>
  <c r="Y228" i="29"/>
  <c r="X228" i="29"/>
  <c r="W228" i="29"/>
  <c r="V228" i="29"/>
  <c r="U228" i="29"/>
  <c r="T228" i="29"/>
  <c r="S228" i="29"/>
  <c r="R228" i="29"/>
  <c r="Q228" i="29"/>
  <c r="C228" i="29"/>
  <c r="D227" i="29"/>
  <c r="C263" i="29" s="1"/>
  <c r="B227" i="29"/>
  <c r="AF263" i="29" s="1"/>
  <c r="D226" i="29"/>
  <c r="E226" i="29" s="1"/>
  <c r="F226" i="29" s="1"/>
  <c r="G226" i="29" s="1"/>
  <c r="H226" i="29" s="1"/>
  <c r="I226" i="29" s="1"/>
  <c r="J226" i="29" s="1"/>
  <c r="K226" i="29" s="1"/>
  <c r="L226" i="29" s="1"/>
  <c r="M226" i="29" s="1"/>
  <c r="N226" i="29" s="1"/>
  <c r="O226" i="29" s="1"/>
  <c r="P226" i="29" s="1"/>
  <c r="B226" i="29"/>
  <c r="D225" i="29"/>
  <c r="E225" i="29" s="1"/>
  <c r="F225" i="29" s="1"/>
  <c r="G225" i="29" s="1"/>
  <c r="H225" i="29" s="1"/>
  <c r="I225" i="29" s="1"/>
  <c r="B225" i="29"/>
  <c r="F224" i="29"/>
  <c r="G224" i="29" s="1"/>
  <c r="H224" i="29" s="1"/>
  <c r="E224" i="29"/>
  <c r="D224" i="29"/>
  <c r="B224" i="29"/>
  <c r="D223" i="29"/>
  <c r="B223" i="29"/>
  <c r="D222" i="29"/>
  <c r="E222" i="29" s="1"/>
  <c r="F222" i="29" s="1"/>
  <c r="B222" i="29"/>
  <c r="B228" i="29" s="1"/>
  <c r="AG220" i="29"/>
  <c r="AF220" i="29"/>
  <c r="AE220" i="29"/>
  <c r="AD220" i="29"/>
  <c r="AC220" i="29"/>
  <c r="AB220" i="29"/>
  <c r="AA220" i="29"/>
  <c r="Z220" i="29"/>
  <c r="Y220" i="29"/>
  <c r="X220" i="29"/>
  <c r="W220" i="29"/>
  <c r="V220" i="29"/>
  <c r="U220" i="29"/>
  <c r="T220" i="29"/>
  <c r="S220" i="29"/>
  <c r="R220" i="29"/>
  <c r="Q220" i="29"/>
  <c r="P220" i="29"/>
  <c r="O220" i="29"/>
  <c r="N220" i="29"/>
  <c r="M220" i="29"/>
  <c r="L220" i="29"/>
  <c r="K220" i="29"/>
  <c r="J220" i="29"/>
  <c r="I220" i="29"/>
  <c r="H220" i="29"/>
  <c r="G220" i="29"/>
  <c r="F220" i="29"/>
  <c r="E220" i="29"/>
  <c r="D220" i="29"/>
  <c r="C220" i="29"/>
  <c r="B220" i="29"/>
  <c r="AI113" i="29"/>
  <c r="AH113" i="29"/>
  <c r="AI112" i="29"/>
  <c r="AH112" i="29"/>
  <c r="AI111" i="29"/>
  <c r="AH111" i="29"/>
  <c r="AI110" i="29"/>
  <c r="AH110" i="29"/>
  <c r="AI109" i="29"/>
  <c r="AH109" i="29"/>
  <c r="AI108" i="29"/>
  <c r="AH108" i="29"/>
  <c r="AI106" i="29"/>
  <c r="AH106" i="29"/>
  <c r="AI105" i="29"/>
  <c r="AH105" i="29"/>
  <c r="AF104" i="29"/>
  <c r="AE104" i="29"/>
  <c r="AD104" i="29"/>
  <c r="AC104" i="29"/>
  <c r="AB104" i="29"/>
  <c r="AA104" i="29"/>
  <c r="Y104" i="29"/>
  <c r="X104" i="29"/>
  <c r="W104" i="29"/>
  <c r="V104" i="29"/>
  <c r="U104" i="29"/>
  <c r="T104" i="29"/>
  <c r="S104" i="29"/>
  <c r="R104" i="29"/>
  <c r="Q104" i="29"/>
  <c r="C104" i="29"/>
  <c r="AI103" i="29"/>
  <c r="AH103" i="29"/>
  <c r="AI102" i="29"/>
  <c r="AH102" i="29"/>
  <c r="AI101" i="29"/>
  <c r="AH101" i="29"/>
  <c r="AI100" i="29"/>
  <c r="AH100" i="29"/>
  <c r="AI99" i="29"/>
  <c r="AH99" i="29"/>
  <c r="AI98" i="29"/>
  <c r="AH98" i="29"/>
  <c r="AI97" i="29"/>
  <c r="AH97" i="29"/>
  <c r="AI96" i="29"/>
  <c r="AH96" i="29"/>
  <c r="AI95" i="29"/>
  <c r="AH95" i="29"/>
  <c r="AI93" i="29"/>
  <c r="AH93" i="29"/>
  <c r="AI92" i="29"/>
  <c r="AH92" i="29"/>
  <c r="AI91" i="29"/>
  <c r="AH91" i="29"/>
  <c r="AI90" i="29"/>
  <c r="AH90" i="29"/>
  <c r="AI89" i="29"/>
  <c r="AH89" i="29"/>
  <c r="AI88" i="29"/>
  <c r="AH88" i="29"/>
  <c r="AI87" i="29"/>
  <c r="AH87" i="29"/>
  <c r="AI84" i="29"/>
  <c r="AH84" i="29"/>
  <c r="AI82" i="29"/>
  <c r="AH82" i="29"/>
  <c r="AG82" i="29"/>
  <c r="AI81" i="29"/>
  <c r="AH81" i="29"/>
  <c r="AI80" i="29"/>
  <c r="AH80" i="29"/>
  <c r="AI79" i="29"/>
  <c r="AH79" i="29"/>
  <c r="AN78" i="29"/>
  <c r="AG78" i="29"/>
  <c r="AF78" i="29"/>
  <c r="AF94" i="29" s="1"/>
  <c r="AE78" i="29"/>
  <c r="AD5" i="29" s="1"/>
  <c r="AD78" i="29"/>
  <c r="AC5" i="29" s="1"/>
  <c r="AC78" i="29"/>
  <c r="AC94" i="29" s="1"/>
  <c r="AB78" i="29"/>
  <c r="AB94" i="29" s="1"/>
  <c r="AA78" i="29"/>
  <c r="AA94" i="29" s="1"/>
  <c r="Z78" i="29"/>
  <c r="Z94" i="29" s="1"/>
  <c r="Y78" i="29"/>
  <c r="Y94" i="29" s="1"/>
  <c r="X78" i="29"/>
  <c r="X94" i="29" s="1"/>
  <c r="W78" i="29"/>
  <c r="V5" i="29" s="1"/>
  <c r="V78" i="29"/>
  <c r="U5" i="29" s="1"/>
  <c r="U78" i="29"/>
  <c r="U94" i="29" s="1"/>
  <c r="T78" i="29"/>
  <c r="T94" i="29" s="1"/>
  <c r="S78" i="29"/>
  <c r="S94" i="29" s="1"/>
  <c r="R78" i="29"/>
  <c r="R94" i="29" s="1"/>
  <c r="Q78" i="29"/>
  <c r="Q94" i="29" s="1"/>
  <c r="P78" i="29"/>
  <c r="P94" i="29" s="1"/>
  <c r="O78" i="29"/>
  <c r="N5" i="29" s="1"/>
  <c r="N78" i="29"/>
  <c r="M5" i="29" s="1"/>
  <c r="M78" i="29"/>
  <c r="M94" i="29" s="1"/>
  <c r="L78" i="29"/>
  <c r="L94" i="29" s="1"/>
  <c r="K78" i="29"/>
  <c r="K94" i="29" s="1"/>
  <c r="J78" i="29"/>
  <c r="J94" i="29" s="1"/>
  <c r="I78" i="29"/>
  <c r="I94" i="29" s="1"/>
  <c r="H78" i="29"/>
  <c r="H94" i="29" s="1"/>
  <c r="G78" i="29"/>
  <c r="F5" i="29" s="1"/>
  <c r="F78" i="29"/>
  <c r="E5" i="29" s="1"/>
  <c r="E78" i="29"/>
  <c r="E94" i="29" s="1"/>
  <c r="D78" i="29"/>
  <c r="D94" i="29" s="1"/>
  <c r="C78" i="29"/>
  <c r="C94" i="29" s="1"/>
  <c r="B78" i="29"/>
  <c r="B94" i="29" s="1"/>
  <c r="AI77" i="29"/>
  <c r="AH77" i="29"/>
  <c r="AN76" i="29"/>
  <c r="AN77" i="29" s="1"/>
  <c r="AI76" i="29"/>
  <c r="AH76" i="29"/>
  <c r="AN75" i="29"/>
  <c r="AI75" i="29"/>
  <c r="AH75" i="29"/>
  <c r="AI74" i="29"/>
  <c r="AH74" i="29"/>
  <c r="AI73" i="29"/>
  <c r="AH73" i="29"/>
  <c r="AI72" i="29"/>
  <c r="AH72" i="29"/>
  <c r="AI71" i="29"/>
  <c r="AH71" i="29"/>
  <c r="AI70" i="29"/>
  <c r="AH70" i="29"/>
  <c r="AI69" i="29"/>
  <c r="AH69" i="29"/>
  <c r="AI68" i="29"/>
  <c r="AH68" i="29"/>
  <c r="AI67" i="29"/>
  <c r="AH67" i="29"/>
  <c r="AG66" i="29"/>
  <c r="AF66" i="29"/>
  <c r="AE66" i="29"/>
  <c r="AD66" i="29"/>
  <c r="AC66" i="29"/>
  <c r="AB66" i="29"/>
  <c r="AA66" i="29"/>
  <c r="Z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AI65" i="29"/>
  <c r="AH65" i="29"/>
  <c r="AI64" i="29"/>
  <c r="AH64" i="29"/>
  <c r="AI63" i="29"/>
  <c r="AH63" i="29"/>
  <c r="AF62" i="29"/>
  <c r="AE62" i="29"/>
  <c r="AD62" i="29"/>
  <c r="AC62" i="29"/>
  <c r="AB62" i="29"/>
  <c r="AA62" i="29"/>
  <c r="Z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AI61" i="29"/>
  <c r="AH61" i="29"/>
  <c r="AI60" i="29"/>
  <c r="AH60" i="29"/>
  <c r="AI59" i="29"/>
  <c r="AH59" i="29"/>
  <c r="AI58" i="29"/>
  <c r="AH58" i="29"/>
  <c r="AI57" i="29"/>
  <c r="AH57" i="29"/>
  <c r="AI56" i="29"/>
  <c r="AH56" i="29"/>
  <c r="AI55" i="29"/>
  <c r="AH55" i="29"/>
  <c r="AI54" i="29"/>
  <c r="AH54" i="29"/>
  <c r="AI53" i="29"/>
  <c r="AH53" i="29"/>
  <c r="AI52" i="29"/>
  <c r="AH52" i="29"/>
  <c r="AI51" i="29"/>
  <c r="AH51" i="29"/>
  <c r="AI50" i="29"/>
  <c r="AH50" i="29"/>
  <c r="AI49" i="29"/>
  <c r="AH49" i="29"/>
  <c r="AG48" i="29"/>
  <c r="AF48" i="29"/>
  <c r="AE48" i="29"/>
  <c r="AD48" i="29"/>
  <c r="AC48" i="29"/>
  <c r="AB48" i="29"/>
  <c r="AA48" i="29"/>
  <c r="Z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K48" i="29"/>
  <c r="J48" i="29"/>
  <c r="I48" i="29"/>
  <c r="H48" i="29"/>
  <c r="G48" i="29"/>
  <c r="F48" i="29"/>
  <c r="E48" i="29"/>
  <c r="D48" i="29"/>
  <c r="C48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I43" i="29"/>
  <c r="AH43" i="29"/>
  <c r="AI42" i="29"/>
  <c r="AH42" i="29"/>
  <c r="AI41" i="29"/>
  <c r="AH41" i="29"/>
  <c r="AI40" i="29"/>
  <c r="AH40" i="29"/>
  <c r="AI39" i="29"/>
  <c r="AH39" i="29"/>
  <c r="AI38" i="29"/>
  <c r="AH38" i="29"/>
  <c r="AI37" i="29"/>
  <c r="AH37" i="29"/>
  <c r="AI36" i="29"/>
  <c r="AH36" i="29"/>
  <c r="AI35" i="29"/>
  <c r="AH35" i="29"/>
  <c r="AI34" i="29"/>
  <c r="AH34" i="29"/>
  <c r="AI33" i="29"/>
  <c r="AH33" i="29"/>
  <c r="AI32" i="29"/>
  <c r="AH32" i="29"/>
  <c r="AI31" i="29"/>
  <c r="AH31" i="29"/>
  <c r="AI30" i="29"/>
  <c r="AH30" i="29"/>
  <c r="AI29" i="29"/>
  <c r="AH29" i="29"/>
  <c r="AI28" i="29"/>
  <c r="AH28" i="29"/>
  <c r="AI27" i="29"/>
  <c r="AH27" i="29"/>
  <c r="AI26" i="29"/>
  <c r="AH26" i="29"/>
  <c r="AI25" i="29"/>
  <c r="AH25" i="29"/>
  <c r="AI24" i="29"/>
  <c r="AH24" i="29"/>
  <c r="AI23" i="29"/>
  <c r="AH23" i="29"/>
  <c r="AI22" i="29"/>
  <c r="AH22" i="29"/>
  <c r="AI21" i="29"/>
  <c r="AH21" i="29"/>
  <c r="AI20" i="29"/>
  <c r="AH20" i="29"/>
  <c r="AI19" i="29"/>
  <c r="AH19" i="29"/>
  <c r="AI18" i="29"/>
  <c r="AH18" i="29"/>
  <c r="AI17" i="29"/>
  <c r="AH17" i="29"/>
  <c r="AI16" i="29"/>
  <c r="AH16" i="29"/>
  <c r="AI15" i="29"/>
  <c r="AH15" i="29"/>
  <c r="AI14" i="29"/>
  <c r="AH14" i="29"/>
  <c r="AI13" i="29"/>
  <c r="AH13" i="29"/>
  <c r="AI12" i="29"/>
  <c r="AH12" i="29"/>
  <c r="AI11" i="29"/>
  <c r="AH11" i="29"/>
  <c r="X5" i="29"/>
  <c r="AG4" i="29"/>
  <c r="K4" i="29"/>
  <c r="E4" i="29"/>
  <c r="H4" i="29" s="1"/>
  <c r="B4" i="29"/>
  <c r="S239" i="29" s="1"/>
  <c r="AG2" i="29"/>
  <c r="G227" i="30" l="1"/>
  <c r="F263" i="30" s="1"/>
  <c r="E263" i="30"/>
  <c r="E104" i="31"/>
  <c r="F222" i="31"/>
  <c r="G222" i="31" s="1"/>
  <c r="AH107" i="34"/>
  <c r="E222" i="34"/>
  <c r="F222" i="34" s="1"/>
  <c r="G222" i="34" s="1"/>
  <c r="E227" i="34"/>
  <c r="D263" i="34" s="1"/>
  <c r="W7" i="36"/>
  <c r="AH107" i="29"/>
  <c r="AG6" i="30"/>
  <c r="R104" i="32"/>
  <c r="D228" i="34"/>
  <c r="W86" i="36"/>
  <c r="AI107" i="29"/>
  <c r="B104" i="33"/>
  <c r="B104" i="29"/>
  <c r="D228" i="29"/>
  <c r="E104" i="30"/>
  <c r="D228" i="30"/>
  <c r="I5" i="32"/>
  <c r="J83" i="34"/>
  <c r="J85" i="34" s="1"/>
  <c r="J7" i="34" s="1"/>
  <c r="D228" i="35"/>
  <c r="AB7" i="36"/>
  <c r="V7" i="36"/>
  <c r="J86" i="36"/>
  <c r="D228" i="31"/>
  <c r="W83" i="30"/>
  <c r="W85" i="30" s="1"/>
  <c r="AG85" i="30"/>
  <c r="D263" i="30"/>
  <c r="AN77" i="32"/>
  <c r="AH107" i="32"/>
  <c r="B228" i="33"/>
  <c r="AN77" i="35"/>
  <c r="C263" i="35"/>
  <c r="AB86" i="36"/>
  <c r="V86" i="36"/>
  <c r="AG6" i="29"/>
  <c r="B228" i="32"/>
  <c r="AG83" i="29"/>
  <c r="X83" i="30"/>
  <c r="X85" i="30" s="1"/>
  <c r="X86" i="30" s="1"/>
  <c r="Q5" i="32"/>
  <c r="B228" i="34"/>
  <c r="AI242" i="36"/>
  <c r="X5" i="31"/>
  <c r="B228" i="31"/>
  <c r="P83" i="32"/>
  <c r="P85" i="32" s="1"/>
  <c r="B104" i="32"/>
  <c r="D228" i="32"/>
  <c r="AG85" i="34"/>
  <c r="R5" i="35"/>
  <c r="AG83" i="35"/>
  <c r="G7" i="36"/>
  <c r="G227" i="36"/>
  <c r="G228" i="36" s="1"/>
  <c r="E263" i="36"/>
  <c r="AC7" i="36"/>
  <c r="AF7" i="36"/>
  <c r="AX242" i="36"/>
  <c r="AE7" i="36"/>
  <c r="AE86" i="36"/>
  <c r="AC86" i="36"/>
  <c r="AS242" i="36"/>
  <c r="AR242" i="36"/>
  <c r="AI94" i="36"/>
  <c r="AE242" i="36"/>
  <c r="M86" i="36"/>
  <c r="AD242" i="36"/>
  <c r="L7" i="36"/>
  <c r="K7" i="36"/>
  <c r="AC242" i="36"/>
  <c r="AH94" i="36"/>
  <c r="J7" i="36"/>
  <c r="I7" i="36"/>
  <c r="H7" i="36"/>
  <c r="B237" i="36"/>
  <c r="C237" i="36"/>
  <c r="Z242" i="36"/>
  <c r="W242" i="36"/>
  <c r="E7" i="36"/>
  <c r="V242" i="36"/>
  <c r="D7" i="36"/>
  <c r="AI83" i="36"/>
  <c r="AI85" i="36"/>
  <c r="B86" i="36"/>
  <c r="B7" i="36"/>
  <c r="T242" i="36"/>
  <c r="AH85" i="36"/>
  <c r="H222" i="36"/>
  <c r="C86" i="36"/>
  <c r="U242" i="36"/>
  <c r="C7" i="36"/>
  <c r="AH83" i="36"/>
  <c r="AE5" i="35"/>
  <c r="AF83" i="35"/>
  <c r="AF85" i="35" s="1"/>
  <c r="AF86" i="35" s="1"/>
  <c r="AE94" i="35"/>
  <c r="AE83" i="35"/>
  <c r="AE85" i="35" s="1"/>
  <c r="AE86" i="35" s="1"/>
  <c r="AD83" i="35"/>
  <c r="AD85" i="35" s="1"/>
  <c r="AB5" i="35"/>
  <c r="AA5" i="35"/>
  <c r="AB83" i="35"/>
  <c r="AB85" i="35" s="1"/>
  <c r="AB7" i="35" s="1"/>
  <c r="Z83" i="35"/>
  <c r="Z85" i="35" s="1"/>
  <c r="Z86" i="35" s="1"/>
  <c r="AG6" i="35"/>
  <c r="B228" i="35"/>
  <c r="AC83" i="35"/>
  <c r="AC85" i="35" s="1"/>
  <c r="AC86" i="35" s="1"/>
  <c r="D104" i="35"/>
  <c r="AG85" i="35"/>
  <c r="E222" i="35"/>
  <c r="Z5" i="35"/>
  <c r="AA83" i="35"/>
  <c r="AA85" i="35" s="1"/>
  <c r="AA86" i="35" s="1"/>
  <c r="Y5" i="35"/>
  <c r="W5" i="35"/>
  <c r="V5" i="35"/>
  <c r="W83" i="35"/>
  <c r="W85" i="35" s="1"/>
  <c r="X83" i="35"/>
  <c r="X85" i="35" s="1"/>
  <c r="X7" i="35" s="1"/>
  <c r="V83" i="35"/>
  <c r="V85" i="35" s="1"/>
  <c r="AN242" i="35" s="1"/>
  <c r="S5" i="35"/>
  <c r="T83" i="35"/>
  <c r="T85" i="35" s="1"/>
  <c r="T86" i="35" s="1"/>
  <c r="U83" i="35"/>
  <c r="U85" i="35" s="1"/>
  <c r="U7" i="35" s="1"/>
  <c r="S83" i="35"/>
  <c r="S85" i="35" s="1"/>
  <c r="AK242" i="35" s="1"/>
  <c r="R83" i="35"/>
  <c r="R85" i="35" s="1"/>
  <c r="R7" i="35" s="1"/>
  <c r="Q83" i="35"/>
  <c r="Q85" i="35" s="1"/>
  <c r="O5" i="35"/>
  <c r="P83" i="35"/>
  <c r="P85" i="35" s="1"/>
  <c r="P7" i="35" s="1"/>
  <c r="N5" i="35"/>
  <c r="O83" i="35"/>
  <c r="O85" i="35" s="1"/>
  <c r="AG242" i="35" s="1"/>
  <c r="N83" i="35"/>
  <c r="N85" i="35" s="1"/>
  <c r="N86" i="35" s="1"/>
  <c r="L5" i="35"/>
  <c r="M83" i="35"/>
  <c r="M85" i="35" s="1"/>
  <c r="M7" i="35" s="1"/>
  <c r="AI66" i="35"/>
  <c r="L83" i="35"/>
  <c r="L85" i="35" s="1"/>
  <c r="AD242" i="35" s="1"/>
  <c r="K5" i="35"/>
  <c r="K83" i="35"/>
  <c r="K85" i="35" s="1"/>
  <c r="K86" i="35" s="1"/>
  <c r="J5" i="35"/>
  <c r="I5" i="35"/>
  <c r="J83" i="35"/>
  <c r="J85" i="35" s="1"/>
  <c r="AB242" i="35" s="1"/>
  <c r="I83" i="35"/>
  <c r="I85" i="35" s="1"/>
  <c r="G5" i="35"/>
  <c r="H83" i="35"/>
  <c r="H85" i="35" s="1"/>
  <c r="H7" i="35" s="1"/>
  <c r="G83" i="35"/>
  <c r="G85" i="35" s="1"/>
  <c r="G86" i="35" s="1"/>
  <c r="G94" i="35"/>
  <c r="F83" i="35"/>
  <c r="F85" i="35" s="1"/>
  <c r="X242" i="35" s="1"/>
  <c r="AH44" i="35"/>
  <c r="D5" i="35"/>
  <c r="E83" i="35"/>
  <c r="E85" i="35" s="1"/>
  <c r="W242" i="35" s="1"/>
  <c r="C5" i="35"/>
  <c r="D83" i="35"/>
  <c r="D85" i="35" s="1"/>
  <c r="D86" i="35" s="1"/>
  <c r="AI107" i="35"/>
  <c r="AH107" i="35"/>
  <c r="C104" i="35"/>
  <c r="B5" i="35"/>
  <c r="AH48" i="35"/>
  <c r="B83" i="35"/>
  <c r="B85" i="35" s="1"/>
  <c r="B86" i="35" s="1"/>
  <c r="AI48" i="35"/>
  <c r="AI44" i="35"/>
  <c r="F7" i="35"/>
  <c r="AF242" i="35"/>
  <c r="V86" i="35"/>
  <c r="AV242" i="35"/>
  <c r="AD86" i="35"/>
  <c r="AD7" i="35"/>
  <c r="Y242" i="35"/>
  <c r="AO242" i="35"/>
  <c r="W86" i="35"/>
  <c r="W7" i="35"/>
  <c r="AW242" i="35"/>
  <c r="AE7" i="35"/>
  <c r="P86" i="35"/>
  <c r="AH242" i="35"/>
  <c r="AF7" i="35"/>
  <c r="E7" i="35"/>
  <c r="E86" i="35"/>
  <c r="Q86" i="35"/>
  <c r="Q7" i="35"/>
  <c r="AI242" i="35"/>
  <c r="Y7" i="35"/>
  <c r="AQ242" i="35"/>
  <c r="J225" i="35"/>
  <c r="K225" i="35" s="1"/>
  <c r="L225" i="35" s="1"/>
  <c r="M225" i="35" s="1"/>
  <c r="N225" i="35" s="1"/>
  <c r="O225" i="35" s="1"/>
  <c r="P225" i="35" s="1"/>
  <c r="S7" i="35"/>
  <c r="AS242" i="35"/>
  <c r="J7" i="35"/>
  <c r="R86" i="35"/>
  <c r="AJ242" i="35"/>
  <c r="AR242" i="35"/>
  <c r="H5" i="35"/>
  <c r="P5" i="35"/>
  <c r="X5" i="35"/>
  <c r="AF5" i="35"/>
  <c r="AH66" i="35"/>
  <c r="C83" i="35"/>
  <c r="C85" i="35" s="1"/>
  <c r="F94" i="35"/>
  <c r="N94" i="35"/>
  <c r="V94" i="35"/>
  <c r="AD94" i="35"/>
  <c r="D239" i="35"/>
  <c r="AH62" i="35"/>
  <c r="F227" i="35"/>
  <c r="AI62" i="35"/>
  <c r="AH78" i="35"/>
  <c r="AI78" i="35"/>
  <c r="AF83" i="34"/>
  <c r="AF85" i="34" s="1"/>
  <c r="AF7" i="34" s="1"/>
  <c r="AD5" i="34"/>
  <c r="AE83" i="34"/>
  <c r="AE85" i="34" s="1"/>
  <c r="AW242" i="34" s="1"/>
  <c r="AD94" i="34"/>
  <c r="AD83" i="34"/>
  <c r="AD85" i="34" s="1"/>
  <c r="AD86" i="34" s="1"/>
  <c r="AB5" i="34"/>
  <c r="AC83" i="34"/>
  <c r="AC85" i="34" s="1"/>
  <c r="AB83" i="34"/>
  <c r="AB85" i="34" s="1"/>
  <c r="AB86" i="34" s="1"/>
  <c r="AA83" i="34"/>
  <c r="AA85" i="34" s="1"/>
  <c r="AA7" i="34" s="1"/>
  <c r="Y5" i="34"/>
  <c r="Z83" i="34"/>
  <c r="Z85" i="34" s="1"/>
  <c r="Z86" i="34" s="1"/>
  <c r="X83" i="34"/>
  <c r="X85" i="34" s="1"/>
  <c r="AP242" i="34" s="1"/>
  <c r="W94" i="34"/>
  <c r="W83" i="34"/>
  <c r="W85" i="34" s="1"/>
  <c r="AO242" i="34" s="1"/>
  <c r="U5" i="34"/>
  <c r="V83" i="34"/>
  <c r="V85" i="34" s="1"/>
  <c r="AN242" i="34" s="1"/>
  <c r="U83" i="34"/>
  <c r="U85" i="34" s="1"/>
  <c r="U86" i="34" s="1"/>
  <c r="T5" i="34"/>
  <c r="T83" i="34"/>
  <c r="T85" i="34" s="1"/>
  <c r="T86" i="34" s="1"/>
  <c r="S83" i="34"/>
  <c r="S85" i="34" s="1"/>
  <c r="AK242" i="34" s="1"/>
  <c r="Q5" i="34"/>
  <c r="R83" i="34"/>
  <c r="R85" i="34" s="1"/>
  <c r="AJ242" i="34" s="1"/>
  <c r="P5" i="34"/>
  <c r="Q83" i="34"/>
  <c r="Q85" i="34" s="1"/>
  <c r="AI242" i="34" s="1"/>
  <c r="P83" i="34"/>
  <c r="P85" i="34" s="1"/>
  <c r="P86" i="34" s="1"/>
  <c r="O94" i="34"/>
  <c r="O83" i="34"/>
  <c r="O85" i="34" s="1"/>
  <c r="O7" i="34" s="1"/>
  <c r="M5" i="34"/>
  <c r="N83" i="34"/>
  <c r="N85" i="34" s="1"/>
  <c r="N7" i="34" s="1"/>
  <c r="L5" i="34"/>
  <c r="M83" i="34"/>
  <c r="M85" i="34" s="1"/>
  <c r="AE242" i="34" s="1"/>
  <c r="L83" i="34"/>
  <c r="L85" i="34" s="1"/>
  <c r="L86" i="34" s="1"/>
  <c r="K83" i="34"/>
  <c r="K85" i="34" s="1"/>
  <c r="K86" i="34" s="1"/>
  <c r="I5" i="34"/>
  <c r="I83" i="34"/>
  <c r="I85" i="34" s="1"/>
  <c r="I86" i="34" s="1"/>
  <c r="H5" i="34"/>
  <c r="AH66" i="34"/>
  <c r="H83" i="34"/>
  <c r="H85" i="34" s="1"/>
  <c r="H86" i="34" s="1"/>
  <c r="F5" i="34"/>
  <c r="G83" i="34"/>
  <c r="G85" i="34" s="1"/>
  <c r="G7" i="34" s="1"/>
  <c r="E5" i="34"/>
  <c r="F83" i="34"/>
  <c r="F85" i="34" s="1"/>
  <c r="F86" i="34" s="1"/>
  <c r="E83" i="34"/>
  <c r="E85" i="34" s="1"/>
  <c r="E7" i="34" s="1"/>
  <c r="AI62" i="34"/>
  <c r="AH48" i="34"/>
  <c r="D83" i="34"/>
  <c r="D85" i="34" s="1"/>
  <c r="D7" i="34" s="1"/>
  <c r="AH78" i="34"/>
  <c r="AH62" i="34"/>
  <c r="C83" i="34"/>
  <c r="C85" i="34" s="1"/>
  <c r="C86" i="34" s="1"/>
  <c r="AF5" i="34"/>
  <c r="B94" i="34"/>
  <c r="AI66" i="34"/>
  <c r="AI78" i="34"/>
  <c r="B83" i="34"/>
  <c r="AE5" i="33"/>
  <c r="AF83" i="33"/>
  <c r="AF85" i="33" s="1"/>
  <c r="AF86" i="33" s="1"/>
  <c r="AC7" i="34"/>
  <c r="AU242" i="34"/>
  <c r="AC86" i="34"/>
  <c r="Z242" i="34"/>
  <c r="H222" i="34"/>
  <c r="X86" i="34"/>
  <c r="M7" i="34"/>
  <c r="AX242" i="34"/>
  <c r="Y7" i="34"/>
  <c r="AQ242" i="34"/>
  <c r="L7" i="34"/>
  <c r="U7" i="34"/>
  <c r="AM242" i="34"/>
  <c r="AF242" i="34"/>
  <c r="N86" i="34"/>
  <c r="J86" i="34"/>
  <c r="P7" i="34"/>
  <c r="AA86" i="34"/>
  <c r="AS242" i="34"/>
  <c r="D239" i="34"/>
  <c r="C94" i="34"/>
  <c r="K94" i="34"/>
  <c r="S94" i="34"/>
  <c r="AA94" i="34"/>
  <c r="B5" i="34"/>
  <c r="H94" i="34"/>
  <c r="P94" i="34"/>
  <c r="X94" i="34"/>
  <c r="AF94" i="34"/>
  <c r="E104" i="34"/>
  <c r="F227" i="34"/>
  <c r="AG2" i="34"/>
  <c r="AG6" i="34" s="1"/>
  <c r="C5" i="34"/>
  <c r="K5" i="34"/>
  <c r="S5" i="34"/>
  <c r="AA5" i="34"/>
  <c r="E225" i="34"/>
  <c r="F225" i="34" s="1"/>
  <c r="G225" i="34" s="1"/>
  <c r="H225" i="34" s="1"/>
  <c r="I225" i="34" s="1"/>
  <c r="AI44" i="34"/>
  <c r="AI48" i="34"/>
  <c r="AH44" i="34"/>
  <c r="AE83" i="33"/>
  <c r="AE85" i="33" s="1"/>
  <c r="AC5" i="33"/>
  <c r="AD83" i="33"/>
  <c r="AD85" i="33" s="1"/>
  <c r="AD86" i="33" s="1"/>
  <c r="AB5" i="33"/>
  <c r="AC83" i="33"/>
  <c r="AC85" i="33" s="1"/>
  <c r="AC7" i="33" s="1"/>
  <c r="AA5" i="33"/>
  <c r="AB83" i="33"/>
  <c r="AB85" i="33" s="1"/>
  <c r="AB86" i="33" s="1"/>
  <c r="Z5" i="33"/>
  <c r="AA83" i="33"/>
  <c r="AA85" i="33" s="1"/>
  <c r="Y5" i="33"/>
  <c r="Z83" i="33"/>
  <c r="Z85" i="33" s="1"/>
  <c r="Z7" i="33" s="1"/>
  <c r="D228" i="33"/>
  <c r="AI107" i="33"/>
  <c r="X5" i="33"/>
  <c r="Y83" i="33"/>
  <c r="Y85" i="33" s="1"/>
  <c r="AQ242" i="33" s="1"/>
  <c r="W5" i="33"/>
  <c r="X83" i="33"/>
  <c r="X85" i="33" s="1"/>
  <c r="U5" i="33"/>
  <c r="W83" i="33"/>
  <c r="W85" i="33" s="1"/>
  <c r="AO242" i="33" s="1"/>
  <c r="V83" i="33"/>
  <c r="V85" i="33" s="1"/>
  <c r="V86" i="33" s="1"/>
  <c r="T5" i="33"/>
  <c r="U83" i="33"/>
  <c r="U85" i="33" s="1"/>
  <c r="U86" i="33" s="1"/>
  <c r="S5" i="33"/>
  <c r="T83" i="33"/>
  <c r="T85" i="33" s="1"/>
  <c r="T86" i="33" s="1"/>
  <c r="R5" i="33"/>
  <c r="S83" i="33"/>
  <c r="S85" i="33" s="1"/>
  <c r="S7" i="33" s="1"/>
  <c r="Q5" i="33"/>
  <c r="R83" i="33"/>
  <c r="R85" i="33" s="1"/>
  <c r="R7" i="33" s="1"/>
  <c r="P5" i="33"/>
  <c r="Q83" i="33"/>
  <c r="Q85" i="33" s="1"/>
  <c r="Q86" i="33" s="1"/>
  <c r="P83" i="33"/>
  <c r="P85" i="33" s="1"/>
  <c r="O5" i="33"/>
  <c r="O83" i="33"/>
  <c r="O85" i="33" s="1"/>
  <c r="M5" i="33"/>
  <c r="N83" i="33"/>
  <c r="N85" i="33" s="1"/>
  <c r="AF242" i="33" s="1"/>
  <c r="L5" i="33"/>
  <c r="AI66" i="33"/>
  <c r="M83" i="33"/>
  <c r="M85" i="33" s="1"/>
  <c r="M86" i="33" s="1"/>
  <c r="K5" i="33"/>
  <c r="AH66" i="33"/>
  <c r="L83" i="33"/>
  <c r="L85" i="33" s="1"/>
  <c r="L86" i="33" s="1"/>
  <c r="J5" i="33"/>
  <c r="K83" i="33"/>
  <c r="K85" i="33" s="1"/>
  <c r="K86" i="33" s="1"/>
  <c r="AH107" i="33"/>
  <c r="J83" i="33"/>
  <c r="J85" i="33" s="1"/>
  <c r="J7" i="33" s="1"/>
  <c r="H5" i="33"/>
  <c r="I83" i="33"/>
  <c r="I85" i="33" s="1"/>
  <c r="AA242" i="33" s="1"/>
  <c r="G5" i="33"/>
  <c r="H83" i="33"/>
  <c r="H85" i="33" s="1"/>
  <c r="H86" i="33" s="1"/>
  <c r="G83" i="33"/>
  <c r="G85" i="33" s="1"/>
  <c r="G7" i="33" s="1"/>
  <c r="E5" i="33"/>
  <c r="F83" i="33"/>
  <c r="F85" i="33" s="1"/>
  <c r="X242" i="33" s="1"/>
  <c r="D5" i="33"/>
  <c r="E83" i="33"/>
  <c r="E85" i="33" s="1"/>
  <c r="E7" i="33" s="1"/>
  <c r="C5" i="33"/>
  <c r="D83" i="33"/>
  <c r="D85" i="33" s="1"/>
  <c r="D86" i="33" s="1"/>
  <c r="B5" i="33"/>
  <c r="C83" i="33"/>
  <c r="C85" i="33" s="1"/>
  <c r="C86" i="33" s="1"/>
  <c r="AI62" i="33"/>
  <c r="AI48" i="33"/>
  <c r="AF5" i="33"/>
  <c r="B83" i="33"/>
  <c r="I86" i="33"/>
  <c r="Q7" i="33"/>
  <c r="Y86" i="33"/>
  <c r="Y7" i="33"/>
  <c r="AG83" i="33"/>
  <c r="P86" i="33"/>
  <c r="P7" i="33"/>
  <c r="AH242" i="33"/>
  <c r="R86" i="33"/>
  <c r="S86" i="33"/>
  <c r="AA86" i="33"/>
  <c r="AA7" i="33"/>
  <c r="AS242" i="33"/>
  <c r="AD242" i="33"/>
  <c r="AL242" i="33"/>
  <c r="E86" i="33"/>
  <c r="U7" i="33"/>
  <c r="AM242" i="33"/>
  <c r="AG85" i="33"/>
  <c r="X86" i="33"/>
  <c r="X7" i="33"/>
  <c r="AP242" i="33"/>
  <c r="AN242" i="33"/>
  <c r="AV242" i="33"/>
  <c r="AD7" i="33"/>
  <c r="AF7" i="33"/>
  <c r="AG242" i="33"/>
  <c r="O86" i="33"/>
  <c r="O7" i="33"/>
  <c r="AW242" i="33"/>
  <c r="AE86" i="33"/>
  <c r="AE7" i="33"/>
  <c r="J225" i="33"/>
  <c r="K225" i="33" s="1"/>
  <c r="L225" i="33" s="1"/>
  <c r="M225" i="33" s="1"/>
  <c r="N225" i="33" s="1"/>
  <c r="O225" i="33" s="1"/>
  <c r="P225" i="33" s="1"/>
  <c r="D239" i="33"/>
  <c r="G94" i="33"/>
  <c r="O94" i="33"/>
  <c r="W94" i="33"/>
  <c r="AE94" i="33"/>
  <c r="D104" i="33"/>
  <c r="E227" i="33"/>
  <c r="AH62" i="33"/>
  <c r="AH78" i="33"/>
  <c r="E222" i="33"/>
  <c r="AI78" i="33"/>
  <c r="AH44" i="33"/>
  <c r="AH48" i="33"/>
  <c r="AI44" i="33"/>
  <c r="AE5" i="32"/>
  <c r="AF83" i="32"/>
  <c r="AF85" i="32" s="1"/>
  <c r="AX242" i="32" s="1"/>
  <c r="AE83" i="32"/>
  <c r="AE85" i="32" s="1"/>
  <c r="AE7" i="32" s="1"/>
  <c r="AC5" i="32"/>
  <c r="AD83" i="32"/>
  <c r="AD85" i="32" s="1"/>
  <c r="AV242" i="32" s="1"/>
  <c r="AB5" i="32"/>
  <c r="AC83" i="32"/>
  <c r="AC85" i="32" s="1"/>
  <c r="AC7" i="32" s="1"/>
  <c r="AA5" i="32"/>
  <c r="AB83" i="32"/>
  <c r="AB85" i="32" s="1"/>
  <c r="AT242" i="32" s="1"/>
  <c r="Z5" i="32"/>
  <c r="AA83" i="32"/>
  <c r="AA85" i="32" s="1"/>
  <c r="Y83" i="32"/>
  <c r="Y85" i="32" s="1"/>
  <c r="Y5" i="32"/>
  <c r="Z83" i="32"/>
  <c r="Z85" i="32" s="1"/>
  <c r="AR242" i="32" s="1"/>
  <c r="X5" i="32"/>
  <c r="W5" i="32"/>
  <c r="X85" i="32"/>
  <c r="W83" i="32"/>
  <c r="W85" i="32" s="1"/>
  <c r="AO242" i="32" s="1"/>
  <c r="U5" i="32"/>
  <c r="V83" i="32"/>
  <c r="V85" i="32" s="1"/>
  <c r="V7" i="32" s="1"/>
  <c r="T5" i="32"/>
  <c r="U83" i="32"/>
  <c r="U85" i="32" s="1"/>
  <c r="U86" i="32" s="1"/>
  <c r="S5" i="32"/>
  <c r="T83" i="32"/>
  <c r="T85" i="32" s="1"/>
  <c r="AL242" i="32" s="1"/>
  <c r="R5" i="32"/>
  <c r="AI66" i="32"/>
  <c r="S83" i="32"/>
  <c r="S85" i="32" s="1"/>
  <c r="AK242" i="32" s="1"/>
  <c r="R83" i="32"/>
  <c r="R85" i="32" s="1"/>
  <c r="P5" i="32"/>
  <c r="Q83" i="32"/>
  <c r="Q85" i="32" s="1"/>
  <c r="Q7" i="32" s="1"/>
  <c r="O83" i="32"/>
  <c r="O85" i="32" s="1"/>
  <c r="AG242" i="32" s="1"/>
  <c r="M5" i="32"/>
  <c r="N83" i="32"/>
  <c r="N85" i="32" s="1"/>
  <c r="AF242" i="32" s="1"/>
  <c r="L5" i="32"/>
  <c r="M83" i="32"/>
  <c r="M85" i="32" s="1"/>
  <c r="M7" i="32" s="1"/>
  <c r="K5" i="32"/>
  <c r="AH66" i="32"/>
  <c r="L83" i="32"/>
  <c r="L85" i="32" s="1"/>
  <c r="L7" i="32" s="1"/>
  <c r="J5" i="32"/>
  <c r="J83" i="32"/>
  <c r="J85" i="32" s="1"/>
  <c r="J7" i="32" s="1"/>
  <c r="K83" i="32"/>
  <c r="K85" i="32" s="1"/>
  <c r="AC242" i="32" s="1"/>
  <c r="H5" i="32"/>
  <c r="I83" i="32"/>
  <c r="I85" i="32" s="1"/>
  <c r="I7" i="32" s="1"/>
  <c r="G5" i="32"/>
  <c r="H83" i="32"/>
  <c r="H85" i="32" s="1"/>
  <c r="H86" i="32" s="1"/>
  <c r="G83" i="32"/>
  <c r="G85" i="32" s="1"/>
  <c r="G7" i="32" s="1"/>
  <c r="E5" i="32"/>
  <c r="F83" i="32"/>
  <c r="F85" i="32" s="1"/>
  <c r="X242" i="32" s="1"/>
  <c r="D5" i="32"/>
  <c r="E83" i="32"/>
  <c r="E85" i="32" s="1"/>
  <c r="W242" i="32" s="1"/>
  <c r="B5" i="32"/>
  <c r="C5" i="32"/>
  <c r="AH62" i="32"/>
  <c r="C83" i="32"/>
  <c r="C85" i="32" s="1"/>
  <c r="C7" i="32" s="1"/>
  <c r="D83" i="32"/>
  <c r="D85" i="32" s="1"/>
  <c r="D86" i="32" s="1"/>
  <c r="AH48" i="32"/>
  <c r="AF5" i="32"/>
  <c r="AI62" i="32"/>
  <c r="B83" i="32"/>
  <c r="B85" i="32" s="1"/>
  <c r="AI48" i="32"/>
  <c r="D239" i="32"/>
  <c r="L86" i="32"/>
  <c r="E7" i="32"/>
  <c r="E86" i="32"/>
  <c r="AG85" i="32"/>
  <c r="AA86" i="32"/>
  <c r="AA7" i="32"/>
  <c r="AS242" i="32"/>
  <c r="Y242" i="32"/>
  <c r="P86" i="32"/>
  <c r="P7" i="32"/>
  <c r="AH242" i="32"/>
  <c r="X86" i="32"/>
  <c r="X7" i="32"/>
  <c r="AP242" i="32"/>
  <c r="AF86" i="32"/>
  <c r="AF7" i="32"/>
  <c r="G222" i="32"/>
  <c r="J225" i="32"/>
  <c r="K225" i="32" s="1"/>
  <c r="L225" i="32" s="1"/>
  <c r="M225" i="32" s="1"/>
  <c r="N225" i="32" s="1"/>
  <c r="O225" i="32" s="1"/>
  <c r="P225" i="32" s="1"/>
  <c r="AG83" i="32"/>
  <c r="K7" i="32"/>
  <c r="R86" i="32"/>
  <c r="R7" i="32"/>
  <c r="AJ242" i="32"/>
  <c r="Z86" i="32"/>
  <c r="Z7" i="32"/>
  <c r="S86" i="32"/>
  <c r="G94" i="32"/>
  <c r="O94" i="32"/>
  <c r="W94" i="32"/>
  <c r="AE94" i="32"/>
  <c r="D104" i="32"/>
  <c r="E223" i="32"/>
  <c r="E227" i="32"/>
  <c r="AH78" i="32"/>
  <c r="AI78" i="32"/>
  <c r="AH44" i="32"/>
  <c r="AI44" i="32"/>
  <c r="AE83" i="31"/>
  <c r="AE85" i="31" s="1"/>
  <c r="AC5" i="31"/>
  <c r="AD83" i="31"/>
  <c r="AD85" i="31" s="1"/>
  <c r="AD7" i="31" s="1"/>
  <c r="AB5" i="31"/>
  <c r="AC83" i="31"/>
  <c r="AC85" i="31" s="1"/>
  <c r="AC7" i="31" s="1"/>
  <c r="AB83" i="31"/>
  <c r="AB85" i="31" s="1"/>
  <c r="AB86" i="31" s="1"/>
  <c r="AA83" i="31"/>
  <c r="AA85" i="31" s="1"/>
  <c r="AA86" i="31" s="1"/>
  <c r="Z94" i="31"/>
  <c r="W5" i="31"/>
  <c r="X83" i="31"/>
  <c r="X85" i="31" s="1"/>
  <c r="X86" i="31" s="1"/>
  <c r="V5" i="31"/>
  <c r="W83" i="31"/>
  <c r="W85" i="31" s="1"/>
  <c r="U5" i="31"/>
  <c r="V83" i="31"/>
  <c r="V85" i="31" s="1"/>
  <c r="V7" i="31" s="1"/>
  <c r="T5" i="31"/>
  <c r="U83" i="31"/>
  <c r="U85" i="31" s="1"/>
  <c r="AM242" i="31" s="1"/>
  <c r="T83" i="31"/>
  <c r="T85" i="31" s="1"/>
  <c r="S83" i="31"/>
  <c r="S85" i="31" s="1"/>
  <c r="S7" i="31" s="1"/>
  <c r="R83" i="31"/>
  <c r="R85" i="31" s="1"/>
  <c r="R86" i="31" s="1"/>
  <c r="P5" i="31"/>
  <c r="Q83" i="31"/>
  <c r="Q85" i="31" s="1"/>
  <c r="AI242" i="31" s="1"/>
  <c r="O5" i="31"/>
  <c r="P83" i="31"/>
  <c r="P85" i="31" s="1"/>
  <c r="P86" i="31" s="1"/>
  <c r="N5" i="31"/>
  <c r="O83" i="31"/>
  <c r="O85" i="31" s="1"/>
  <c r="AG242" i="31" s="1"/>
  <c r="N83" i="31"/>
  <c r="N85" i="31" s="1"/>
  <c r="N86" i="31" s="1"/>
  <c r="L5" i="31"/>
  <c r="M83" i="31"/>
  <c r="M85" i="31" s="1"/>
  <c r="AE242" i="31" s="1"/>
  <c r="AH66" i="31"/>
  <c r="AI66" i="31"/>
  <c r="L83" i="31"/>
  <c r="L85" i="31" s="1"/>
  <c r="L7" i="31" s="1"/>
  <c r="K83" i="31"/>
  <c r="K85" i="31" s="1"/>
  <c r="K7" i="31" s="1"/>
  <c r="I5" i="31"/>
  <c r="J83" i="31"/>
  <c r="J85" i="31" s="1"/>
  <c r="J7" i="31" s="1"/>
  <c r="H5" i="31"/>
  <c r="I83" i="31"/>
  <c r="I85" i="31" s="1"/>
  <c r="I86" i="31" s="1"/>
  <c r="G5" i="31"/>
  <c r="H83" i="31"/>
  <c r="H85" i="31" s="1"/>
  <c r="H86" i="31" s="1"/>
  <c r="F5" i="31"/>
  <c r="G83" i="31"/>
  <c r="G85" i="31" s="1"/>
  <c r="Y242" i="31" s="1"/>
  <c r="E5" i="31"/>
  <c r="F83" i="31"/>
  <c r="F85" i="31" s="1"/>
  <c r="F86" i="31" s="1"/>
  <c r="D5" i="31"/>
  <c r="E83" i="31"/>
  <c r="E85" i="31" s="1"/>
  <c r="W242" i="31" s="1"/>
  <c r="D83" i="31"/>
  <c r="D85" i="31" s="1"/>
  <c r="D86" i="31" s="1"/>
  <c r="AH78" i="31"/>
  <c r="AI62" i="31"/>
  <c r="AH48" i="31"/>
  <c r="C83" i="31"/>
  <c r="C85" i="31" s="1"/>
  <c r="U242" i="31" s="1"/>
  <c r="AF5" i="31"/>
  <c r="B83" i="31"/>
  <c r="B85" i="31" s="1"/>
  <c r="B94" i="31"/>
  <c r="Y7" i="31"/>
  <c r="AQ242" i="31"/>
  <c r="Y86" i="31"/>
  <c r="AR242" i="31"/>
  <c r="Z86" i="31"/>
  <c r="Z7" i="31"/>
  <c r="AC242" i="31"/>
  <c r="AO242" i="31"/>
  <c r="W86" i="31"/>
  <c r="W7" i="31"/>
  <c r="D7" i="31"/>
  <c r="T86" i="31"/>
  <c r="T7" i="31"/>
  <c r="AL242" i="31"/>
  <c r="AG85" i="31"/>
  <c r="AW242" i="31"/>
  <c r="AE86" i="31"/>
  <c r="AE7" i="31"/>
  <c r="E228" i="31"/>
  <c r="AN242" i="31"/>
  <c r="AV242" i="31"/>
  <c r="AF86" i="31"/>
  <c r="AF7" i="31"/>
  <c r="AX242" i="31"/>
  <c r="H222" i="31"/>
  <c r="AI78" i="31"/>
  <c r="AH44" i="31"/>
  <c r="K94" i="31"/>
  <c r="E225" i="31"/>
  <c r="F225" i="31" s="1"/>
  <c r="G225" i="31" s="1"/>
  <c r="H225" i="31" s="1"/>
  <c r="I225" i="31" s="1"/>
  <c r="D239" i="31"/>
  <c r="S94" i="31"/>
  <c r="B5" i="31"/>
  <c r="Z5" i="31"/>
  <c r="AH62" i="31"/>
  <c r="F227" i="31"/>
  <c r="AG2" i="31"/>
  <c r="AG6" i="31" s="1"/>
  <c r="C5" i="31"/>
  <c r="K5" i="31"/>
  <c r="S5" i="31"/>
  <c r="AA5" i="31"/>
  <c r="F104" i="31"/>
  <c r="AI44" i="31"/>
  <c r="AI48" i="31"/>
  <c r="AE5" i="30"/>
  <c r="AF83" i="30"/>
  <c r="AF85" i="30" s="1"/>
  <c r="AX242" i="30" s="1"/>
  <c r="AD5" i="30"/>
  <c r="AE83" i="30"/>
  <c r="AE85" i="30" s="1"/>
  <c r="AE86" i="30" s="1"/>
  <c r="AC5" i="30"/>
  <c r="AD83" i="30"/>
  <c r="AD85" i="30" s="1"/>
  <c r="AV242" i="30" s="1"/>
  <c r="AB5" i="30"/>
  <c r="AC83" i="30"/>
  <c r="AC85" i="30" s="1"/>
  <c r="AU242" i="30" s="1"/>
  <c r="AA5" i="30"/>
  <c r="AB83" i="30"/>
  <c r="AB85" i="30" s="1"/>
  <c r="AB86" i="30" s="1"/>
  <c r="Z83" i="30"/>
  <c r="Z85" i="30" s="1"/>
  <c r="Z86" i="30" s="1"/>
  <c r="Y5" i="30"/>
  <c r="AA83" i="30"/>
  <c r="AA85" i="30" s="1"/>
  <c r="AA86" i="30" s="1"/>
  <c r="Z5" i="30"/>
  <c r="AI107" i="30"/>
  <c r="AQ242" i="30"/>
  <c r="V5" i="30"/>
  <c r="U5" i="30"/>
  <c r="V83" i="30"/>
  <c r="V85" i="30" s="1"/>
  <c r="V86" i="30" s="1"/>
  <c r="U83" i="30"/>
  <c r="U85" i="30" s="1"/>
  <c r="U7" i="30" s="1"/>
  <c r="S5" i="30"/>
  <c r="T83" i="30"/>
  <c r="T85" i="30" s="1"/>
  <c r="T86" i="30" s="1"/>
  <c r="R5" i="30"/>
  <c r="S83" i="30"/>
  <c r="S85" i="30" s="1"/>
  <c r="S86" i="30" s="1"/>
  <c r="Q5" i="30"/>
  <c r="R83" i="30"/>
  <c r="R85" i="30" s="1"/>
  <c r="AJ242" i="30" s="1"/>
  <c r="Q83" i="30"/>
  <c r="Q85" i="30" s="1"/>
  <c r="AI242" i="30" s="1"/>
  <c r="P5" i="30"/>
  <c r="O5" i="30"/>
  <c r="N5" i="30"/>
  <c r="AI66" i="30"/>
  <c r="O83" i="30"/>
  <c r="O85" i="30" s="1"/>
  <c r="AG242" i="30" s="1"/>
  <c r="P83" i="30"/>
  <c r="P85" i="30" s="1"/>
  <c r="P86" i="30" s="1"/>
  <c r="M5" i="30"/>
  <c r="N83" i="30"/>
  <c r="N85" i="30" s="1"/>
  <c r="AF242" i="30" s="1"/>
  <c r="L5" i="30"/>
  <c r="M83" i="30"/>
  <c r="M85" i="30" s="1"/>
  <c r="M7" i="30" s="1"/>
  <c r="K5" i="30"/>
  <c r="L83" i="30"/>
  <c r="L85" i="30" s="1"/>
  <c r="L86" i="30" s="1"/>
  <c r="J5" i="30"/>
  <c r="K83" i="30"/>
  <c r="K85" i="30" s="1"/>
  <c r="AC242" i="30" s="1"/>
  <c r="I5" i="30"/>
  <c r="J83" i="30"/>
  <c r="J85" i="30" s="1"/>
  <c r="J86" i="30" s="1"/>
  <c r="H5" i="30"/>
  <c r="I83" i="30"/>
  <c r="I85" i="30" s="1"/>
  <c r="I86" i="30" s="1"/>
  <c r="G5" i="30"/>
  <c r="H83" i="30"/>
  <c r="H85" i="30" s="1"/>
  <c r="H86" i="30" s="1"/>
  <c r="G83" i="30"/>
  <c r="G85" i="30" s="1"/>
  <c r="G7" i="30" s="1"/>
  <c r="F5" i="30"/>
  <c r="AH107" i="30"/>
  <c r="E5" i="30"/>
  <c r="F83" i="30"/>
  <c r="F85" i="30" s="1"/>
  <c r="X242" i="30" s="1"/>
  <c r="D5" i="30"/>
  <c r="E83" i="30"/>
  <c r="E85" i="30" s="1"/>
  <c r="E7" i="30" s="1"/>
  <c r="C5" i="30"/>
  <c r="D83" i="30"/>
  <c r="D85" i="30" s="1"/>
  <c r="V242" i="30" s="1"/>
  <c r="B5" i="30"/>
  <c r="AH62" i="30"/>
  <c r="C83" i="30"/>
  <c r="C85" i="30" s="1"/>
  <c r="C86" i="30" s="1"/>
  <c r="AI48" i="30"/>
  <c r="AF5" i="30"/>
  <c r="AI62" i="30"/>
  <c r="B83" i="30"/>
  <c r="B85" i="30" s="1"/>
  <c r="D86" i="30"/>
  <c r="T7" i="30"/>
  <c r="AT242" i="30"/>
  <c r="AC7" i="30"/>
  <c r="AI94" i="30"/>
  <c r="AH94" i="30"/>
  <c r="AO242" i="30"/>
  <c r="W86" i="30"/>
  <c r="W7" i="30"/>
  <c r="AP242" i="30"/>
  <c r="AF86" i="30"/>
  <c r="AF7" i="30"/>
  <c r="Y7" i="30"/>
  <c r="AG83" i="30"/>
  <c r="G222" i="30"/>
  <c r="F104" i="30"/>
  <c r="F228" i="30"/>
  <c r="R86" i="30"/>
  <c r="R7" i="30"/>
  <c r="J225" i="30"/>
  <c r="K225" i="30" s="1"/>
  <c r="L225" i="30" s="1"/>
  <c r="M225" i="30" s="1"/>
  <c r="N225" i="30" s="1"/>
  <c r="O225" i="30" s="1"/>
  <c r="P225" i="30" s="1"/>
  <c r="AH66" i="30"/>
  <c r="E228" i="30"/>
  <c r="D239" i="30"/>
  <c r="AH78" i="30"/>
  <c r="AI78" i="30"/>
  <c r="H227" i="30"/>
  <c r="AH44" i="30"/>
  <c r="AH48" i="30"/>
  <c r="AI44" i="30"/>
  <c r="AE5" i="29"/>
  <c r="AF83" i="29"/>
  <c r="AF85" i="29" s="1"/>
  <c r="AF86" i="29" s="1"/>
  <c r="AE83" i="29"/>
  <c r="AE85" i="29" s="1"/>
  <c r="AW242" i="29" s="1"/>
  <c r="AD94" i="29"/>
  <c r="AD83" i="29"/>
  <c r="AD85" i="29" s="1"/>
  <c r="AD86" i="29" s="1"/>
  <c r="AB5" i="29"/>
  <c r="AC83" i="29"/>
  <c r="AC85" i="29" s="1"/>
  <c r="AC7" i="29" s="1"/>
  <c r="AA5" i="29"/>
  <c r="AB83" i="29"/>
  <c r="AB85" i="29" s="1"/>
  <c r="AB86" i="29" s="1"/>
  <c r="Z5" i="29"/>
  <c r="AA83" i="29"/>
  <c r="AA85" i="29" s="1"/>
  <c r="AA7" i="29" s="1"/>
  <c r="Y5" i="29"/>
  <c r="Z83" i="29"/>
  <c r="Z85" i="29" s="1"/>
  <c r="AR242" i="29" s="1"/>
  <c r="AH47" i="29"/>
  <c r="Y48" i="29"/>
  <c r="AH48" i="29" s="1"/>
  <c r="AI45" i="29"/>
  <c r="AH45" i="29"/>
  <c r="AI47" i="29"/>
  <c r="W5" i="29"/>
  <c r="X83" i="29"/>
  <c r="X85" i="29" s="1"/>
  <c r="X86" i="29" s="1"/>
  <c r="W83" i="29"/>
  <c r="W85" i="29" s="1"/>
  <c r="W86" i="29" s="1"/>
  <c r="V94" i="29"/>
  <c r="V83" i="29"/>
  <c r="V85" i="29" s="1"/>
  <c r="AN242" i="29" s="1"/>
  <c r="T5" i="29"/>
  <c r="U83" i="29"/>
  <c r="U85" i="29" s="1"/>
  <c r="AM242" i="29" s="1"/>
  <c r="S5" i="29"/>
  <c r="T83" i="29"/>
  <c r="T85" i="29" s="1"/>
  <c r="T86" i="29" s="1"/>
  <c r="R5" i="29"/>
  <c r="S83" i="29"/>
  <c r="S85" i="29" s="1"/>
  <c r="AK242" i="29" s="1"/>
  <c r="Q5" i="29"/>
  <c r="R83" i="29"/>
  <c r="R85" i="29" s="1"/>
  <c r="AJ242" i="29" s="1"/>
  <c r="P5" i="29"/>
  <c r="Q83" i="29"/>
  <c r="Q85" i="29" s="1"/>
  <c r="Q86" i="29" s="1"/>
  <c r="O5" i="29"/>
  <c r="P83" i="29"/>
  <c r="P85" i="29" s="1"/>
  <c r="P7" i="29" s="1"/>
  <c r="O83" i="29"/>
  <c r="O85" i="29" s="1"/>
  <c r="AG242" i="29" s="1"/>
  <c r="N94" i="29"/>
  <c r="N83" i="29"/>
  <c r="L5" i="29"/>
  <c r="AI66" i="29"/>
  <c r="AH66" i="29"/>
  <c r="M83" i="29"/>
  <c r="M85" i="29" s="1"/>
  <c r="M7" i="29" s="1"/>
  <c r="K5" i="29"/>
  <c r="L83" i="29"/>
  <c r="L85" i="29" s="1"/>
  <c r="L7" i="29" s="1"/>
  <c r="J5" i="29"/>
  <c r="I5" i="29"/>
  <c r="H5" i="29"/>
  <c r="J83" i="29"/>
  <c r="J85" i="29" s="1"/>
  <c r="J86" i="29" s="1"/>
  <c r="G5" i="29"/>
  <c r="I83" i="29"/>
  <c r="I85" i="29" s="1"/>
  <c r="I86" i="29" s="1"/>
  <c r="K83" i="29"/>
  <c r="K85" i="29" s="1"/>
  <c r="K86" i="29" s="1"/>
  <c r="F94" i="29"/>
  <c r="D5" i="29"/>
  <c r="E83" i="29"/>
  <c r="E85" i="29" s="1"/>
  <c r="E86" i="29" s="1"/>
  <c r="G83" i="29"/>
  <c r="G85" i="29" s="1"/>
  <c r="G7" i="29" s="1"/>
  <c r="F83" i="29"/>
  <c r="F85" i="29" s="1"/>
  <c r="F86" i="29" s="1"/>
  <c r="H83" i="29"/>
  <c r="H85" i="29" s="1"/>
  <c r="H86" i="29" s="1"/>
  <c r="C5" i="29"/>
  <c r="D83" i="29"/>
  <c r="D85" i="29" s="1"/>
  <c r="D86" i="29" s="1"/>
  <c r="C83" i="29"/>
  <c r="C85" i="29" s="1"/>
  <c r="U242" i="29" s="1"/>
  <c r="B5" i="29"/>
  <c r="AI62" i="29"/>
  <c r="AF5" i="29"/>
  <c r="B83" i="29"/>
  <c r="B85" i="29" s="1"/>
  <c r="AG85" i="29"/>
  <c r="AE7" i="29"/>
  <c r="P86" i="29"/>
  <c r="C86" i="29"/>
  <c r="C7" i="29"/>
  <c r="G222" i="29"/>
  <c r="J225" i="29"/>
  <c r="K225" i="29" s="1"/>
  <c r="L225" i="29" s="1"/>
  <c r="M225" i="29" s="1"/>
  <c r="N225" i="29" s="1"/>
  <c r="O225" i="29" s="1"/>
  <c r="P225" i="29" s="1"/>
  <c r="D239" i="29"/>
  <c r="G94" i="29"/>
  <c r="O94" i="29"/>
  <c r="W94" i="29"/>
  <c r="AE94" i="29"/>
  <c r="D104" i="29"/>
  <c r="E223" i="29"/>
  <c r="E227" i="29"/>
  <c r="AH62" i="29"/>
  <c r="AH78" i="29"/>
  <c r="AI78" i="29"/>
  <c r="AH44" i="29"/>
  <c r="AI44" i="29"/>
  <c r="S78" i="28"/>
  <c r="Y86" i="32" l="1"/>
  <c r="Y7" i="32"/>
  <c r="AQ242" i="32"/>
  <c r="AA242" i="34"/>
  <c r="AH242" i="29"/>
  <c r="X7" i="30"/>
  <c r="AH242" i="31"/>
  <c r="T7" i="33"/>
  <c r="AB242" i="34"/>
  <c r="I7" i="34"/>
  <c r="H7" i="34"/>
  <c r="Z7" i="35"/>
  <c r="AA7" i="35"/>
  <c r="O86" i="35"/>
  <c r="F86" i="35"/>
  <c r="AA86" i="29"/>
  <c r="AI48" i="29"/>
  <c r="AL242" i="30"/>
  <c r="F228" i="31"/>
  <c r="V242" i="31"/>
  <c r="P7" i="31"/>
  <c r="AH242" i="34"/>
  <c r="AD242" i="34"/>
  <c r="H86" i="35"/>
  <c r="F263" i="36"/>
  <c r="H227" i="36"/>
  <c r="AE86" i="29"/>
  <c r="AR242" i="30"/>
  <c r="AC86" i="31"/>
  <c r="I86" i="32"/>
  <c r="X7" i="34"/>
  <c r="S86" i="35"/>
  <c r="E228" i="34"/>
  <c r="Z7" i="30"/>
  <c r="D7" i="30"/>
  <c r="AU242" i="31"/>
  <c r="M86" i="32"/>
  <c r="W7" i="34"/>
  <c r="R86" i="34"/>
  <c r="AH94" i="31"/>
  <c r="W86" i="34"/>
  <c r="R7" i="34"/>
  <c r="D86" i="34"/>
  <c r="L7" i="35"/>
  <c r="N85" i="29"/>
  <c r="AF242" i="29" s="1"/>
  <c r="Y83" i="29"/>
  <c r="Y85" i="29" s="1"/>
  <c r="Y86" i="29" s="1"/>
  <c r="N7" i="31"/>
  <c r="K86" i="32"/>
  <c r="G86" i="32"/>
  <c r="AT242" i="33"/>
  <c r="Z86" i="33"/>
  <c r="AI242" i="33"/>
  <c r="V242" i="35"/>
  <c r="J86" i="35"/>
  <c r="X86" i="35"/>
  <c r="G104" i="36"/>
  <c r="K6" i="36"/>
  <c r="I222" i="36"/>
  <c r="H228" i="36"/>
  <c r="H104" i="36"/>
  <c r="A7" i="36"/>
  <c r="AI86" i="36"/>
  <c r="AH86" i="36"/>
  <c r="AX242" i="35"/>
  <c r="AU242" i="35"/>
  <c r="AC7" i="35"/>
  <c r="AB86" i="35"/>
  <c r="AT242" i="35"/>
  <c r="F222" i="35"/>
  <c r="E104" i="35"/>
  <c r="AL242" i="35"/>
  <c r="T7" i="35"/>
  <c r="V7" i="35"/>
  <c r="E228" i="35"/>
  <c r="AC242" i="35"/>
  <c r="G7" i="35"/>
  <c r="L86" i="35"/>
  <c r="K7" i="35"/>
  <c r="AP242" i="35"/>
  <c r="U86" i="35"/>
  <c r="AM242" i="35"/>
  <c r="O7" i="35"/>
  <c r="AI94" i="35"/>
  <c r="N7" i="35"/>
  <c r="M86" i="35"/>
  <c r="AE242" i="35"/>
  <c r="C237" i="35"/>
  <c r="AA242" i="35"/>
  <c r="I7" i="35"/>
  <c r="I86" i="35"/>
  <c r="B237" i="35"/>
  <c r="Z242" i="35"/>
  <c r="D7" i="35"/>
  <c r="AI83" i="35"/>
  <c r="AH83" i="35"/>
  <c r="AI85" i="35"/>
  <c r="B7" i="35"/>
  <c r="AH85" i="35"/>
  <c r="T242" i="35"/>
  <c r="AH94" i="35"/>
  <c r="E263" i="35"/>
  <c r="G227" i="35"/>
  <c r="C86" i="35"/>
  <c r="C7" i="35"/>
  <c r="U242" i="35"/>
  <c r="AF86" i="34"/>
  <c r="AE7" i="34"/>
  <c r="AE86" i="34"/>
  <c r="AV242" i="34"/>
  <c r="AB7" i="34"/>
  <c r="AD7" i="34"/>
  <c r="AT242" i="34"/>
  <c r="AR242" i="34"/>
  <c r="Z7" i="34"/>
  <c r="V7" i="34"/>
  <c r="V86" i="34"/>
  <c r="AL242" i="34"/>
  <c r="T7" i="34"/>
  <c r="S86" i="34"/>
  <c r="S7" i="34"/>
  <c r="Q86" i="34"/>
  <c r="Q7" i="34"/>
  <c r="O86" i="34"/>
  <c r="AG242" i="34"/>
  <c r="M86" i="34"/>
  <c r="K7" i="34"/>
  <c r="AC242" i="34"/>
  <c r="C237" i="34"/>
  <c r="B237" i="34"/>
  <c r="Y242" i="34"/>
  <c r="G86" i="34"/>
  <c r="X242" i="34"/>
  <c r="F7" i="34"/>
  <c r="E86" i="34"/>
  <c r="W242" i="34"/>
  <c r="Z242" i="33"/>
  <c r="V242" i="34"/>
  <c r="AH83" i="34"/>
  <c r="AI94" i="34"/>
  <c r="AH94" i="34"/>
  <c r="C7" i="34"/>
  <c r="U242" i="34"/>
  <c r="AI83" i="34"/>
  <c r="B85" i="34"/>
  <c r="B7" i="34" s="1"/>
  <c r="AX242" i="33"/>
  <c r="I222" i="34"/>
  <c r="G227" i="34"/>
  <c r="E263" i="34"/>
  <c r="J225" i="34"/>
  <c r="K225" i="34" s="1"/>
  <c r="L225" i="34" s="1"/>
  <c r="M225" i="34" s="1"/>
  <c r="N225" i="34" s="1"/>
  <c r="O225" i="34" s="1"/>
  <c r="P225" i="34" s="1"/>
  <c r="F104" i="34"/>
  <c r="F228" i="34"/>
  <c r="AH85" i="34"/>
  <c r="AC86" i="33"/>
  <c r="AU242" i="33"/>
  <c r="AB7" i="33"/>
  <c r="AR242" i="33"/>
  <c r="H7" i="33"/>
  <c r="L7" i="33"/>
  <c r="AC242" i="33"/>
  <c r="K7" i="33"/>
  <c r="U242" i="33"/>
  <c r="C7" i="33"/>
  <c r="W7" i="33"/>
  <c r="W86" i="33"/>
  <c r="V7" i="33"/>
  <c r="AK242" i="33"/>
  <c r="AJ242" i="33"/>
  <c r="AI94" i="33"/>
  <c r="AE242" i="33"/>
  <c r="M7" i="33"/>
  <c r="N7" i="33"/>
  <c r="N86" i="33"/>
  <c r="J86" i="33"/>
  <c r="AB242" i="33"/>
  <c r="I7" i="33"/>
  <c r="B237" i="33"/>
  <c r="C237" i="33"/>
  <c r="G86" i="33"/>
  <c r="Y242" i="33"/>
  <c r="F7" i="33"/>
  <c r="F86" i="33"/>
  <c r="W242" i="33"/>
  <c r="AH83" i="33"/>
  <c r="V242" i="33"/>
  <c r="D7" i="33"/>
  <c r="AI83" i="33"/>
  <c r="B85" i="33"/>
  <c r="B7" i="33" s="1"/>
  <c r="F222" i="33"/>
  <c r="E104" i="33"/>
  <c r="E228" i="33"/>
  <c r="D263" i="33"/>
  <c r="F227" i="33"/>
  <c r="AH94" i="33"/>
  <c r="AE86" i="32"/>
  <c r="AW242" i="32"/>
  <c r="AD86" i="32"/>
  <c r="AD7" i="32"/>
  <c r="AC86" i="32"/>
  <c r="AU242" i="32"/>
  <c r="AB7" i="32"/>
  <c r="AB86" i="32"/>
  <c r="W7" i="32"/>
  <c r="W86" i="32"/>
  <c r="V86" i="32"/>
  <c r="AN242" i="32"/>
  <c r="AM242" i="32"/>
  <c r="U7" i="32"/>
  <c r="T7" i="32"/>
  <c r="T86" i="32"/>
  <c r="S7" i="32"/>
  <c r="Q86" i="32"/>
  <c r="AI242" i="32"/>
  <c r="O7" i="32"/>
  <c r="O86" i="32"/>
  <c r="AH94" i="32"/>
  <c r="N86" i="32"/>
  <c r="N7" i="32"/>
  <c r="AE242" i="32"/>
  <c r="AD242" i="32"/>
  <c r="AB242" i="32"/>
  <c r="J86" i="32"/>
  <c r="Z242" i="32"/>
  <c r="C237" i="32"/>
  <c r="F7" i="32"/>
  <c r="F86" i="32"/>
  <c r="AA242" i="32"/>
  <c r="B237" i="32"/>
  <c r="H7" i="32"/>
  <c r="AI94" i="32"/>
  <c r="C86" i="32"/>
  <c r="AH83" i="32"/>
  <c r="U242" i="32"/>
  <c r="V242" i="32"/>
  <c r="D7" i="32"/>
  <c r="AI83" i="32"/>
  <c r="H222" i="32"/>
  <c r="F223" i="32"/>
  <c r="E228" i="32"/>
  <c r="D263" i="32"/>
  <c r="F227" i="32"/>
  <c r="E104" i="32"/>
  <c r="B86" i="32"/>
  <c r="AI85" i="32"/>
  <c r="B7" i="32"/>
  <c r="AH85" i="32"/>
  <c r="T242" i="32"/>
  <c r="AD86" i="31"/>
  <c r="AT242" i="31"/>
  <c r="AB7" i="31"/>
  <c r="AS242" i="31"/>
  <c r="AA7" i="31"/>
  <c r="AP242" i="31"/>
  <c r="X7" i="31"/>
  <c r="V86" i="31"/>
  <c r="U7" i="31"/>
  <c r="U86" i="31"/>
  <c r="AK242" i="31"/>
  <c r="S86" i="31"/>
  <c r="AJ242" i="31"/>
  <c r="R7" i="31"/>
  <c r="Q7" i="31"/>
  <c r="Q86" i="31"/>
  <c r="O86" i="31"/>
  <c r="O7" i="31"/>
  <c r="M7" i="31"/>
  <c r="AF242" i="31"/>
  <c r="M86" i="31"/>
  <c r="K86" i="31"/>
  <c r="L86" i="31"/>
  <c r="AD242" i="31"/>
  <c r="J86" i="31"/>
  <c r="AB242" i="31"/>
  <c r="X242" i="31"/>
  <c r="AA242" i="31"/>
  <c r="I7" i="31"/>
  <c r="H7" i="31"/>
  <c r="Z242" i="31"/>
  <c r="B237" i="31"/>
  <c r="G7" i="31"/>
  <c r="G86" i="31"/>
  <c r="C237" i="31"/>
  <c r="E7" i="31"/>
  <c r="F7" i="31"/>
  <c r="E86" i="31"/>
  <c r="AH83" i="31"/>
  <c r="C86" i="31"/>
  <c r="C7" i="31"/>
  <c r="AI94" i="31"/>
  <c r="AI83" i="31"/>
  <c r="B7" i="31"/>
  <c r="AH85" i="31"/>
  <c r="T242" i="31"/>
  <c r="B86" i="31"/>
  <c r="AI85" i="31"/>
  <c r="J225" i="31"/>
  <c r="K225" i="31" s="1"/>
  <c r="L225" i="31" s="1"/>
  <c r="M225" i="31" s="1"/>
  <c r="N225" i="31" s="1"/>
  <c r="O225" i="31" s="1"/>
  <c r="P225" i="31" s="1"/>
  <c r="G227" i="31"/>
  <c r="E263" i="31"/>
  <c r="I222" i="31"/>
  <c r="AW242" i="30"/>
  <c r="AE7" i="30"/>
  <c r="AD7" i="30"/>
  <c r="AD86" i="30"/>
  <c r="AC86" i="30"/>
  <c r="AB7" i="30"/>
  <c r="AS242" i="30"/>
  <c r="AA7" i="30"/>
  <c r="AN242" i="30"/>
  <c r="V7" i="30"/>
  <c r="U86" i="30"/>
  <c r="AM242" i="30"/>
  <c r="AK242" i="30"/>
  <c r="S7" i="30"/>
  <c r="Q7" i="30"/>
  <c r="Q86" i="30"/>
  <c r="AH242" i="30"/>
  <c r="P7" i="30"/>
  <c r="O7" i="30"/>
  <c r="O86" i="30"/>
  <c r="AD242" i="30"/>
  <c r="L7" i="30"/>
  <c r="AE242" i="30"/>
  <c r="N7" i="30"/>
  <c r="N86" i="30"/>
  <c r="M86" i="30"/>
  <c r="K7" i="30"/>
  <c r="K86" i="30"/>
  <c r="AB242" i="30"/>
  <c r="J7" i="30"/>
  <c r="AA242" i="30"/>
  <c r="I7" i="30"/>
  <c r="Z242" i="30"/>
  <c r="H7" i="30"/>
  <c r="G86" i="30"/>
  <c r="B237" i="30"/>
  <c r="C237" i="30"/>
  <c r="Y242" i="30"/>
  <c r="F7" i="30"/>
  <c r="F86" i="30"/>
  <c r="E86" i="30"/>
  <c r="W242" i="30"/>
  <c r="U242" i="30"/>
  <c r="C7" i="30"/>
  <c r="AI83" i="30"/>
  <c r="AH83" i="30"/>
  <c r="G263" i="30"/>
  <c r="I227" i="30"/>
  <c r="B86" i="30"/>
  <c r="AI85" i="30"/>
  <c r="B7" i="30"/>
  <c r="AH85" i="30"/>
  <c r="T242" i="30"/>
  <c r="H222" i="30"/>
  <c r="G104" i="30"/>
  <c r="G228" i="30"/>
  <c r="AX242" i="29"/>
  <c r="AF7" i="29"/>
  <c r="AV242" i="29"/>
  <c r="AD7" i="29"/>
  <c r="AU242" i="29"/>
  <c r="AC86" i="29"/>
  <c r="AT242" i="29"/>
  <c r="AB7" i="29"/>
  <c r="AS242" i="29"/>
  <c r="Z7" i="29"/>
  <c r="Z86" i="29"/>
  <c r="AI46" i="29"/>
  <c r="AH46" i="29"/>
  <c r="Y7" i="29"/>
  <c r="AQ242" i="29"/>
  <c r="AP242" i="29"/>
  <c r="X7" i="29"/>
  <c r="W7" i="29"/>
  <c r="AO242" i="29"/>
  <c r="AH94" i="29"/>
  <c r="V7" i="29"/>
  <c r="V86" i="29"/>
  <c r="U7" i="29"/>
  <c r="U86" i="29"/>
  <c r="T7" i="29"/>
  <c r="AL242" i="29"/>
  <c r="S7" i="29"/>
  <c r="S86" i="29"/>
  <c r="R7" i="29"/>
  <c r="R86" i="29"/>
  <c r="AI242" i="29"/>
  <c r="Q7" i="29"/>
  <c r="O7" i="29"/>
  <c r="O86" i="29"/>
  <c r="AI94" i="29"/>
  <c r="M86" i="29"/>
  <c r="N86" i="29"/>
  <c r="N7" i="29"/>
  <c r="AE242" i="29"/>
  <c r="AD242" i="29"/>
  <c r="L86" i="29"/>
  <c r="AC242" i="29"/>
  <c r="AB242" i="29"/>
  <c r="J7" i="29"/>
  <c r="AA242" i="29"/>
  <c r="I7" i="29"/>
  <c r="K7" i="29"/>
  <c r="C237" i="29"/>
  <c r="H7" i="29"/>
  <c r="G86" i="29"/>
  <c r="Y242" i="29"/>
  <c r="Z242" i="29"/>
  <c r="B237" i="29"/>
  <c r="X242" i="29"/>
  <c r="F7" i="29"/>
  <c r="AH83" i="29"/>
  <c r="W242" i="29"/>
  <c r="AI83" i="29"/>
  <c r="E7" i="29"/>
  <c r="V242" i="29"/>
  <c r="D7" i="29"/>
  <c r="D263" i="29"/>
  <c r="F227" i="29"/>
  <c r="E104" i="29"/>
  <c r="H222" i="29"/>
  <c r="E228" i="29"/>
  <c r="F223" i="29"/>
  <c r="B86" i="29"/>
  <c r="AI85" i="29"/>
  <c r="B7" i="29"/>
  <c r="AH85" i="29"/>
  <c r="T242" i="29"/>
  <c r="L107" i="28"/>
  <c r="K107" i="28"/>
  <c r="J107" i="28"/>
  <c r="I107" i="28"/>
  <c r="H107" i="28"/>
  <c r="B78" i="28"/>
  <c r="T242" i="34" l="1"/>
  <c r="A7" i="34"/>
  <c r="G263" i="36"/>
  <c r="I227" i="36"/>
  <c r="I104" i="36"/>
  <c r="J222" i="36"/>
  <c r="G222" i="35"/>
  <c r="F104" i="35"/>
  <c r="F228" i="35"/>
  <c r="K6" i="35"/>
  <c r="F263" i="35"/>
  <c r="H227" i="35"/>
  <c r="A7" i="35"/>
  <c r="AI86" i="35"/>
  <c r="AH86" i="35"/>
  <c r="G228" i="35"/>
  <c r="K6" i="34"/>
  <c r="AI85" i="34"/>
  <c r="B86" i="34"/>
  <c r="AI86" i="34" s="1"/>
  <c r="F263" i="34"/>
  <c r="H227" i="34"/>
  <c r="G228" i="34"/>
  <c r="G104" i="34"/>
  <c r="AH86" i="34"/>
  <c r="J222" i="34"/>
  <c r="A7" i="33"/>
  <c r="K6" i="33"/>
  <c r="T242" i="33"/>
  <c r="AH85" i="33"/>
  <c r="AI85" i="33"/>
  <c r="B86" i="33"/>
  <c r="AI86" i="33" s="1"/>
  <c r="E263" i="33"/>
  <c r="G227" i="33"/>
  <c r="G222" i="33"/>
  <c r="F104" i="33"/>
  <c r="F228" i="33"/>
  <c r="A7" i="32"/>
  <c r="K6" i="32"/>
  <c r="G223" i="32"/>
  <c r="F228" i="32"/>
  <c r="I222" i="32"/>
  <c r="AI86" i="32"/>
  <c r="AH86" i="32"/>
  <c r="E263" i="32"/>
  <c r="G227" i="32"/>
  <c r="F104" i="32"/>
  <c r="K6" i="31"/>
  <c r="A7" i="31"/>
  <c r="J222" i="31"/>
  <c r="AH86" i="31"/>
  <c r="AI86" i="31"/>
  <c r="F263" i="31"/>
  <c r="H227" i="31"/>
  <c r="G228" i="31"/>
  <c r="G104" i="31"/>
  <c r="K6" i="30"/>
  <c r="A7" i="30"/>
  <c r="AI86" i="30"/>
  <c r="AH86" i="30"/>
  <c r="H263" i="30"/>
  <c r="J227" i="30"/>
  <c r="I222" i="30"/>
  <c r="H104" i="30"/>
  <c r="H228" i="30"/>
  <c r="K6" i="29"/>
  <c r="A7" i="29"/>
  <c r="I222" i="29"/>
  <c r="E263" i="29"/>
  <c r="G227" i="29"/>
  <c r="F104" i="29"/>
  <c r="AI86" i="29"/>
  <c r="AH86" i="29"/>
  <c r="G223" i="29"/>
  <c r="F228" i="29"/>
  <c r="B48" i="28"/>
  <c r="AF267" i="28"/>
  <c r="AE267" i="28"/>
  <c r="AD267" i="28"/>
  <c r="AC267" i="28"/>
  <c r="AB267" i="28"/>
  <c r="AA267" i="28"/>
  <c r="Z267" i="28"/>
  <c r="Y267" i="28"/>
  <c r="X267" i="28"/>
  <c r="W267" i="28"/>
  <c r="V267" i="28"/>
  <c r="U267" i="28"/>
  <c r="T267" i="28"/>
  <c r="S267" i="28"/>
  <c r="R267" i="28"/>
  <c r="Q267" i="28"/>
  <c r="P267" i="28"/>
  <c r="O267" i="28"/>
  <c r="N267" i="28"/>
  <c r="M267" i="28"/>
  <c r="L267" i="28"/>
  <c r="K267" i="28"/>
  <c r="J267" i="28"/>
  <c r="I267" i="28"/>
  <c r="H267" i="28"/>
  <c r="G267" i="28"/>
  <c r="F267" i="28"/>
  <c r="E267" i="28"/>
  <c r="D267" i="28"/>
  <c r="C267" i="28"/>
  <c r="B267" i="28"/>
  <c r="A267" i="28"/>
  <c r="AF266" i="28"/>
  <c r="AE266" i="28"/>
  <c r="AD266" i="28"/>
  <c r="AC266" i="28"/>
  <c r="AB266" i="28"/>
  <c r="AA266" i="28"/>
  <c r="Z266" i="28"/>
  <c r="Y266" i="28"/>
  <c r="X266" i="28"/>
  <c r="W266" i="28"/>
  <c r="V266" i="28"/>
  <c r="U266" i="28"/>
  <c r="T266" i="28"/>
  <c r="S266" i="28"/>
  <c r="R266" i="28"/>
  <c r="Q266" i="28"/>
  <c r="P266" i="28"/>
  <c r="O266" i="28"/>
  <c r="N266" i="28"/>
  <c r="M266" i="28"/>
  <c r="L266" i="28"/>
  <c r="K266" i="28"/>
  <c r="J266" i="28"/>
  <c r="I266" i="28"/>
  <c r="H266" i="28"/>
  <c r="G266" i="28"/>
  <c r="F266" i="28"/>
  <c r="E266" i="28"/>
  <c r="D266" i="28"/>
  <c r="C266" i="28"/>
  <c r="B266" i="28"/>
  <c r="A266" i="28"/>
  <c r="AF265" i="28"/>
  <c r="AE265" i="28"/>
  <c r="AD265" i="28"/>
  <c r="AC265" i="28"/>
  <c r="AB265" i="28"/>
  <c r="AA265" i="28"/>
  <c r="Z265" i="28"/>
  <c r="Y265" i="28"/>
  <c r="X265" i="28"/>
  <c r="W265" i="28"/>
  <c r="V265" i="28"/>
  <c r="U265" i="28"/>
  <c r="T265" i="28"/>
  <c r="S265" i="28"/>
  <c r="R265" i="28"/>
  <c r="Q265" i="28"/>
  <c r="P265" i="28"/>
  <c r="O265" i="28"/>
  <c r="N265" i="28"/>
  <c r="M265" i="28"/>
  <c r="L265" i="28"/>
  <c r="K265" i="28"/>
  <c r="J265" i="28"/>
  <c r="I265" i="28"/>
  <c r="H265" i="28"/>
  <c r="G265" i="28"/>
  <c r="F265" i="28"/>
  <c r="E265" i="28"/>
  <c r="D265" i="28"/>
  <c r="C265" i="28"/>
  <c r="B265" i="28"/>
  <c r="A265" i="28"/>
  <c r="AF264" i="28"/>
  <c r="AE264" i="28"/>
  <c r="AD264" i="28"/>
  <c r="AC264" i="28"/>
  <c r="AB264" i="28"/>
  <c r="AA264" i="28"/>
  <c r="Z264" i="28"/>
  <c r="Y264" i="28"/>
  <c r="X264" i="28"/>
  <c r="W264" i="28"/>
  <c r="V264" i="28"/>
  <c r="U264" i="28"/>
  <c r="T264" i="28"/>
  <c r="S264" i="28"/>
  <c r="R264" i="28"/>
  <c r="Q264" i="28"/>
  <c r="P264" i="28"/>
  <c r="O264" i="28"/>
  <c r="N264" i="28"/>
  <c r="M264" i="28"/>
  <c r="L264" i="28"/>
  <c r="K264" i="28"/>
  <c r="J264" i="28"/>
  <c r="I264" i="28"/>
  <c r="H264" i="28"/>
  <c r="G264" i="28"/>
  <c r="F264" i="28"/>
  <c r="E264" i="28"/>
  <c r="D264" i="28"/>
  <c r="C264" i="28"/>
  <c r="B264" i="28"/>
  <c r="A264" i="28"/>
  <c r="AE263" i="28"/>
  <c r="AD263" i="28"/>
  <c r="AC263" i="28"/>
  <c r="AB263" i="28"/>
  <c r="AA263" i="28"/>
  <c r="Z263" i="28"/>
  <c r="Y263" i="28"/>
  <c r="X263" i="28"/>
  <c r="W263" i="28"/>
  <c r="V263" i="28"/>
  <c r="U263" i="28"/>
  <c r="T263" i="28"/>
  <c r="S263" i="28"/>
  <c r="R263" i="28"/>
  <c r="Q263" i="28"/>
  <c r="P263" i="28"/>
  <c r="B263" i="28"/>
  <c r="S238" i="28"/>
  <c r="AG228" i="28"/>
  <c r="AG61" i="28" s="1"/>
  <c r="AF228" i="28"/>
  <c r="AE228" i="28"/>
  <c r="AD228" i="28"/>
  <c r="AC228" i="28"/>
  <c r="AB228" i="28"/>
  <c r="AA228" i="28"/>
  <c r="Z228" i="28"/>
  <c r="Y228" i="28"/>
  <c r="X228" i="28"/>
  <c r="W228" i="28"/>
  <c r="V228" i="28"/>
  <c r="U228" i="28"/>
  <c r="T228" i="28"/>
  <c r="S228" i="28"/>
  <c r="R228" i="28"/>
  <c r="Q228" i="28"/>
  <c r="C228" i="28"/>
  <c r="E227" i="28"/>
  <c r="D263" i="28" s="1"/>
  <c r="D227" i="28"/>
  <c r="C263" i="28" s="1"/>
  <c r="B227" i="28"/>
  <c r="AF263" i="28" s="1"/>
  <c r="D226" i="28"/>
  <c r="E226" i="28" s="1"/>
  <c r="F226" i="28" s="1"/>
  <c r="G226" i="28" s="1"/>
  <c r="H226" i="28" s="1"/>
  <c r="I226" i="28" s="1"/>
  <c r="J226" i="28" s="1"/>
  <c r="K226" i="28" s="1"/>
  <c r="L226" i="28" s="1"/>
  <c r="M226" i="28" s="1"/>
  <c r="N226" i="28" s="1"/>
  <c r="O226" i="28" s="1"/>
  <c r="P226" i="28" s="1"/>
  <c r="B226" i="28"/>
  <c r="D225" i="28"/>
  <c r="E225" i="28" s="1"/>
  <c r="F225" i="28" s="1"/>
  <c r="G225" i="28" s="1"/>
  <c r="H225" i="28" s="1"/>
  <c r="I225" i="28" s="1"/>
  <c r="B225" i="28"/>
  <c r="F224" i="28"/>
  <c r="G224" i="28" s="1"/>
  <c r="H224" i="28" s="1"/>
  <c r="E224" i="28"/>
  <c r="D224" i="28"/>
  <c r="B224" i="28"/>
  <c r="E223" i="28"/>
  <c r="F223" i="28" s="1"/>
  <c r="G223" i="28" s="1"/>
  <c r="H223" i="28" s="1"/>
  <c r="I223" i="28" s="1"/>
  <c r="J223" i="28" s="1"/>
  <c r="K223" i="28" s="1"/>
  <c r="L223" i="28" s="1"/>
  <c r="M223" i="28" s="1"/>
  <c r="N223" i="28" s="1"/>
  <c r="O223" i="28" s="1"/>
  <c r="P223" i="28" s="1"/>
  <c r="D223" i="28"/>
  <c r="B223" i="28"/>
  <c r="D222" i="28"/>
  <c r="B222" i="28"/>
  <c r="B104" i="28" s="1"/>
  <c r="AG220" i="28"/>
  <c r="AF220" i="28"/>
  <c r="AE220" i="28"/>
  <c r="AD220" i="28"/>
  <c r="AC220" i="28"/>
  <c r="AB220" i="28"/>
  <c r="AA220" i="28"/>
  <c r="Z220" i="28"/>
  <c r="Y220" i="28"/>
  <c r="X220" i="28"/>
  <c r="W220" i="28"/>
  <c r="V220" i="28"/>
  <c r="U220" i="28"/>
  <c r="T220" i="28"/>
  <c r="S220" i="28"/>
  <c r="R220" i="28"/>
  <c r="Q220" i="28"/>
  <c r="P220" i="28"/>
  <c r="O220" i="28"/>
  <c r="N220" i="28"/>
  <c r="M220" i="28"/>
  <c r="L220" i="28"/>
  <c r="K220" i="28"/>
  <c r="J220" i="28"/>
  <c r="I220" i="28"/>
  <c r="H220" i="28"/>
  <c r="G220" i="28"/>
  <c r="F220" i="28"/>
  <c r="E220" i="28"/>
  <c r="D220" i="28"/>
  <c r="C220" i="28"/>
  <c r="B220" i="28"/>
  <c r="AI113" i="28"/>
  <c r="AH113" i="28"/>
  <c r="AI112" i="28"/>
  <c r="AH112" i="28"/>
  <c r="AI111" i="28"/>
  <c r="AH111" i="28"/>
  <c r="AI110" i="28"/>
  <c r="AH110" i="28"/>
  <c r="AI109" i="28"/>
  <c r="AH109" i="28"/>
  <c r="AI108" i="28"/>
  <c r="AH108" i="28"/>
  <c r="AI107" i="28"/>
  <c r="AH107" i="28"/>
  <c r="AI106" i="28"/>
  <c r="AH106" i="28"/>
  <c r="AI105" i="28"/>
  <c r="AH105" i="28"/>
  <c r="AF104" i="28"/>
  <c r="AE104" i="28"/>
  <c r="AD104" i="28"/>
  <c r="AC104" i="28"/>
  <c r="AB104" i="28"/>
  <c r="AA104" i="28"/>
  <c r="Z104" i="28"/>
  <c r="Y104" i="28"/>
  <c r="X104" i="28"/>
  <c r="W104" i="28"/>
  <c r="V104" i="28"/>
  <c r="U104" i="28"/>
  <c r="T104" i="28"/>
  <c r="S104" i="28"/>
  <c r="R104" i="28"/>
  <c r="Q104" i="28"/>
  <c r="D104" i="28"/>
  <c r="C104" i="28"/>
  <c r="AI103" i="28"/>
  <c r="AH103" i="28"/>
  <c r="AI102" i="28"/>
  <c r="AH102" i="28"/>
  <c r="AI101" i="28"/>
  <c r="AH101" i="28"/>
  <c r="AI100" i="28"/>
  <c r="AH100" i="28"/>
  <c r="AI99" i="28"/>
  <c r="AH99" i="28"/>
  <c r="AI98" i="28"/>
  <c r="AH98" i="28"/>
  <c r="AI97" i="28"/>
  <c r="AH97" i="28"/>
  <c r="AI96" i="28"/>
  <c r="AH96" i="28"/>
  <c r="AI95" i="28"/>
  <c r="AH95" i="28"/>
  <c r="AI93" i="28"/>
  <c r="AH93" i="28"/>
  <c r="AI92" i="28"/>
  <c r="AH92" i="28"/>
  <c r="AI91" i="28"/>
  <c r="AH91" i="28"/>
  <c r="AI90" i="28"/>
  <c r="AH90" i="28"/>
  <c r="AI89" i="28"/>
  <c r="AH89" i="28"/>
  <c r="AI88" i="28"/>
  <c r="AH88" i="28"/>
  <c r="AI87" i="28"/>
  <c r="AH87" i="28"/>
  <c r="AI84" i="28"/>
  <c r="AH84" i="28"/>
  <c r="AI82" i="28"/>
  <c r="AH82" i="28"/>
  <c r="AG82" i="28"/>
  <c r="AI81" i="28"/>
  <c r="AH81" i="28"/>
  <c r="AI80" i="28"/>
  <c r="AH80" i="28"/>
  <c r="AI79" i="28"/>
  <c r="AH79" i="28"/>
  <c r="AN78" i="28"/>
  <c r="AG78" i="28"/>
  <c r="AF78" i="28"/>
  <c r="AE78" i="28"/>
  <c r="AD5" i="28" s="1"/>
  <c r="AD78" i="28"/>
  <c r="AC5" i="28" s="1"/>
  <c r="AC78" i="28"/>
  <c r="AB5" i="28" s="1"/>
  <c r="AB78" i="28"/>
  <c r="AB94" i="28" s="1"/>
  <c r="AA78" i="28"/>
  <c r="AA94" i="28" s="1"/>
  <c r="Z78" i="28"/>
  <c r="Z94" i="28" s="1"/>
  <c r="Y78" i="28"/>
  <c r="Y94" i="28" s="1"/>
  <c r="X78" i="28"/>
  <c r="W78" i="28"/>
  <c r="V5" i="28" s="1"/>
  <c r="V78" i="28"/>
  <c r="U5" i="28" s="1"/>
  <c r="U78" i="28"/>
  <c r="U94" i="28" s="1"/>
  <c r="T78" i="28"/>
  <c r="T94" i="28" s="1"/>
  <c r="S94" i="28"/>
  <c r="R78" i="28"/>
  <c r="R94" i="28" s="1"/>
  <c r="Q78" i="28"/>
  <c r="Q94" i="28" s="1"/>
  <c r="P78" i="28"/>
  <c r="O78" i="28"/>
  <c r="N5" i="28" s="1"/>
  <c r="N78" i="28"/>
  <c r="M5" i="28" s="1"/>
  <c r="M78" i="28"/>
  <c r="M94" i="28" s="1"/>
  <c r="L78" i="28"/>
  <c r="L94" i="28" s="1"/>
  <c r="K78" i="28"/>
  <c r="K94" i="28" s="1"/>
  <c r="J78" i="28"/>
  <c r="J94" i="28" s="1"/>
  <c r="I78" i="28"/>
  <c r="I94" i="28" s="1"/>
  <c r="H78" i="28"/>
  <c r="G78" i="28"/>
  <c r="F5" i="28" s="1"/>
  <c r="F78" i="28"/>
  <c r="E5" i="28" s="1"/>
  <c r="E78" i="28"/>
  <c r="D5" i="28" s="1"/>
  <c r="D78" i="28"/>
  <c r="D94" i="28" s="1"/>
  <c r="C78" i="28"/>
  <c r="C94" i="28" s="1"/>
  <c r="B94" i="28"/>
  <c r="AI77" i="28"/>
  <c r="AH77" i="28"/>
  <c r="AN76" i="28"/>
  <c r="AI76" i="28"/>
  <c r="AH76" i="28"/>
  <c r="AN75" i="28"/>
  <c r="AN77" i="28" s="1"/>
  <c r="AI75" i="28"/>
  <c r="AH75" i="28"/>
  <c r="AI74" i="28"/>
  <c r="AH74" i="28"/>
  <c r="AI73" i="28"/>
  <c r="AH73" i="28"/>
  <c r="AI72" i="28"/>
  <c r="AH72" i="28"/>
  <c r="AI71" i="28"/>
  <c r="AH71" i="28"/>
  <c r="AI70" i="28"/>
  <c r="AH70" i="28"/>
  <c r="AI69" i="28"/>
  <c r="AH69" i="28"/>
  <c r="AI68" i="28"/>
  <c r="AH68" i="28"/>
  <c r="AI67" i="28"/>
  <c r="AH67" i="28"/>
  <c r="AG66" i="28"/>
  <c r="AF66" i="28"/>
  <c r="AE66" i="28"/>
  <c r="AD66" i="28"/>
  <c r="AC66" i="28"/>
  <c r="AB66" i="28"/>
  <c r="AA66" i="28"/>
  <c r="Z66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AI65" i="28"/>
  <c r="AH65" i="28"/>
  <c r="AI64" i="28"/>
  <c r="AH64" i="28"/>
  <c r="AI63" i="28"/>
  <c r="AH63" i="28"/>
  <c r="AG62" i="28"/>
  <c r="AG3" i="28" s="1"/>
  <c r="AG6" i="28" s="1"/>
  <c r="AF62" i="28"/>
  <c r="AE62" i="28"/>
  <c r="AD62" i="28"/>
  <c r="AC62" i="28"/>
  <c r="AB62" i="28"/>
  <c r="AA62" i="28"/>
  <c r="Z62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AI61" i="28"/>
  <c r="AH61" i="28"/>
  <c r="AI60" i="28"/>
  <c r="AH60" i="28"/>
  <c r="AI59" i="28"/>
  <c r="AH59" i="28"/>
  <c r="AI58" i="28"/>
  <c r="AH58" i="28"/>
  <c r="AI57" i="28"/>
  <c r="AH57" i="28"/>
  <c r="AI56" i="28"/>
  <c r="AH56" i="28"/>
  <c r="AI55" i="28"/>
  <c r="AH55" i="28"/>
  <c r="AI54" i="28"/>
  <c r="AH54" i="28"/>
  <c r="AI53" i="28"/>
  <c r="AH53" i="28"/>
  <c r="AI52" i="28"/>
  <c r="AH52" i="28"/>
  <c r="AI51" i="28"/>
  <c r="AH51" i="28"/>
  <c r="AI50" i="28"/>
  <c r="AH50" i="28"/>
  <c r="AI49" i="28"/>
  <c r="AH49" i="28"/>
  <c r="AG48" i="28"/>
  <c r="AF48" i="28"/>
  <c r="AE48" i="28"/>
  <c r="AD48" i="28"/>
  <c r="AC48" i="28"/>
  <c r="AB48" i="28"/>
  <c r="AA48" i="28"/>
  <c r="Z48" i="28"/>
  <c r="Y48" i="28"/>
  <c r="X48" i="28"/>
  <c r="W48" i="28"/>
  <c r="V48" i="28"/>
  <c r="U48" i="28"/>
  <c r="T48" i="28"/>
  <c r="S48" i="28"/>
  <c r="R48" i="28"/>
  <c r="Q48" i="28"/>
  <c r="P48" i="28"/>
  <c r="O48" i="28"/>
  <c r="N48" i="28"/>
  <c r="M48" i="28"/>
  <c r="L48" i="28"/>
  <c r="K48" i="28"/>
  <c r="J48" i="28"/>
  <c r="I48" i="28"/>
  <c r="H48" i="28"/>
  <c r="G48" i="28"/>
  <c r="F48" i="28"/>
  <c r="E48" i="28"/>
  <c r="D48" i="28"/>
  <c r="C48" i="28"/>
  <c r="AI47" i="28"/>
  <c r="AH47" i="28"/>
  <c r="AI46" i="28"/>
  <c r="AH46" i="28"/>
  <c r="AI45" i="28"/>
  <c r="AH45" i="28"/>
  <c r="AG44" i="28"/>
  <c r="AF44" i="28"/>
  <c r="AE44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AI43" i="28"/>
  <c r="AH43" i="28"/>
  <c r="AI42" i="28"/>
  <c r="AH42" i="28"/>
  <c r="AI41" i="28"/>
  <c r="AH41" i="28"/>
  <c r="AI40" i="28"/>
  <c r="AH40" i="28"/>
  <c r="AI39" i="28"/>
  <c r="AH39" i="28"/>
  <c r="AI38" i="28"/>
  <c r="AH38" i="28"/>
  <c r="AI37" i="28"/>
  <c r="AH37" i="28"/>
  <c r="AI36" i="28"/>
  <c r="AH36" i="28"/>
  <c r="AI35" i="28"/>
  <c r="AH35" i="28"/>
  <c r="AI34" i="28"/>
  <c r="AH34" i="28"/>
  <c r="AI33" i="28"/>
  <c r="AH33" i="28"/>
  <c r="AI32" i="28"/>
  <c r="AH32" i="28"/>
  <c r="AI31" i="28"/>
  <c r="AH31" i="28"/>
  <c r="AI30" i="28"/>
  <c r="AH30" i="28"/>
  <c r="AI29" i="28"/>
  <c r="AH29" i="28"/>
  <c r="AI28" i="28"/>
  <c r="AH28" i="28"/>
  <c r="AI27" i="28"/>
  <c r="AH27" i="28"/>
  <c r="AI26" i="28"/>
  <c r="AH26" i="28"/>
  <c r="AI25" i="28"/>
  <c r="AH25" i="28"/>
  <c r="AI24" i="28"/>
  <c r="AH24" i="28"/>
  <c r="AI23" i="28"/>
  <c r="AH23" i="28"/>
  <c r="AI22" i="28"/>
  <c r="AH22" i="28"/>
  <c r="AI21" i="28"/>
  <c r="AH21" i="28"/>
  <c r="AI20" i="28"/>
  <c r="AH20" i="28"/>
  <c r="AI19" i="28"/>
  <c r="AH19" i="28"/>
  <c r="AI18" i="28"/>
  <c r="AH18" i="28"/>
  <c r="AI17" i="28"/>
  <c r="AH17" i="28"/>
  <c r="AI16" i="28"/>
  <c r="AH16" i="28"/>
  <c r="AI15" i="28"/>
  <c r="AH15" i="28"/>
  <c r="AI14" i="28"/>
  <c r="AH14" i="28"/>
  <c r="AI13" i="28"/>
  <c r="AH13" i="28"/>
  <c r="AI12" i="28"/>
  <c r="AH12" i="28"/>
  <c r="AI11" i="28"/>
  <c r="AH11" i="28"/>
  <c r="AG4" i="28"/>
  <c r="K4" i="28"/>
  <c r="E4" i="28"/>
  <c r="H4" i="28" s="1"/>
  <c r="B4" i="28"/>
  <c r="D239" i="28" s="1"/>
  <c r="AG2" i="28"/>
  <c r="AB108" i="27"/>
  <c r="AB107" i="27"/>
  <c r="AG85" i="28" l="1"/>
  <c r="J227" i="36"/>
  <c r="H263" i="36"/>
  <c r="D228" i="28"/>
  <c r="AG83" i="28"/>
  <c r="J104" i="36"/>
  <c r="K222" i="36"/>
  <c r="H222" i="35"/>
  <c r="I222" i="35" s="1"/>
  <c r="G104" i="35"/>
  <c r="G263" i="35"/>
  <c r="I227" i="35"/>
  <c r="I104" i="35" s="1"/>
  <c r="H228" i="35"/>
  <c r="H104" i="35"/>
  <c r="J222" i="35"/>
  <c r="K222" i="34"/>
  <c r="G263" i="34"/>
  <c r="I227" i="34"/>
  <c r="H104" i="34"/>
  <c r="H228" i="34"/>
  <c r="AH86" i="33"/>
  <c r="H222" i="33"/>
  <c r="G104" i="33"/>
  <c r="G228" i="33"/>
  <c r="F263" i="33"/>
  <c r="H227" i="33"/>
  <c r="J222" i="32"/>
  <c r="F263" i="32"/>
  <c r="H227" i="32"/>
  <c r="G104" i="32"/>
  <c r="H223" i="32"/>
  <c r="G228" i="32"/>
  <c r="I227" i="31"/>
  <c r="G263" i="31"/>
  <c r="H228" i="31"/>
  <c r="H104" i="31"/>
  <c r="K222" i="31"/>
  <c r="I104" i="30"/>
  <c r="J222" i="30"/>
  <c r="K227" i="30"/>
  <c r="I263" i="30"/>
  <c r="F263" i="29"/>
  <c r="H227" i="29"/>
  <c r="G104" i="29"/>
  <c r="H223" i="29"/>
  <c r="G228" i="29"/>
  <c r="J222" i="29"/>
  <c r="AF83" i="28"/>
  <c r="AF85" i="28" s="1"/>
  <c r="AF7" i="28" s="1"/>
  <c r="AE83" i="28"/>
  <c r="AE85" i="28" s="1"/>
  <c r="AE7" i="28" s="1"/>
  <c r="AE94" i="28"/>
  <c r="AD83" i="28"/>
  <c r="AD85" i="28" s="1"/>
  <c r="AD86" i="28" s="1"/>
  <c r="AC94" i="28"/>
  <c r="AC83" i="28"/>
  <c r="AC85" i="28" s="1"/>
  <c r="AC86" i="28" s="1"/>
  <c r="AA5" i="28"/>
  <c r="AB83" i="28"/>
  <c r="AB85" i="28" s="1"/>
  <c r="AB7" i="28" s="1"/>
  <c r="Z5" i="28"/>
  <c r="AA83" i="28"/>
  <c r="AA85" i="28" s="1"/>
  <c r="AA7" i="28" s="1"/>
  <c r="Y5" i="28"/>
  <c r="Z83" i="28"/>
  <c r="Z85" i="28" s="1"/>
  <c r="Z86" i="28" s="1"/>
  <c r="Y83" i="28"/>
  <c r="Y85" i="28" s="1"/>
  <c r="Y86" i="28" s="1"/>
  <c r="X83" i="28"/>
  <c r="X85" i="28" s="1"/>
  <c r="AP242" i="28" s="1"/>
  <c r="W94" i="28"/>
  <c r="W83" i="28"/>
  <c r="W85" i="28" s="1"/>
  <c r="W7" i="28" s="1"/>
  <c r="V83" i="28"/>
  <c r="V85" i="28" s="1"/>
  <c r="V86" i="28" s="1"/>
  <c r="T5" i="28"/>
  <c r="U83" i="28"/>
  <c r="U85" i="28" s="1"/>
  <c r="U7" i="28" s="1"/>
  <c r="S5" i="28"/>
  <c r="T83" i="28"/>
  <c r="T85" i="28" s="1"/>
  <c r="AL242" i="28" s="1"/>
  <c r="R5" i="28"/>
  <c r="S83" i="28"/>
  <c r="S85" i="28" s="1"/>
  <c r="AK242" i="28" s="1"/>
  <c r="Q5" i="28"/>
  <c r="R83" i="28"/>
  <c r="R85" i="28" s="1"/>
  <c r="AJ242" i="28" s="1"/>
  <c r="O83" i="28"/>
  <c r="O85" i="28" s="1"/>
  <c r="O94" i="28"/>
  <c r="N83" i="28"/>
  <c r="N85" i="28" s="1"/>
  <c r="N86" i="28" s="1"/>
  <c r="L5" i="28"/>
  <c r="M83" i="28"/>
  <c r="M85" i="28" s="1"/>
  <c r="M7" i="28" s="1"/>
  <c r="K5" i="28"/>
  <c r="L83" i="28"/>
  <c r="L85" i="28" s="1"/>
  <c r="AD242" i="28" s="1"/>
  <c r="J5" i="28"/>
  <c r="K83" i="28"/>
  <c r="K85" i="28" s="1"/>
  <c r="K7" i="28" s="1"/>
  <c r="I5" i="28"/>
  <c r="J83" i="28"/>
  <c r="J85" i="28" s="1"/>
  <c r="J86" i="28" s="1"/>
  <c r="I83" i="28"/>
  <c r="I85" i="28" s="1"/>
  <c r="I86" i="28" s="1"/>
  <c r="E83" i="28"/>
  <c r="E85" i="28" s="1"/>
  <c r="W242" i="28" s="1"/>
  <c r="E94" i="28"/>
  <c r="G94" i="28"/>
  <c r="F83" i="28"/>
  <c r="F85" i="28" s="1"/>
  <c r="F86" i="28" s="1"/>
  <c r="G83" i="28"/>
  <c r="G85" i="28" s="1"/>
  <c r="G7" i="28" s="1"/>
  <c r="H83" i="28"/>
  <c r="H85" i="28" s="1"/>
  <c r="C5" i="28"/>
  <c r="D83" i="28"/>
  <c r="D85" i="28" s="1"/>
  <c r="D86" i="28" s="1"/>
  <c r="B5" i="28"/>
  <c r="C83" i="28"/>
  <c r="C85" i="28" s="1"/>
  <c r="C86" i="28" s="1"/>
  <c r="AI48" i="28"/>
  <c r="Q83" i="28"/>
  <c r="Q85" i="28" s="1"/>
  <c r="AI242" i="28" s="1"/>
  <c r="P83" i="28"/>
  <c r="P85" i="28" s="1"/>
  <c r="P86" i="28" s="1"/>
  <c r="B83" i="28"/>
  <c r="S239" i="28"/>
  <c r="AG242" i="28"/>
  <c r="O86" i="28"/>
  <c r="AH66" i="28"/>
  <c r="AI44" i="28"/>
  <c r="J225" i="28"/>
  <c r="K225" i="28" s="1"/>
  <c r="L225" i="28" s="1"/>
  <c r="M225" i="28" s="1"/>
  <c r="N225" i="28" s="1"/>
  <c r="O225" i="28" s="1"/>
  <c r="P225" i="28" s="1"/>
  <c r="AW242" i="28"/>
  <c r="AE86" i="28"/>
  <c r="O7" i="28"/>
  <c r="AI66" i="28"/>
  <c r="G5" i="28"/>
  <c r="H94" i="28"/>
  <c r="O5" i="28"/>
  <c r="P94" i="28"/>
  <c r="W5" i="28"/>
  <c r="X94" i="28"/>
  <c r="AE5" i="28"/>
  <c r="AF94" i="28"/>
  <c r="AH62" i="28"/>
  <c r="F227" i="28"/>
  <c r="AI78" i="28"/>
  <c r="H5" i="28"/>
  <c r="P5" i="28"/>
  <c r="X5" i="28"/>
  <c r="AF5" i="28"/>
  <c r="F94" i="28"/>
  <c r="N94" i="28"/>
  <c r="V94" i="28"/>
  <c r="AD94" i="28"/>
  <c r="AI62" i="28"/>
  <c r="AH78" i="28"/>
  <c r="AH44" i="28"/>
  <c r="AH48" i="28"/>
  <c r="B228" i="28"/>
  <c r="E222" i="28"/>
  <c r="E7" i="28" l="1"/>
  <c r="U242" i="28"/>
  <c r="K227" i="36"/>
  <c r="I263" i="36"/>
  <c r="E86" i="28"/>
  <c r="AF242" i="28"/>
  <c r="C7" i="28"/>
  <c r="L222" i="36"/>
  <c r="K104" i="36"/>
  <c r="K222" i="35"/>
  <c r="H263" i="35"/>
  <c r="J227" i="35"/>
  <c r="H263" i="34"/>
  <c r="J227" i="34"/>
  <c r="I104" i="34"/>
  <c r="L222" i="34"/>
  <c r="G263" i="33"/>
  <c r="I227" i="33"/>
  <c r="I222" i="33"/>
  <c r="H104" i="33"/>
  <c r="H228" i="33"/>
  <c r="I223" i="32"/>
  <c r="H228" i="32"/>
  <c r="G263" i="32"/>
  <c r="I227" i="32"/>
  <c r="H104" i="32"/>
  <c r="K222" i="32"/>
  <c r="L222" i="31"/>
  <c r="H263" i="31"/>
  <c r="J227" i="31"/>
  <c r="I104" i="31"/>
  <c r="J263" i="30"/>
  <c r="L227" i="30"/>
  <c r="J104" i="30"/>
  <c r="K222" i="30"/>
  <c r="I223" i="29"/>
  <c r="H228" i="29"/>
  <c r="G263" i="29"/>
  <c r="I227" i="29"/>
  <c r="H104" i="29"/>
  <c r="K222" i="29"/>
  <c r="AX242" i="28"/>
  <c r="AF86" i="28"/>
  <c r="AD7" i="28"/>
  <c r="AV242" i="28"/>
  <c r="AU242" i="28"/>
  <c r="AC7" i="28"/>
  <c r="AB86" i="28"/>
  <c r="AT242" i="28"/>
  <c r="AS242" i="28"/>
  <c r="AA86" i="28"/>
  <c r="Z7" i="28"/>
  <c r="AR242" i="28"/>
  <c r="Y7" i="28"/>
  <c r="AQ242" i="28"/>
  <c r="AM242" i="28"/>
  <c r="X86" i="28"/>
  <c r="X7" i="28"/>
  <c r="W86" i="28"/>
  <c r="AO242" i="28"/>
  <c r="V7" i="28"/>
  <c r="AN242" i="28"/>
  <c r="U86" i="28"/>
  <c r="T7" i="28"/>
  <c r="T86" i="28"/>
  <c r="S7" i="28"/>
  <c r="S86" i="28"/>
  <c r="R7" i="28"/>
  <c r="R86" i="28"/>
  <c r="Q7" i="28"/>
  <c r="AH94" i="28"/>
  <c r="AH242" i="28"/>
  <c r="N7" i="28"/>
  <c r="M86" i="28"/>
  <c r="AE242" i="28"/>
  <c r="Q86" i="28"/>
  <c r="P7" i="28"/>
  <c r="L7" i="28"/>
  <c r="L86" i="28"/>
  <c r="K86" i="28"/>
  <c r="AC242" i="28"/>
  <c r="AB242" i="28"/>
  <c r="J7" i="28"/>
  <c r="I7" i="28"/>
  <c r="AA242" i="28"/>
  <c r="AI94" i="28"/>
  <c r="X242" i="28"/>
  <c r="C237" i="28"/>
  <c r="Z242" i="28"/>
  <c r="G86" i="28"/>
  <c r="Y242" i="28"/>
  <c r="F7" i="28"/>
  <c r="H86" i="28"/>
  <c r="H7" i="28"/>
  <c r="AH83" i="28"/>
  <c r="B237" i="28"/>
  <c r="K6" i="28" s="1"/>
  <c r="V242" i="28"/>
  <c r="D7" i="28"/>
  <c r="AI83" i="28"/>
  <c r="B85" i="28"/>
  <c r="B7" i="28" s="1"/>
  <c r="E263" i="28"/>
  <c r="G227" i="28"/>
  <c r="F222" i="28"/>
  <c r="E228" i="28"/>
  <c r="E104" i="28"/>
  <c r="L227" i="36" l="1"/>
  <c r="J263" i="36"/>
  <c r="L104" i="36"/>
  <c r="M222" i="36"/>
  <c r="K227" i="35"/>
  <c r="K104" i="35" s="1"/>
  <c r="I263" i="35"/>
  <c r="L222" i="35"/>
  <c r="J104" i="35"/>
  <c r="M222" i="34"/>
  <c r="K227" i="34"/>
  <c r="I263" i="34"/>
  <c r="J104" i="34"/>
  <c r="I104" i="33"/>
  <c r="J222" i="33"/>
  <c r="H263" i="33"/>
  <c r="J227" i="33"/>
  <c r="L222" i="32"/>
  <c r="H263" i="32"/>
  <c r="J227" i="32"/>
  <c r="I104" i="32"/>
  <c r="J223" i="32"/>
  <c r="M222" i="31"/>
  <c r="K227" i="31"/>
  <c r="I263" i="31"/>
  <c r="J104" i="31"/>
  <c r="L222" i="30"/>
  <c r="K104" i="30"/>
  <c r="K263" i="30"/>
  <c r="M227" i="30"/>
  <c r="L222" i="29"/>
  <c r="H263" i="29"/>
  <c r="J227" i="29"/>
  <c r="I104" i="29"/>
  <c r="J223" i="29"/>
  <c r="A7" i="28"/>
  <c r="AI85" i="28"/>
  <c r="T242" i="28"/>
  <c r="AH85" i="28"/>
  <c r="B86" i="28"/>
  <c r="AI86" i="28" s="1"/>
  <c r="G222" i="28"/>
  <c r="F104" i="28"/>
  <c r="F228" i="28"/>
  <c r="H227" i="28"/>
  <c r="F263" i="28"/>
  <c r="M227" i="36" l="1"/>
  <c r="K263" i="36"/>
  <c r="M104" i="36"/>
  <c r="N222" i="36"/>
  <c r="M222" i="35"/>
  <c r="J263" i="35"/>
  <c r="L227" i="35"/>
  <c r="L104" i="35" s="1"/>
  <c r="N222" i="34"/>
  <c r="J263" i="34"/>
  <c r="L227" i="34"/>
  <c r="K104" i="34"/>
  <c r="K227" i="33"/>
  <c r="I263" i="33"/>
  <c r="J104" i="33"/>
  <c r="K222" i="33"/>
  <c r="K227" i="32"/>
  <c r="I263" i="32"/>
  <c r="J104" i="32"/>
  <c r="M222" i="32"/>
  <c r="K223" i="32"/>
  <c r="J263" i="31"/>
  <c r="L227" i="31"/>
  <c r="K104" i="31"/>
  <c r="N222" i="31"/>
  <c r="L263" i="30"/>
  <c r="N227" i="30"/>
  <c r="M222" i="30"/>
  <c r="L104" i="30"/>
  <c r="K227" i="29"/>
  <c r="I263" i="29"/>
  <c r="J104" i="29"/>
  <c r="M222" i="29"/>
  <c r="K223" i="29"/>
  <c r="AH86" i="28"/>
  <c r="G263" i="28"/>
  <c r="I227" i="28"/>
  <c r="H222" i="28"/>
  <c r="G104" i="28"/>
  <c r="G228" i="28"/>
  <c r="L263" i="36" l="1"/>
  <c r="N227" i="36"/>
  <c r="O222" i="36"/>
  <c r="N104" i="36"/>
  <c r="K263" i="35"/>
  <c r="M227" i="35"/>
  <c r="M104" i="35" s="1"/>
  <c r="N222" i="35"/>
  <c r="K263" i="34"/>
  <c r="M227" i="34"/>
  <c r="L104" i="34"/>
  <c r="O222" i="34"/>
  <c r="L222" i="33"/>
  <c r="K104" i="33"/>
  <c r="J263" i="33"/>
  <c r="L227" i="33"/>
  <c r="L223" i="32"/>
  <c r="N222" i="32"/>
  <c r="L227" i="32"/>
  <c r="J263" i="32"/>
  <c r="K104" i="32"/>
  <c r="O222" i="31"/>
  <c r="K263" i="31"/>
  <c r="M227" i="31"/>
  <c r="L104" i="31"/>
  <c r="N222" i="30"/>
  <c r="M104" i="30"/>
  <c r="M263" i="30"/>
  <c r="O227" i="30"/>
  <c r="N222" i="29"/>
  <c r="L223" i="29"/>
  <c r="J263" i="29"/>
  <c r="L227" i="29"/>
  <c r="K104" i="29"/>
  <c r="H263" i="28"/>
  <c r="J227" i="28"/>
  <c r="I222" i="28"/>
  <c r="H228" i="28"/>
  <c r="H104" i="28"/>
  <c r="O227" i="36" l="1"/>
  <c r="M263" i="36"/>
  <c r="P222" i="36"/>
  <c r="O104" i="36"/>
  <c r="O222" i="35"/>
  <c r="L263" i="35"/>
  <c r="N227" i="35"/>
  <c r="P222" i="34"/>
  <c r="L263" i="34"/>
  <c r="N227" i="34"/>
  <c r="M104" i="34"/>
  <c r="M222" i="33"/>
  <c r="L104" i="33"/>
  <c r="K263" i="33"/>
  <c r="M227" i="33"/>
  <c r="K263" i="32"/>
  <c r="M227" i="32"/>
  <c r="L104" i="32"/>
  <c r="O222" i="32"/>
  <c r="M223" i="32"/>
  <c r="P222" i="31"/>
  <c r="L263" i="31"/>
  <c r="N227" i="31"/>
  <c r="M104" i="31"/>
  <c r="N263" i="30"/>
  <c r="P227" i="30"/>
  <c r="O263" i="30" s="1"/>
  <c r="O222" i="30"/>
  <c r="N104" i="30"/>
  <c r="M223" i="29"/>
  <c r="K263" i="29"/>
  <c r="M227" i="29"/>
  <c r="L104" i="29"/>
  <c r="O222" i="29"/>
  <c r="I104" i="28"/>
  <c r="J222" i="28"/>
  <c r="K227" i="28"/>
  <c r="I263" i="28"/>
  <c r="N263" i="36" l="1"/>
  <c r="P227" i="36"/>
  <c r="O263" i="36" s="1"/>
  <c r="AI104" i="36"/>
  <c r="AH104" i="36"/>
  <c r="M263" i="35"/>
  <c r="O227" i="35"/>
  <c r="O104" i="35" s="1"/>
  <c r="N104" i="35"/>
  <c r="P222" i="35"/>
  <c r="M263" i="34"/>
  <c r="O227" i="34"/>
  <c r="N104" i="34"/>
  <c r="N222" i="33"/>
  <c r="M104" i="33"/>
  <c r="L263" i="33"/>
  <c r="N227" i="33"/>
  <c r="P222" i="32"/>
  <c r="N223" i="32"/>
  <c r="L263" i="32"/>
  <c r="N227" i="32"/>
  <c r="M104" i="32"/>
  <c r="O227" i="31"/>
  <c r="M263" i="31"/>
  <c r="N104" i="31"/>
  <c r="P222" i="30"/>
  <c r="O104" i="30"/>
  <c r="P222" i="29"/>
  <c r="L263" i="29"/>
  <c r="N227" i="29"/>
  <c r="M104" i="29"/>
  <c r="N223" i="29"/>
  <c r="J263" i="28"/>
  <c r="L227" i="28"/>
  <c r="J104" i="28"/>
  <c r="K222" i="28"/>
  <c r="AI104" i="35" l="1"/>
  <c r="AH104" i="35"/>
  <c r="N263" i="35"/>
  <c r="P227" i="35"/>
  <c r="O263" i="35" s="1"/>
  <c r="N263" i="34"/>
  <c r="P227" i="34"/>
  <c r="O263" i="34" s="1"/>
  <c r="O104" i="34"/>
  <c r="M263" i="33"/>
  <c r="O227" i="33"/>
  <c r="O222" i="33"/>
  <c r="N104" i="33"/>
  <c r="M263" i="32"/>
  <c r="O227" i="32"/>
  <c r="N104" i="32"/>
  <c r="O223" i="32"/>
  <c r="P227" i="31"/>
  <c r="O263" i="31" s="1"/>
  <c r="N263" i="31"/>
  <c r="O104" i="31"/>
  <c r="AH104" i="30"/>
  <c r="AI104" i="30"/>
  <c r="O223" i="29"/>
  <c r="M263" i="29"/>
  <c r="O227" i="29"/>
  <c r="N104" i="29"/>
  <c r="L222" i="28"/>
  <c r="K104" i="28"/>
  <c r="M227" i="28"/>
  <c r="K263" i="28"/>
  <c r="AH104" i="34" l="1"/>
  <c r="AI104" i="34"/>
  <c r="P222" i="33"/>
  <c r="O104" i="33"/>
  <c r="N263" i="33"/>
  <c r="P227" i="33"/>
  <c r="O263" i="33" s="1"/>
  <c r="P223" i="32"/>
  <c r="N263" i="32"/>
  <c r="P227" i="32"/>
  <c r="O263" i="32" s="1"/>
  <c r="O104" i="32"/>
  <c r="AH104" i="31"/>
  <c r="AI104" i="31"/>
  <c r="N263" i="29"/>
  <c r="P227" i="29"/>
  <c r="O263" i="29" s="1"/>
  <c r="O104" i="29"/>
  <c r="P223" i="29"/>
  <c r="N227" i="28"/>
  <c r="L263" i="28"/>
  <c r="M222" i="28"/>
  <c r="L104" i="28"/>
  <c r="AH104" i="33" l="1"/>
  <c r="AI104" i="33"/>
  <c r="AI104" i="32"/>
  <c r="AH104" i="32"/>
  <c r="AH104" i="29"/>
  <c r="AI104" i="29"/>
  <c r="M104" i="28"/>
  <c r="N222" i="28"/>
  <c r="M263" i="28"/>
  <c r="O227" i="28"/>
  <c r="O222" i="28" l="1"/>
  <c r="N104" i="28"/>
  <c r="N263" i="28"/>
  <c r="P227" i="28"/>
  <c r="O263" i="28" s="1"/>
  <c r="P222" i="28" l="1"/>
  <c r="O104" i="28"/>
  <c r="AI104" i="28" l="1"/>
  <c r="AH104" i="28"/>
  <c r="S107" i="27" l="1"/>
  <c r="R107" i="27" l="1"/>
  <c r="P107" i="27"/>
  <c r="P44" i="27"/>
  <c r="P48" i="27"/>
  <c r="P62" i="27"/>
  <c r="P66" i="27"/>
  <c r="P78" i="27"/>
  <c r="O107" i="27"/>
  <c r="O44" i="27"/>
  <c r="O48" i="27"/>
  <c r="O62" i="27"/>
  <c r="O66" i="27"/>
  <c r="P83" i="27" l="1"/>
  <c r="P85" i="27" s="1"/>
  <c r="AF267" i="27" l="1"/>
  <c r="AE267" i="27"/>
  <c r="AD267" i="27"/>
  <c r="AC267" i="27"/>
  <c r="AB267" i="27"/>
  <c r="AA267" i="27"/>
  <c r="Z267" i="27"/>
  <c r="Y267" i="27"/>
  <c r="X267" i="27"/>
  <c r="W267" i="27"/>
  <c r="V267" i="27"/>
  <c r="U267" i="27"/>
  <c r="T267" i="27"/>
  <c r="S267" i="27"/>
  <c r="R267" i="27"/>
  <c r="Q267" i="27"/>
  <c r="P267" i="27"/>
  <c r="O267" i="27"/>
  <c r="N267" i="27"/>
  <c r="M267" i="27"/>
  <c r="L267" i="27"/>
  <c r="K267" i="27"/>
  <c r="J267" i="27"/>
  <c r="I267" i="27"/>
  <c r="H267" i="27"/>
  <c r="G267" i="27"/>
  <c r="F267" i="27"/>
  <c r="E267" i="27"/>
  <c r="D267" i="27"/>
  <c r="C267" i="27"/>
  <c r="B267" i="27"/>
  <c r="A267" i="27"/>
  <c r="AF266" i="27"/>
  <c r="AE266" i="27"/>
  <c r="AD266" i="27"/>
  <c r="AC266" i="27"/>
  <c r="AB266" i="27"/>
  <c r="AA266" i="27"/>
  <c r="Z266" i="27"/>
  <c r="Y266" i="27"/>
  <c r="X266" i="27"/>
  <c r="W266" i="27"/>
  <c r="V266" i="27"/>
  <c r="U266" i="27"/>
  <c r="T266" i="27"/>
  <c r="S266" i="27"/>
  <c r="R266" i="27"/>
  <c r="Q266" i="27"/>
  <c r="P266" i="27"/>
  <c r="O266" i="27"/>
  <c r="N266" i="27"/>
  <c r="M266" i="27"/>
  <c r="L266" i="27"/>
  <c r="K266" i="27"/>
  <c r="J266" i="27"/>
  <c r="I266" i="27"/>
  <c r="H266" i="27"/>
  <c r="G266" i="27"/>
  <c r="F266" i="27"/>
  <c r="E266" i="27"/>
  <c r="D266" i="27"/>
  <c r="C266" i="27"/>
  <c r="B266" i="27"/>
  <c r="A266" i="27"/>
  <c r="AF265" i="27"/>
  <c r="AE265" i="27"/>
  <c r="AD265" i="27"/>
  <c r="AC265" i="27"/>
  <c r="AB265" i="27"/>
  <c r="AA265" i="27"/>
  <c r="Z265" i="27"/>
  <c r="Y265" i="27"/>
  <c r="X265" i="27"/>
  <c r="W265" i="27"/>
  <c r="V265" i="27"/>
  <c r="U265" i="27"/>
  <c r="T265" i="27"/>
  <c r="S265" i="27"/>
  <c r="R265" i="27"/>
  <c r="Q265" i="27"/>
  <c r="P265" i="27"/>
  <c r="O265" i="27"/>
  <c r="N265" i="27"/>
  <c r="M265" i="27"/>
  <c r="L265" i="27"/>
  <c r="K265" i="27"/>
  <c r="J265" i="27"/>
  <c r="I265" i="27"/>
  <c r="H265" i="27"/>
  <c r="G265" i="27"/>
  <c r="F265" i="27"/>
  <c r="E265" i="27"/>
  <c r="D265" i="27"/>
  <c r="C265" i="27"/>
  <c r="B265" i="27"/>
  <c r="A265" i="27"/>
  <c r="AF264" i="27"/>
  <c r="AE264" i="27"/>
  <c r="AD264" i="27"/>
  <c r="AC264" i="27"/>
  <c r="AB264" i="27"/>
  <c r="AA264" i="27"/>
  <c r="Z264" i="27"/>
  <c r="Y264" i="27"/>
  <c r="X264" i="27"/>
  <c r="W264" i="27"/>
  <c r="V264" i="27"/>
  <c r="U264" i="27"/>
  <c r="T264" i="27"/>
  <c r="S264" i="27"/>
  <c r="R264" i="27"/>
  <c r="Q264" i="27"/>
  <c r="P264" i="27"/>
  <c r="O264" i="27"/>
  <c r="N264" i="27"/>
  <c r="M264" i="27"/>
  <c r="L264" i="27"/>
  <c r="K264" i="27"/>
  <c r="J264" i="27"/>
  <c r="I264" i="27"/>
  <c r="H264" i="27"/>
  <c r="G264" i="27"/>
  <c r="F264" i="27"/>
  <c r="E264" i="27"/>
  <c r="D264" i="27"/>
  <c r="C264" i="27"/>
  <c r="B264" i="27"/>
  <c r="A264" i="27"/>
  <c r="AE263" i="27"/>
  <c r="AD263" i="27"/>
  <c r="AC263" i="27"/>
  <c r="AB263" i="27"/>
  <c r="AA263" i="27"/>
  <c r="Z263" i="27"/>
  <c r="Y263" i="27"/>
  <c r="X263" i="27"/>
  <c r="W263" i="27"/>
  <c r="V263" i="27"/>
  <c r="U263" i="27"/>
  <c r="T263" i="27"/>
  <c r="S263" i="27"/>
  <c r="R263" i="27"/>
  <c r="Q263" i="27"/>
  <c r="P263" i="27"/>
  <c r="B263" i="27"/>
  <c r="S238" i="27"/>
  <c r="AG228" i="27"/>
  <c r="AF228" i="27"/>
  <c r="AE228" i="27"/>
  <c r="AD228" i="27"/>
  <c r="AC228" i="27"/>
  <c r="AB228" i="27"/>
  <c r="AA228" i="27"/>
  <c r="Z228" i="27"/>
  <c r="Y228" i="27"/>
  <c r="X228" i="27"/>
  <c r="W228" i="27"/>
  <c r="V228" i="27"/>
  <c r="U228" i="27"/>
  <c r="T228" i="27"/>
  <c r="S228" i="27"/>
  <c r="R228" i="27"/>
  <c r="Q228" i="27"/>
  <c r="C228" i="27"/>
  <c r="D227" i="27"/>
  <c r="C263" i="27" s="1"/>
  <c r="B227" i="27"/>
  <c r="AF263" i="27" s="1"/>
  <c r="D226" i="27"/>
  <c r="E226" i="27" s="1"/>
  <c r="F226" i="27" s="1"/>
  <c r="G226" i="27" s="1"/>
  <c r="H226" i="27" s="1"/>
  <c r="I226" i="27" s="1"/>
  <c r="J226" i="27" s="1"/>
  <c r="K226" i="27" s="1"/>
  <c r="L226" i="27" s="1"/>
  <c r="M226" i="27" s="1"/>
  <c r="N226" i="27" s="1"/>
  <c r="O226" i="27" s="1"/>
  <c r="P226" i="27" s="1"/>
  <c r="B226" i="27"/>
  <c r="D225" i="27"/>
  <c r="E225" i="27" s="1"/>
  <c r="F225" i="27" s="1"/>
  <c r="G225" i="27" s="1"/>
  <c r="H225" i="27" s="1"/>
  <c r="I225" i="27" s="1"/>
  <c r="B225" i="27"/>
  <c r="D224" i="27"/>
  <c r="E224" i="27" s="1"/>
  <c r="F224" i="27" s="1"/>
  <c r="G224" i="27" s="1"/>
  <c r="H224" i="27" s="1"/>
  <c r="B224" i="27"/>
  <c r="D223" i="27"/>
  <c r="D228" i="27" s="1"/>
  <c r="B223" i="27"/>
  <c r="D222" i="27"/>
  <c r="E222" i="27" s="1"/>
  <c r="B222" i="27"/>
  <c r="AG220" i="27"/>
  <c r="AF220" i="27"/>
  <c r="AE220" i="27"/>
  <c r="AD220" i="27"/>
  <c r="AC220" i="27"/>
  <c r="AB220" i="27"/>
  <c r="AA220" i="27"/>
  <c r="Z220" i="27"/>
  <c r="Y220" i="27"/>
  <c r="X220" i="27"/>
  <c r="W220" i="27"/>
  <c r="V220" i="27"/>
  <c r="U220" i="27"/>
  <c r="T220" i="27"/>
  <c r="S220" i="27"/>
  <c r="R220" i="27"/>
  <c r="Q220" i="27"/>
  <c r="P220" i="27"/>
  <c r="O220" i="27"/>
  <c r="N220" i="27"/>
  <c r="M220" i="27"/>
  <c r="L220" i="27"/>
  <c r="K220" i="27"/>
  <c r="J220" i="27"/>
  <c r="I220" i="27"/>
  <c r="H220" i="27"/>
  <c r="G220" i="27"/>
  <c r="F220" i="27"/>
  <c r="E220" i="27"/>
  <c r="D220" i="27"/>
  <c r="C220" i="27"/>
  <c r="B220" i="27"/>
  <c r="AI113" i="27"/>
  <c r="AH113" i="27"/>
  <c r="AI112" i="27"/>
  <c r="AH112" i="27"/>
  <c r="AI111" i="27"/>
  <c r="AH111" i="27"/>
  <c r="AI110" i="27"/>
  <c r="AH110" i="27"/>
  <c r="AI109" i="27"/>
  <c r="AH109" i="27"/>
  <c r="AI108" i="27"/>
  <c r="AH108" i="27"/>
  <c r="AI107" i="27"/>
  <c r="AH107" i="27"/>
  <c r="AI106" i="27"/>
  <c r="AH106" i="27"/>
  <c r="AI105" i="27"/>
  <c r="AH105" i="27"/>
  <c r="AF104" i="27"/>
  <c r="AE104" i="27"/>
  <c r="AD104" i="27"/>
  <c r="AC104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C104" i="27"/>
  <c r="B104" i="27"/>
  <c r="AI103" i="27"/>
  <c r="AH103" i="27"/>
  <c r="AI102" i="27"/>
  <c r="AH102" i="27"/>
  <c r="AI101" i="27"/>
  <c r="AH101" i="27"/>
  <c r="AI100" i="27"/>
  <c r="AH100" i="27"/>
  <c r="AI99" i="27"/>
  <c r="AH99" i="27"/>
  <c r="AI98" i="27"/>
  <c r="AH98" i="27"/>
  <c r="AI97" i="27"/>
  <c r="AH97" i="27"/>
  <c r="AI96" i="27"/>
  <c r="AH96" i="27"/>
  <c r="AI95" i="27"/>
  <c r="AH95" i="27"/>
  <c r="AI93" i="27"/>
  <c r="AH93" i="27"/>
  <c r="AI92" i="27"/>
  <c r="AH92" i="27"/>
  <c r="AI91" i="27"/>
  <c r="AH91" i="27"/>
  <c r="AI90" i="27"/>
  <c r="AH90" i="27"/>
  <c r="AI89" i="27"/>
  <c r="AH89" i="27"/>
  <c r="AI88" i="27"/>
  <c r="AH88" i="27"/>
  <c r="AI87" i="27"/>
  <c r="AH87" i="27"/>
  <c r="AI84" i="27"/>
  <c r="AH84" i="27"/>
  <c r="AI82" i="27"/>
  <c r="AH82" i="27"/>
  <c r="AG82" i="27"/>
  <c r="AI81" i="27"/>
  <c r="AH81" i="27"/>
  <c r="AI80" i="27"/>
  <c r="AH80" i="27"/>
  <c r="AI79" i="27"/>
  <c r="AH79" i="27"/>
  <c r="AN78" i="27"/>
  <c r="AG78" i="27"/>
  <c r="AF78" i="27"/>
  <c r="AF94" i="27" s="1"/>
  <c r="AE78" i="27"/>
  <c r="AD5" i="27" s="1"/>
  <c r="AD78" i="27"/>
  <c r="AD94" i="27" s="1"/>
  <c r="AC78" i="27"/>
  <c r="AC94" i="27" s="1"/>
  <c r="AB78" i="27"/>
  <c r="AB94" i="27" s="1"/>
  <c r="AA78" i="27"/>
  <c r="AA94" i="27" s="1"/>
  <c r="Z78" i="27"/>
  <c r="Z94" i="27" s="1"/>
  <c r="Y78" i="27"/>
  <c r="Y94" i="27" s="1"/>
  <c r="X78" i="27"/>
  <c r="X94" i="27" s="1"/>
  <c r="W78" i="27"/>
  <c r="V5" i="27" s="1"/>
  <c r="V78" i="27"/>
  <c r="V94" i="27" s="1"/>
  <c r="U78" i="27"/>
  <c r="U94" i="27" s="1"/>
  <c r="T78" i="27"/>
  <c r="T94" i="27" s="1"/>
  <c r="S78" i="27"/>
  <c r="S94" i="27" s="1"/>
  <c r="R78" i="27"/>
  <c r="R94" i="27" s="1"/>
  <c r="Q78" i="27"/>
  <c r="Q94" i="27" s="1"/>
  <c r="P94" i="27"/>
  <c r="O78" i="27"/>
  <c r="N5" i="27" s="1"/>
  <c r="N78" i="27"/>
  <c r="N94" i="27" s="1"/>
  <c r="M78" i="27"/>
  <c r="M94" i="27" s="1"/>
  <c r="L78" i="27"/>
  <c r="L94" i="27" s="1"/>
  <c r="K78" i="27"/>
  <c r="K94" i="27" s="1"/>
  <c r="J78" i="27"/>
  <c r="J94" i="27" s="1"/>
  <c r="I78" i="27"/>
  <c r="I94" i="27" s="1"/>
  <c r="H78" i="27"/>
  <c r="H94" i="27" s="1"/>
  <c r="G78" i="27"/>
  <c r="F5" i="27" s="1"/>
  <c r="F78" i="27"/>
  <c r="F94" i="27" s="1"/>
  <c r="E78" i="27"/>
  <c r="E94" i="27" s="1"/>
  <c r="D78" i="27"/>
  <c r="D94" i="27" s="1"/>
  <c r="C78" i="27"/>
  <c r="C94" i="27" s="1"/>
  <c r="B78" i="27"/>
  <c r="B94" i="27" s="1"/>
  <c r="AI77" i="27"/>
  <c r="AH77" i="27"/>
  <c r="AN76" i="27"/>
  <c r="AI76" i="27"/>
  <c r="AH76" i="27"/>
  <c r="AN75" i="27"/>
  <c r="AN77" i="27" s="1"/>
  <c r="AI75" i="27"/>
  <c r="AH75" i="27"/>
  <c r="AI74" i="27"/>
  <c r="AH74" i="27"/>
  <c r="AI73" i="27"/>
  <c r="AH73" i="27"/>
  <c r="AI72" i="27"/>
  <c r="AH72" i="27"/>
  <c r="AI71" i="27"/>
  <c r="AH71" i="27"/>
  <c r="AI70" i="27"/>
  <c r="AH70" i="27"/>
  <c r="AI69" i="27"/>
  <c r="AH69" i="27"/>
  <c r="AI68" i="27"/>
  <c r="AH68" i="27"/>
  <c r="AI67" i="27"/>
  <c r="AH67" i="27"/>
  <c r="AG66" i="27"/>
  <c r="AF66" i="27"/>
  <c r="AE66" i="27"/>
  <c r="AD66" i="27"/>
  <c r="AC66" i="27"/>
  <c r="AB66" i="27"/>
  <c r="AA66" i="27"/>
  <c r="Z66" i="27"/>
  <c r="Y66" i="27"/>
  <c r="X66" i="27"/>
  <c r="W66" i="27"/>
  <c r="V66" i="27"/>
  <c r="U66" i="27"/>
  <c r="T66" i="27"/>
  <c r="S66" i="27"/>
  <c r="R66" i="27"/>
  <c r="Q66" i="27"/>
  <c r="N66" i="27"/>
  <c r="M66" i="27"/>
  <c r="L66" i="27"/>
  <c r="AI65" i="27"/>
  <c r="AH65" i="27"/>
  <c r="AI64" i="27"/>
  <c r="AH64" i="27"/>
  <c r="AI63" i="27"/>
  <c r="AH63" i="27"/>
  <c r="AF62" i="27"/>
  <c r="AE62" i="27"/>
  <c r="AD62" i="27"/>
  <c r="AC62" i="27"/>
  <c r="AB62" i="27"/>
  <c r="AA62" i="27"/>
  <c r="Z62" i="27"/>
  <c r="Y62" i="27"/>
  <c r="X62" i="27"/>
  <c r="W62" i="27"/>
  <c r="V62" i="27"/>
  <c r="U62" i="27"/>
  <c r="T62" i="27"/>
  <c r="S62" i="27"/>
  <c r="R62" i="27"/>
  <c r="Q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AI61" i="27"/>
  <c r="AH61" i="27"/>
  <c r="AG61" i="27"/>
  <c r="AG62" i="27" s="1"/>
  <c r="AG3" i="27" s="1"/>
  <c r="AI60" i="27"/>
  <c r="AH60" i="27"/>
  <c r="AI59" i="27"/>
  <c r="AH59" i="27"/>
  <c r="AI58" i="27"/>
  <c r="AH58" i="27"/>
  <c r="AI57" i="27"/>
  <c r="AH57" i="27"/>
  <c r="AI56" i="27"/>
  <c r="AH56" i="27"/>
  <c r="AI55" i="27"/>
  <c r="AH55" i="27"/>
  <c r="AI54" i="27"/>
  <c r="AH54" i="27"/>
  <c r="AI53" i="27"/>
  <c r="AH53" i="27"/>
  <c r="AI52" i="27"/>
  <c r="AH52" i="27"/>
  <c r="AI51" i="27"/>
  <c r="AH51" i="27"/>
  <c r="AI50" i="27"/>
  <c r="AH50" i="27"/>
  <c r="AI49" i="27"/>
  <c r="AH49" i="27"/>
  <c r="AG48" i="27"/>
  <c r="AF48" i="27"/>
  <c r="AE48" i="27"/>
  <c r="AD48" i="27"/>
  <c r="AC48" i="27"/>
  <c r="AB48" i="27"/>
  <c r="AA48" i="27"/>
  <c r="Z48" i="27"/>
  <c r="Y48" i="27"/>
  <c r="X48" i="27"/>
  <c r="W48" i="27"/>
  <c r="V48" i="27"/>
  <c r="U48" i="27"/>
  <c r="T48" i="27"/>
  <c r="S48" i="27"/>
  <c r="R48" i="27"/>
  <c r="Q48" i="27"/>
  <c r="N48" i="27"/>
  <c r="M48" i="27"/>
  <c r="L48" i="27"/>
  <c r="K48" i="27"/>
  <c r="J48" i="27"/>
  <c r="I48" i="27"/>
  <c r="H48" i="27"/>
  <c r="G48" i="27"/>
  <c r="F48" i="27"/>
  <c r="E48" i="27"/>
  <c r="D48" i="27"/>
  <c r="C48" i="27"/>
  <c r="B48" i="27"/>
  <c r="AI47" i="27"/>
  <c r="AH47" i="27"/>
  <c r="AI46" i="27"/>
  <c r="AH46" i="27"/>
  <c r="AI45" i="27"/>
  <c r="AH45" i="27"/>
  <c r="AG44" i="27"/>
  <c r="AG83" i="27" s="1"/>
  <c r="AF44" i="27"/>
  <c r="AE44" i="27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N44" i="27"/>
  <c r="M44" i="27"/>
  <c r="L44" i="27"/>
  <c r="K44" i="27"/>
  <c r="J44" i="27"/>
  <c r="I44" i="27"/>
  <c r="H44" i="27"/>
  <c r="G44" i="27"/>
  <c r="G83" i="27" s="1"/>
  <c r="G85" i="27" s="1"/>
  <c r="F44" i="27"/>
  <c r="E44" i="27"/>
  <c r="D44" i="27"/>
  <c r="C44" i="27"/>
  <c r="B44" i="27"/>
  <c r="AI43" i="27"/>
  <c r="AH43" i="27"/>
  <c r="AI42" i="27"/>
  <c r="AH42" i="27"/>
  <c r="AI41" i="27"/>
  <c r="AH41" i="27"/>
  <c r="AI40" i="27"/>
  <c r="AH40" i="27"/>
  <c r="AI39" i="27"/>
  <c r="AH39" i="27"/>
  <c r="AI38" i="27"/>
  <c r="AH38" i="27"/>
  <c r="AI37" i="27"/>
  <c r="AH37" i="27"/>
  <c r="AI36" i="27"/>
  <c r="AH36" i="27"/>
  <c r="AI35" i="27"/>
  <c r="AH35" i="27"/>
  <c r="AI34" i="27"/>
  <c r="AH34" i="27"/>
  <c r="AI33" i="27"/>
  <c r="AH33" i="27"/>
  <c r="AI32" i="27"/>
  <c r="AH32" i="27"/>
  <c r="AI31" i="27"/>
  <c r="AH31" i="27"/>
  <c r="AI30" i="27"/>
  <c r="AH30" i="27"/>
  <c r="AI29" i="27"/>
  <c r="AH29" i="27"/>
  <c r="AI28" i="27"/>
  <c r="AH28" i="27"/>
  <c r="AI27" i="27"/>
  <c r="AH27" i="27"/>
  <c r="AI26" i="27"/>
  <c r="AH26" i="27"/>
  <c r="AI25" i="27"/>
  <c r="AH25" i="27"/>
  <c r="AI24" i="27"/>
  <c r="AH24" i="27"/>
  <c r="AI23" i="27"/>
  <c r="AH23" i="27"/>
  <c r="AI22" i="27"/>
  <c r="AH22" i="27"/>
  <c r="AI21" i="27"/>
  <c r="AH21" i="27"/>
  <c r="AI20" i="27"/>
  <c r="AH20" i="27"/>
  <c r="AI19" i="27"/>
  <c r="AH19" i="27"/>
  <c r="AI18" i="27"/>
  <c r="AH18" i="27"/>
  <c r="AI17" i="27"/>
  <c r="AH17" i="27"/>
  <c r="AI16" i="27"/>
  <c r="AH16" i="27"/>
  <c r="AI15" i="27"/>
  <c r="AH15" i="27"/>
  <c r="AI14" i="27"/>
  <c r="AH14" i="27"/>
  <c r="AI13" i="27"/>
  <c r="AH13" i="27"/>
  <c r="AI12" i="27"/>
  <c r="AH12" i="27"/>
  <c r="AI11" i="27"/>
  <c r="AH11" i="27"/>
  <c r="Y5" i="27"/>
  <c r="O5" i="27"/>
  <c r="AG4" i="27"/>
  <c r="K4" i="27"/>
  <c r="E4" i="27"/>
  <c r="H4" i="27" s="1"/>
  <c r="B4" i="27"/>
  <c r="S239" i="27" s="1"/>
  <c r="AG2" i="27"/>
  <c r="AG6" i="27" s="1"/>
  <c r="AB83" i="27" l="1"/>
  <c r="AB85" i="27" s="1"/>
  <c r="B228" i="27"/>
  <c r="AE5" i="27"/>
  <c r="AD83" i="27"/>
  <c r="AD85" i="27" s="1"/>
  <c r="AD7" i="27" s="1"/>
  <c r="AE83" i="27"/>
  <c r="AE85" i="27" s="1"/>
  <c r="AW242" i="27" s="1"/>
  <c r="AC5" i="27"/>
  <c r="AF83" i="27"/>
  <c r="AF85" i="27" s="1"/>
  <c r="AF7" i="27" s="1"/>
  <c r="AB5" i="27"/>
  <c r="AC83" i="27"/>
  <c r="AC85" i="27" s="1"/>
  <c r="AU242" i="27" s="1"/>
  <c r="AA5" i="27"/>
  <c r="Z5" i="27"/>
  <c r="AA83" i="27"/>
  <c r="AA85" i="27" s="1"/>
  <c r="AS242" i="27" s="1"/>
  <c r="Z83" i="27"/>
  <c r="Z85" i="27" s="1"/>
  <c r="AR242" i="27" s="1"/>
  <c r="X5" i="27"/>
  <c r="Y83" i="27"/>
  <c r="Y85" i="27" s="1"/>
  <c r="W5" i="27"/>
  <c r="X83" i="27"/>
  <c r="X85" i="27" s="1"/>
  <c r="W83" i="27"/>
  <c r="W85" i="27" s="1"/>
  <c r="W86" i="27" s="1"/>
  <c r="U5" i="27"/>
  <c r="V83" i="27"/>
  <c r="V85" i="27" s="1"/>
  <c r="T5" i="27"/>
  <c r="U83" i="27"/>
  <c r="U85" i="27" s="1"/>
  <c r="AM242" i="27" s="1"/>
  <c r="S5" i="27"/>
  <c r="T83" i="27"/>
  <c r="T85" i="27" s="1"/>
  <c r="T7" i="27" s="1"/>
  <c r="R5" i="27"/>
  <c r="S83" i="27"/>
  <c r="S85" i="27" s="1"/>
  <c r="S7" i="27" s="1"/>
  <c r="Q5" i="27"/>
  <c r="AH66" i="27"/>
  <c r="R83" i="27"/>
  <c r="R85" i="27" s="1"/>
  <c r="AJ242" i="27" s="1"/>
  <c r="P5" i="27"/>
  <c r="AI66" i="27"/>
  <c r="Q83" i="27"/>
  <c r="Q85" i="27" s="1"/>
  <c r="Q86" i="27" s="1"/>
  <c r="O83" i="27"/>
  <c r="O85" i="27" s="1"/>
  <c r="O86" i="27" s="1"/>
  <c r="N83" i="27"/>
  <c r="N85" i="27" s="1"/>
  <c r="AF242" i="27" s="1"/>
  <c r="M5" i="27"/>
  <c r="L5" i="27"/>
  <c r="K5" i="27"/>
  <c r="L83" i="27"/>
  <c r="L85" i="27" s="1"/>
  <c r="L7" i="27" s="1"/>
  <c r="K83" i="27"/>
  <c r="K85" i="27" s="1"/>
  <c r="K86" i="27" s="1"/>
  <c r="I5" i="27"/>
  <c r="J83" i="27"/>
  <c r="J85" i="27" s="1"/>
  <c r="J86" i="27" s="1"/>
  <c r="AI48" i="27"/>
  <c r="I83" i="27"/>
  <c r="I85" i="27" s="1"/>
  <c r="AA242" i="27" s="1"/>
  <c r="H5" i="27"/>
  <c r="J5" i="27"/>
  <c r="M83" i="27"/>
  <c r="M85" i="27" s="1"/>
  <c r="M86" i="27" s="1"/>
  <c r="G5" i="27"/>
  <c r="H83" i="27"/>
  <c r="H85" i="27" s="1"/>
  <c r="H86" i="27" s="1"/>
  <c r="E5" i="27"/>
  <c r="F83" i="27"/>
  <c r="F85" i="27" s="1"/>
  <c r="F86" i="27" s="1"/>
  <c r="D5" i="27"/>
  <c r="E83" i="27"/>
  <c r="E85" i="27" s="1"/>
  <c r="W242" i="27" s="1"/>
  <c r="D83" i="27"/>
  <c r="D85" i="27" s="1"/>
  <c r="C5" i="27"/>
  <c r="B5" i="27"/>
  <c r="AI62" i="27"/>
  <c r="C83" i="27"/>
  <c r="C85" i="27" s="1"/>
  <c r="C86" i="27" s="1"/>
  <c r="AF5" i="27"/>
  <c r="B83" i="27"/>
  <c r="Z86" i="27"/>
  <c r="Z7" i="27"/>
  <c r="S86" i="27"/>
  <c r="AK242" i="27"/>
  <c r="D86" i="27"/>
  <c r="D7" i="27"/>
  <c r="V242" i="27"/>
  <c r="L86" i="27"/>
  <c r="AB86" i="27"/>
  <c r="AB7" i="27"/>
  <c r="AT242" i="27"/>
  <c r="Y86" i="27"/>
  <c r="Y7" i="27"/>
  <c r="AQ242" i="27"/>
  <c r="X242" i="27"/>
  <c r="F7" i="27"/>
  <c r="AN242" i="27"/>
  <c r="V86" i="27"/>
  <c r="V7" i="27"/>
  <c r="AV242" i="27"/>
  <c r="AD86" i="27"/>
  <c r="AG85" i="27"/>
  <c r="Y242" i="27"/>
  <c r="G86" i="27"/>
  <c r="G7" i="27"/>
  <c r="AG242" i="27"/>
  <c r="AO242" i="27"/>
  <c r="U242" i="27"/>
  <c r="AH242" i="27"/>
  <c r="P86" i="27"/>
  <c r="P7" i="27"/>
  <c r="X86" i="27"/>
  <c r="X7" i="27"/>
  <c r="AP242" i="27"/>
  <c r="F222" i="27"/>
  <c r="J225" i="27"/>
  <c r="K225" i="27" s="1"/>
  <c r="L225" i="27" s="1"/>
  <c r="M225" i="27" s="1"/>
  <c r="N225" i="27" s="1"/>
  <c r="O225" i="27" s="1"/>
  <c r="P225" i="27" s="1"/>
  <c r="D239" i="27"/>
  <c r="G94" i="27"/>
  <c r="O94" i="27"/>
  <c r="W94" i="27"/>
  <c r="AE94" i="27"/>
  <c r="D104" i="27"/>
  <c r="E223" i="27"/>
  <c r="F223" i="27" s="1"/>
  <c r="G223" i="27" s="1"/>
  <c r="H223" i="27" s="1"/>
  <c r="I223" i="27" s="1"/>
  <c r="J223" i="27" s="1"/>
  <c r="K223" i="27" s="1"/>
  <c r="L223" i="27" s="1"/>
  <c r="M223" i="27" s="1"/>
  <c r="N223" i="27" s="1"/>
  <c r="O223" i="27" s="1"/>
  <c r="P223" i="27" s="1"/>
  <c r="E227" i="27"/>
  <c r="E104" i="27" s="1"/>
  <c r="AH62" i="27"/>
  <c r="AH78" i="27"/>
  <c r="AI78" i="27"/>
  <c r="AH44" i="27"/>
  <c r="AH48" i="27"/>
  <c r="AI44" i="27"/>
  <c r="Q107" i="26"/>
  <c r="Q44" i="26"/>
  <c r="Q48" i="26"/>
  <c r="Q62" i="26"/>
  <c r="Q66" i="26"/>
  <c r="Q78" i="26"/>
  <c r="P5" i="26" s="1"/>
  <c r="O107" i="26"/>
  <c r="AF267" i="26"/>
  <c r="AE267" i="26"/>
  <c r="AD267" i="26"/>
  <c r="AC267" i="26"/>
  <c r="AB267" i="26"/>
  <c r="AA267" i="26"/>
  <c r="Z267" i="26"/>
  <c r="Y267" i="26"/>
  <c r="X267" i="26"/>
  <c r="W267" i="26"/>
  <c r="V267" i="26"/>
  <c r="U267" i="26"/>
  <c r="T267" i="26"/>
  <c r="S267" i="26"/>
  <c r="R267" i="26"/>
  <c r="Q267" i="26"/>
  <c r="P267" i="26"/>
  <c r="O267" i="26"/>
  <c r="N267" i="26"/>
  <c r="M267" i="26"/>
  <c r="L267" i="26"/>
  <c r="K267" i="26"/>
  <c r="J267" i="26"/>
  <c r="I267" i="26"/>
  <c r="H267" i="26"/>
  <c r="G267" i="26"/>
  <c r="F267" i="26"/>
  <c r="E267" i="26"/>
  <c r="D267" i="26"/>
  <c r="C267" i="26"/>
  <c r="B267" i="26"/>
  <c r="A267" i="26"/>
  <c r="AF266" i="26"/>
  <c r="AE266" i="26"/>
  <c r="AD266" i="26"/>
  <c r="AC266" i="26"/>
  <c r="AB266" i="26"/>
  <c r="AA266" i="26"/>
  <c r="Z266" i="26"/>
  <c r="Y266" i="26"/>
  <c r="X266" i="26"/>
  <c r="W266" i="26"/>
  <c r="V266" i="26"/>
  <c r="U266" i="26"/>
  <c r="T266" i="26"/>
  <c r="S266" i="26"/>
  <c r="R266" i="26"/>
  <c r="Q266" i="26"/>
  <c r="P266" i="26"/>
  <c r="O266" i="26"/>
  <c r="N266" i="26"/>
  <c r="M266" i="26"/>
  <c r="L266" i="26"/>
  <c r="K266" i="26"/>
  <c r="J266" i="26"/>
  <c r="I266" i="26"/>
  <c r="H266" i="26"/>
  <c r="G266" i="26"/>
  <c r="F266" i="26"/>
  <c r="E266" i="26"/>
  <c r="D266" i="26"/>
  <c r="C266" i="26"/>
  <c r="B266" i="26"/>
  <c r="A266" i="26"/>
  <c r="AF265" i="26"/>
  <c r="AE265" i="26"/>
  <c r="AD265" i="26"/>
  <c r="AC265" i="26"/>
  <c r="AB265" i="26"/>
  <c r="AA265" i="26"/>
  <c r="Z265" i="26"/>
  <c r="Y265" i="26"/>
  <c r="X265" i="26"/>
  <c r="W265" i="26"/>
  <c r="V265" i="26"/>
  <c r="U265" i="26"/>
  <c r="T265" i="26"/>
  <c r="S265" i="26"/>
  <c r="R265" i="26"/>
  <c r="Q265" i="26"/>
  <c r="P265" i="26"/>
  <c r="O265" i="26"/>
  <c r="N265" i="26"/>
  <c r="M265" i="26"/>
  <c r="L265" i="26"/>
  <c r="K265" i="26"/>
  <c r="J265" i="26"/>
  <c r="I265" i="26"/>
  <c r="H265" i="26"/>
  <c r="G265" i="26"/>
  <c r="F265" i="26"/>
  <c r="E265" i="26"/>
  <c r="D265" i="26"/>
  <c r="C265" i="26"/>
  <c r="B265" i="26"/>
  <c r="A265" i="26"/>
  <c r="AF264" i="26"/>
  <c r="AE264" i="26"/>
  <c r="AD264" i="26"/>
  <c r="AC264" i="26"/>
  <c r="AB264" i="26"/>
  <c r="AA264" i="26"/>
  <c r="Z264" i="26"/>
  <c r="Y264" i="26"/>
  <c r="X264" i="26"/>
  <c r="W264" i="26"/>
  <c r="V264" i="26"/>
  <c r="U264" i="26"/>
  <c r="T264" i="26"/>
  <c r="S264" i="26"/>
  <c r="R264" i="26"/>
  <c r="Q264" i="26"/>
  <c r="P264" i="26"/>
  <c r="O264" i="26"/>
  <c r="N264" i="26"/>
  <c r="M264" i="26"/>
  <c r="L264" i="26"/>
  <c r="K264" i="26"/>
  <c r="J264" i="26"/>
  <c r="I264" i="26"/>
  <c r="H264" i="26"/>
  <c r="G264" i="26"/>
  <c r="F264" i="26"/>
  <c r="E264" i="26"/>
  <c r="D264" i="26"/>
  <c r="C264" i="26"/>
  <c r="B264" i="26"/>
  <c r="A264" i="26"/>
  <c r="AE263" i="26"/>
  <c r="AD263" i="26"/>
  <c r="AC263" i="26"/>
  <c r="AB263" i="26"/>
  <c r="AA263" i="26"/>
  <c r="Z263" i="26"/>
  <c r="Y263" i="26"/>
  <c r="X263" i="26"/>
  <c r="W263" i="26"/>
  <c r="V263" i="26"/>
  <c r="U263" i="26"/>
  <c r="T263" i="26"/>
  <c r="S263" i="26"/>
  <c r="R263" i="26"/>
  <c r="Q263" i="26"/>
  <c r="P263" i="26"/>
  <c r="B263" i="26"/>
  <c r="AQ242" i="26"/>
  <c r="S238" i="26"/>
  <c r="AG228" i="26"/>
  <c r="AG61" i="26" s="1"/>
  <c r="AG62" i="26" s="1"/>
  <c r="AG3" i="26" s="1"/>
  <c r="AF228" i="26"/>
  <c r="AE228" i="26"/>
  <c r="AD228" i="26"/>
  <c r="AC228" i="26"/>
  <c r="AB228" i="26"/>
  <c r="AA228" i="26"/>
  <c r="Z228" i="26"/>
  <c r="Y228" i="26"/>
  <c r="X228" i="26"/>
  <c r="W228" i="26"/>
  <c r="V228" i="26"/>
  <c r="U228" i="26"/>
  <c r="T228" i="26"/>
  <c r="S228" i="26"/>
  <c r="R228" i="26"/>
  <c r="Q228" i="26"/>
  <c r="C228" i="26"/>
  <c r="D227" i="26"/>
  <c r="C263" i="26" s="1"/>
  <c r="B227" i="26"/>
  <c r="AF263" i="26" s="1"/>
  <c r="E226" i="26"/>
  <c r="F226" i="26" s="1"/>
  <c r="G226" i="26" s="1"/>
  <c r="H226" i="26" s="1"/>
  <c r="I226" i="26" s="1"/>
  <c r="J226" i="26" s="1"/>
  <c r="K226" i="26" s="1"/>
  <c r="L226" i="26" s="1"/>
  <c r="M226" i="26" s="1"/>
  <c r="N226" i="26" s="1"/>
  <c r="O226" i="26" s="1"/>
  <c r="P226" i="26" s="1"/>
  <c r="D226" i="26"/>
  <c r="B226" i="26"/>
  <c r="D225" i="26"/>
  <c r="D228" i="26" s="1"/>
  <c r="B225" i="26"/>
  <c r="D224" i="26"/>
  <c r="E224" i="26" s="1"/>
  <c r="F224" i="26" s="1"/>
  <c r="G224" i="26" s="1"/>
  <c r="H224" i="26" s="1"/>
  <c r="B224" i="26"/>
  <c r="D223" i="26"/>
  <c r="E223" i="26" s="1"/>
  <c r="F223" i="26" s="1"/>
  <c r="G223" i="26" s="1"/>
  <c r="H223" i="26" s="1"/>
  <c r="I223" i="26" s="1"/>
  <c r="J223" i="26" s="1"/>
  <c r="K223" i="26" s="1"/>
  <c r="L223" i="26" s="1"/>
  <c r="M223" i="26" s="1"/>
  <c r="N223" i="26" s="1"/>
  <c r="O223" i="26" s="1"/>
  <c r="P223" i="26" s="1"/>
  <c r="B223" i="26"/>
  <c r="F222" i="26"/>
  <c r="G222" i="26" s="1"/>
  <c r="E222" i="26"/>
  <c r="D222" i="26"/>
  <c r="B222" i="26"/>
  <c r="AG220" i="26"/>
  <c r="AF220" i="26"/>
  <c r="AE220" i="26"/>
  <c r="AD220" i="26"/>
  <c r="AC220" i="26"/>
  <c r="AB220" i="26"/>
  <c r="AA220" i="26"/>
  <c r="Z220" i="26"/>
  <c r="Y220" i="26"/>
  <c r="X220" i="26"/>
  <c r="W220" i="26"/>
  <c r="V220" i="26"/>
  <c r="U220" i="26"/>
  <c r="T220" i="26"/>
  <c r="S220" i="26"/>
  <c r="R220" i="26"/>
  <c r="Q220" i="26"/>
  <c r="P220" i="26"/>
  <c r="O220" i="26"/>
  <c r="N220" i="26"/>
  <c r="M220" i="26"/>
  <c r="L220" i="26"/>
  <c r="K220" i="26"/>
  <c r="J220" i="26"/>
  <c r="I220" i="26"/>
  <c r="H220" i="26"/>
  <c r="G220" i="26"/>
  <c r="F220" i="26"/>
  <c r="E220" i="26"/>
  <c r="D220" i="26"/>
  <c r="C220" i="26"/>
  <c r="B220" i="26"/>
  <c r="AI113" i="26"/>
  <c r="AH113" i="26"/>
  <c r="AI112" i="26"/>
  <c r="AH112" i="26"/>
  <c r="AI111" i="26"/>
  <c r="AH111" i="26"/>
  <c r="AI110" i="26"/>
  <c r="AH110" i="26"/>
  <c r="AI109" i="26"/>
  <c r="AH109" i="26"/>
  <c r="AI108" i="26"/>
  <c r="AH108" i="26"/>
  <c r="AI107" i="26"/>
  <c r="AA104" i="26"/>
  <c r="Z104" i="26"/>
  <c r="V104" i="26"/>
  <c r="S104" i="26"/>
  <c r="D107" i="26"/>
  <c r="C107" i="26"/>
  <c r="AI106" i="26"/>
  <c r="AH106" i="26"/>
  <c r="AI105" i="26"/>
  <c r="AH105" i="26"/>
  <c r="AF104" i="26"/>
  <c r="AE104" i="26"/>
  <c r="AD104" i="26"/>
  <c r="AC104" i="26"/>
  <c r="AB104" i="26"/>
  <c r="X104" i="26"/>
  <c r="W104" i="26"/>
  <c r="U104" i="26"/>
  <c r="T104" i="26"/>
  <c r="R104" i="26"/>
  <c r="Q104" i="26"/>
  <c r="D104" i="26"/>
  <c r="C104" i="26"/>
  <c r="B104" i="26"/>
  <c r="AI103" i="26"/>
  <c r="AH103" i="26"/>
  <c r="AI102" i="26"/>
  <c r="AH102" i="26"/>
  <c r="AI101" i="26"/>
  <c r="AH101" i="26"/>
  <c r="AI100" i="26"/>
  <c r="AH100" i="26"/>
  <c r="AI99" i="26"/>
  <c r="AH99" i="26"/>
  <c r="AI98" i="26"/>
  <c r="AH98" i="26"/>
  <c r="AI97" i="26"/>
  <c r="AH97" i="26"/>
  <c r="AI96" i="26"/>
  <c r="AH96" i="26"/>
  <c r="AI95" i="26"/>
  <c r="AH95" i="26"/>
  <c r="AI93" i="26"/>
  <c r="AH93" i="26"/>
  <c r="AI92" i="26"/>
  <c r="AH92" i="26"/>
  <c r="AI91" i="26"/>
  <c r="AH91" i="26"/>
  <c r="AI90" i="26"/>
  <c r="AH90" i="26"/>
  <c r="AI89" i="26"/>
  <c r="AH89" i="26"/>
  <c r="AI88" i="26"/>
  <c r="AH88" i="26"/>
  <c r="AI87" i="26"/>
  <c r="AH87" i="26"/>
  <c r="AI84" i="26"/>
  <c r="AH84" i="26"/>
  <c r="AI82" i="26"/>
  <c r="AH82" i="26"/>
  <c r="AG82" i="26"/>
  <c r="AI81" i="26"/>
  <c r="AH81" i="26"/>
  <c r="AI80" i="26"/>
  <c r="AH80" i="26"/>
  <c r="AI79" i="26"/>
  <c r="AH79" i="26"/>
  <c r="AN78" i="26"/>
  <c r="AG78" i="26"/>
  <c r="AF78" i="26"/>
  <c r="AF94" i="26" s="1"/>
  <c r="AE78" i="26"/>
  <c r="AE94" i="26" s="1"/>
  <c r="AD78" i="26"/>
  <c r="AD94" i="26" s="1"/>
  <c r="AC78" i="26"/>
  <c r="AC94" i="26" s="1"/>
  <c r="AB78" i="26"/>
  <c r="AB94" i="26" s="1"/>
  <c r="AA78" i="26"/>
  <c r="AA94" i="26" s="1"/>
  <c r="Z78" i="26"/>
  <c r="Z94" i="26" s="1"/>
  <c r="X78" i="26"/>
  <c r="X94" i="26" s="1"/>
  <c r="W78" i="26"/>
  <c r="W94" i="26" s="1"/>
  <c r="V78" i="26"/>
  <c r="U5" i="26" s="1"/>
  <c r="U78" i="26"/>
  <c r="U94" i="26" s="1"/>
  <c r="T78" i="26"/>
  <c r="T94" i="26" s="1"/>
  <c r="S78" i="26"/>
  <c r="S94" i="26" s="1"/>
  <c r="R78" i="26"/>
  <c r="R94" i="26" s="1"/>
  <c r="Q94" i="26"/>
  <c r="P78" i="26"/>
  <c r="P94" i="26" s="1"/>
  <c r="O78" i="26"/>
  <c r="O94" i="26" s="1"/>
  <c r="N78" i="26"/>
  <c r="M5" i="26" s="1"/>
  <c r="M78" i="26"/>
  <c r="M94" i="26" s="1"/>
  <c r="L78" i="26"/>
  <c r="K5" i="26" s="1"/>
  <c r="K78" i="26"/>
  <c r="K94" i="26" s="1"/>
  <c r="J78" i="26"/>
  <c r="J94" i="26" s="1"/>
  <c r="I78" i="26"/>
  <c r="I94" i="26" s="1"/>
  <c r="H78" i="26"/>
  <c r="H94" i="26" s="1"/>
  <c r="G78" i="26"/>
  <c r="G94" i="26" s="1"/>
  <c r="F78" i="26"/>
  <c r="E5" i="26" s="1"/>
  <c r="E78" i="26"/>
  <c r="E94" i="26" s="1"/>
  <c r="D78" i="26"/>
  <c r="C5" i="26" s="1"/>
  <c r="C78" i="26"/>
  <c r="C94" i="26" s="1"/>
  <c r="B78" i="26"/>
  <c r="AF5" i="26" s="1"/>
  <c r="AI77" i="26"/>
  <c r="AH77" i="26"/>
  <c r="AN76" i="26"/>
  <c r="AN77" i="26" s="1"/>
  <c r="AI76" i="26"/>
  <c r="AH76" i="26"/>
  <c r="AN75" i="26"/>
  <c r="AI75" i="26"/>
  <c r="AH75" i="26"/>
  <c r="AI74" i="26"/>
  <c r="AH74" i="26"/>
  <c r="AI73" i="26"/>
  <c r="AH73" i="26"/>
  <c r="AI72" i="26"/>
  <c r="AH72" i="26"/>
  <c r="AI71" i="26"/>
  <c r="AH71" i="26"/>
  <c r="AI70" i="26"/>
  <c r="AH70" i="26"/>
  <c r="AI69" i="26"/>
  <c r="AH69" i="26"/>
  <c r="AI68" i="26"/>
  <c r="AH68" i="26"/>
  <c r="AI67" i="26"/>
  <c r="AH67" i="26"/>
  <c r="AG66" i="26"/>
  <c r="AG4" i="26" s="1"/>
  <c r="AF66" i="26"/>
  <c r="AE66" i="26"/>
  <c r="AD66" i="26"/>
  <c r="AC66" i="26"/>
  <c r="AB66" i="26"/>
  <c r="AA66" i="26"/>
  <c r="Z66" i="26"/>
  <c r="X66" i="26"/>
  <c r="W66" i="26"/>
  <c r="V66" i="26"/>
  <c r="U66" i="26"/>
  <c r="T66" i="26"/>
  <c r="S66" i="26"/>
  <c r="R66" i="26"/>
  <c r="P66" i="26"/>
  <c r="O66" i="26"/>
  <c r="N66" i="26"/>
  <c r="M66" i="26"/>
  <c r="L66" i="26"/>
  <c r="D66" i="26"/>
  <c r="C66" i="26"/>
  <c r="B66" i="26"/>
  <c r="AI65" i="26"/>
  <c r="AH65" i="26"/>
  <c r="AI64" i="26"/>
  <c r="AH64" i="26"/>
  <c r="AI63" i="26"/>
  <c r="AH63" i="26"/>
  <c r="AF62" i="26"/>
  <c r="AE62" i="26"/>
  <c r="AD62" i="26"/>
  <c r="AC62" i="26"/>
  <c r="AB62" i="26"/>
  <c r="AA62" i="26"/>
  <c r="Z62" i="26"/>
  <c r="X62" i="26"/>
  <c r="W62" i="26"/>
  <c r="V62" i="26"/>
  <c r="U62" i="26"/>
  <c r="T62" i="26"/>
  <c r="S62" i="26"/>
  <c r="R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AI61" i="26"/>
  <c r="AH61" i="26"/>
  <c r="AI60" i="26"/>
  <c r="AH60" i="26"/>
  <c r="AI59" i="26"/>
  <c r="AH59" i="26"/>
  <c r="AI58" i="26"/>
  <c r="AH58" i="26"/>
  <c r="AI57" i="26"/>
  <c r="AH57" i="26"/>
  <c r="AI56" i="26"/>
  <c r="AH56" i="26"/>
  <c r="AI55" i="26"/>
  <c r="AH55" i="26"/>
  <c r="AI54" i="26"/>
  <c r="AH54" i="26"/>
  <c r="AI53" i="26"/>
  <c r="AH53" i="26"/>
  <c r="AI52" i="26"/>
  <c r="AH52" i="26"/>
  <c r="AI51" i="26"/>
  <c r="AH51" i="26"/>
  <c r="AI50" i="26"/>
  <c r="AH50" i="26"/>
  <c r="AI49" i="26"/>
  <c r="AH49" i="26"/>
  <c r="AG48" i="26"/>
  <c r="AF48" i="26"/>
  <c r="AE48" i="26"/>
  <c r="AD48" i="26"/>
  <c r="AC48" i="26"/>
  <c r="AB48" i="26"/>
  <c r="AA48" i="26"/>
  <c r="Z48" i="26"/>
  <c r="X48" i="26"/>
  <c r="W48" i="26"/>
  <c r="V48" i="26"/>
  <c r="U48" i="26"/>
  <c r="T48" i="26"/>
  <c r="S48" i="26"/>
  <c r="R48" i="26"/>
  <c r="P48" i="26"/>
  <c r="O48" i="26"/>
  <c r="N48" i="26"/>
  <c r="M48" i="26"/>
  <c r="L48" i="26"/>
  <c r="K48" i="26"/>
  <c r="J48" i="26"/>
  <c r="I48" i="26"/>
  <c r="H48" i="26"/>
  <c r="G48" i="26"/>
  <c r="F48" i="26"/>
  <c r="E48" i="26"/>
  <c r="D48" i="26"/>
  <c r="C48" i="26"/>
  <c r="B48" i="26"/>
  <c r="AI47" i="26"/>
  <c r="AH47" i="26"/>
  <c r="AI46" i="26"/>
  <c r="AH46" i="26"/>
  <c r="AI45" i="26"/>
  <c r="AH45" i="26"/>
  <c r="AG44" i="26"/>
  <c r="AF44" i="26"/>
  <c r="AE44" i="26"/>
  <c r="AD44" i="26"/>
  <c r="AC44" i="26"/>
  <c r="AB44" i="26"/>
  <c r="AA44" i="26"/>
  <c r="Z44" i="26"/>
  <c r="X44" i="26"/>
  <c r="W44" i="26"/>
  <c r="V44" i="26"/>
  <c r="U44" i="26"/>
  <c r="T44" i="26"/>
  <c r="S44" i="26"/>
  <c r="R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AI43" i="26"/>
  <c r="AH43" i="26"/>
  <c r="AI42" i="26"/>
  <c r="AH42" i="26"/>
  <c r="AI41" i="26"/>
  <c r="AH41" i="26"/>
  <c r="AI40" i="26"/>
  <c r="AH40" i="26"/>
  <c r="AI39" i="26"/>
  <c r="AH39" i="26"/>
  <c r="AI38" i="26"/>
  <c r="AH38" i="26"/>
  <c r="AI37" i="26"/>
  <c r="AH37" i="26"/>
  <c r="AI36" i="26"/>
  <c r="AH36" i="26"/>
  <c r="AI35" i="26"/>
  <c r="AH35" i="26"/>
  <c r="AI34" i="26"/>
  <c r="AH34" i="26"/>
  <c r="AI33" i="26"/>
  <c r="AH33" i="26"/>
  <c r="AI32" i="26"/>
  <c r="AH32" i="26"/>
  <c r="AI31" i="26"/>
  <c r="AH31" i="26"/>
  <c r="AI30" i="26"/>
  <c r="AH30" i="26"/>
  <c r="AI29" i="26"/>
  <c r="AH29" i="26"/>
  <c r="AI28" i="26"/>
  <c r="AH28" i="26"/>
  <c r="AI27" i="26"/>
  <c r="AH27" i="26"/>
  <c r="AI26" i="26"/>
  <c r="AH26" i="26"/>
  <c r="AI25" i="26"/>
  <c r="AH25" i="26"/>
  <c r="AI24" i="26"/>
  <c r="AH24" i="26"/>
  <c r="AI23" i="26"/>
  <c r="AH23" i="26"/>
  <c r="AI22" i="26"/>
  <c r="AH22" i="26"/>
  <c r="AI21" i="26"/>
  <c r="AH21" i="26"/>
  <c r="AI20" i="26"/>
  <c r="AH20" i="26"/>
  <c r="AI19" i="26"/>
  <c r="AH19" i="26"/>
  <c r="AI18" i="26"/>
  <c r="AH18" i="26"/>
  <c r="AI17" i="26"/>
  <c r="AH17" i="26"/>
  <c r="AI16" i="26"/>
  <c r="AH16" i="26"/>
  <c r="AI15" i="26"/>
  <c r="AH15" i="26"/>
  <c r="AI14" i="26"/>
  <c r="AH14" i="26"/>
  <c r="AI13" i="26"/>
  <c r="AH13" i="26"/>
  <c r="AI12" i="26"/>
  <c r="AH12" i="26"/>
  <c r="AI11" i="26"/>
  <c r="AH11" i="26"/>
  <c r="Y7" i="26"/>
  <c r="X5" i="26"/>
  <c r="K4" i="26"/>
  <c r="E4" i="26"/>
  <c r="H4" i="26" s="1"/>
  <c r="B4" i="26"/>
  <c r="S239" i="26" s="1"/>
  <c r="AG2" i="26"/>
  <c r="AG83" i="26" l="1"/>
  <c r="B228" i="26"/>
  <c r="AC242" i="27"/>
  <c r="AG6" i="26"/>
  <c r="K7" i="27"/>
  <c r="U7" i="27"/>
  <c r="AH107" i="26"/>
  <c r="AF86" i="27"/>
  <c r="AX242" i="27"/>
  <c r="AE7" i="27"/>
  <c r="AE86" i="27"/>
  <c r="AC7" i="27"/>
  <c r="AC86" i="27"/>
  <c r="AA7" i="27"/>
  <c r="AA86" i="27"/>
  <c r="W7" i="27"/>
  <c r="AI94" i="27"/>
  <c r="U86" i="27"/>
  <c r="AL242" i="27"/>
  <c r="T86" i="27"/>
  <c r="R7" i="27"/>
  <c r="R86" i="27"/>
  <c r="O7" i="27"/>
  <c r="N86" i="27"/>
  <c r="N7" i="27"/>
  <c r="AI242" i="27"/>
  <c r="Q7" i="27"/>
  <c r="M7" i="27"/>
  <c r="AB242" i="27"/>
  <c r="B237" i="27"/>
  <c r="I7" i="27"/>
  <c r="I86" i="27"/>
  <c r="AD242" i="27"/>
  <c r="J7" i="27"/>
  <c r="AE242" i="27"/>
  <c r="C237" i="27"/>
  <c r="K6" i="27" s="1"/>
  <c r="H7" i="27"/>
  <c r="Z242" i="27"/>
  <c r="E7" i="27"/>
  <c r="AH94" i="27"/>
  <c r="E86" i="27"/>
  <c r="AH83" i="27"/>
  <c r="C7" i="27"/>
  <c r="B85" i="27"/>
  <c r="B86" i="27" s="1"/>
  <c r="AI83" i="27"/>
  <c r="E228" i="27"/>
  <c r="D263" i="27"/>
  <c r="F227" i="27"/>
  <c r="F104" i="27" s="1"/>
  <c r="G222" i="27"/>
  <c r="AI85" i="27"/>
  <c r="AE5" i="26"/>
  <c r="AD5" i="26"/>
  <c r="AC5" i="26"/>
  <c r="AD83" i="26"/>
  <c r="AD85" i="26" s="1"/>
  <c r="AB5" i="26"/>
  <c r="AC83" i="26"/>
  <c r="AC85" i="26" s="1"/>
  <c r="AA5" i="26"/>
  <c r="Y5" i="26"/>
  <c r="W5" i="26"/>
  <c r="V5" i="26"/>
  <c r="T5" i="26"/>
  <c r="U83" i="26"/>
  <c r="U85" i="26" s="1"/>
  <c r="S5" i="26"/>
  <c r="T83" i="26"/>
  <c r="T85" i="26" s="1"/>
  <c r="R5" i="26"/>
  <c r="O5" i="26"/>
  <c r="AI66" i="26"/>
  <c r="N5" i="26"/>
  <c r="L5" i="26"/>
  <c r="M83" i="26"/>
  <c r="M85" i="26" s="1"/>
  <c r="M86" i="26" s="1"/>
  <c r="J5" i="26"/>
  <c r="H5" i="26"/>
  <c r="H83" i="26"/>
  <c r="H85" i="26" s="1"/>
  <c r="H86" i="26" s="1"/>
  <c r="G5" i="26"/>
  <c r="I5" i="26"/>
  <c r="F5" i="26"/>
  <c r="F83" i="26"/>
  <c r="F85" i="26" s="1"/>
  <c r="X242" i="26" s="1"/>
  <c r="K83" i="26"/>
  <c r="K85" i="26" s="1"/>
  <c r="AC242" i="26" s="1"/>
  <c r="B5" i="26"/>
  <c r="C83" i="26"/>
  <c r="C85" i="26" s="1"/>
  <c r="C86" i="26" s="1"/>
  <c r="D94" i="26"/>
  <c r="D83" i="26"/>
  <c r="D85" i="26" s="1"/>
  <c r="V242" i="26" s="1"/>
  <c r="B83" i="26"/>
  <c r="B85" i="26" s="1"/>
  <c r="D5" i="26"/>
  <c r="E83" i="26"/>
  <c r="E85" i="26" s="1"/>
  <c r="E86" i="26" s="1"/>
  <c r="G83" i="26"/>
  <c r="G85" i="26" s="1"/>
  <c r="Y242" i="26" s="1"/>
  <c r="L94" i="26"/>
  <c r="L83" i="26"/>
  <c r="L85" i="26" s="1"/>
  <c r="L7" i="26" s="1"/>
  <c r="AH78" i="26"/>
  <c r="I83" i="26"/>
  <c r="I85" i="26" s="1"/>
  <c r="I7" i="26" s="1"/>
  <c r="J83" i="26"/>
  <c r="J85" i="26" s="1"/>
  <c r="J7" i="26" s="1"/>
  <c r="Q5" i="26"/>
  <c r="Z5" i="26"/>
  <c r="R83" i="26"/>
  <c r="R85" i="26" s="1"/>
  <c r="R7" i="26" s="1"/>
  <c r="AA83" i="26"/>
  <c r="AA85" i="26" s="1"/>
  <c r="AA86" i="26" s="1"/>
  <c r="Z83" i="26"/>
  <c r="Z85" i="26" s="1"/>
  <c r="Z86" i="26" s="1"/>
  <c r="Q83" i="26"/>
  <c r="Q85" i="26" s="1"/>
  <c r="Q86" i="26" s="1"/>
  <c r="N83" i="26"/>
  <c r="N85" i="26" s="1"/>
  <c r="AF242" i="26" s="1"/>
  <c r="V83" i="26"/>
  <c r="V85" i="26" s="1"/>
  <c r="AN242" i="26" s="1"/>
  <c r="AE83" i="26"/>
  <c r="AE85" i="26" s="1"/>
  <c r="AE7" i="26" s="1"/>
  <c r="AI62" i="26"/>
  <c r="S83" i="26"/>
  <c r="S85" i="26" s="1"/>
  <c r="S7" i="26" s="1"/>
  <c r="AB83" i="26"/>
  <c r="AB85" i="26" s="1"/>
  <c r="AB86" i="26" s="1"/>
  <c r="O83" i="26"/>
  <c r="O85" i="26" s="1"/>
  <c r="O86" i="26" s="1"/>
  <c r="W83" i="26"/>
  <c r="W85" i="26" s="1"/>
  <c r="AO242" i="26" s="1"/>
  <c r="AF83" i="26"/>
  <c r="AF85" i="26" s="1"/>
  <c r="AF7" i="26" s="1"/>
  <c r="AI48" i="26"/>
  <c r="P83" i="26"/>
  <c r="P85" i="26" s="1"/>
  <c r="P86" i="26" s="1"/>
  <c r="X83" i="26"/>
  <c r="X85" i="26" s="1"/>
  <c r="X86" i="26" s="1"/>
  <c r="AH48" i="26"/>
  <c r="AL242" i="26"/>
  <c r="T86" i="26"/>
  <c r="T7" i="26"/>
  <c r="AM242" i="26"/>
  <c r="U7" i="26"/>
  <c r="U86" i="26"/>
  <c r="AV242" i="26"/>
  <c r="AD7" i="26"/>
  <c r="AD86" i="26"/>
  <c r="Z242" i="26"/>
  <c r="H7" i="26"/>
  <c r="H222" i="26"/>
  <c r="AU242" i="26"/>
  <c r="AC7" i="26"/>
  <c r="AC86" i="26"/>
  <c r="AE242" i="26"/>
  <c r="M7" i="26"/>
  <c r="U242" i="26"/>
  <c r="C7" i="26"/>
  <c r="AI78" i="26"/>
  <c r="D239" i="26"/>
  <c r="AG85" i="26"/>
  <c r="F94" i="26"/>
  <c r="N94" i="26"/>
  <c r="V94" i="26"/>
  <c r="E227" i="26"/>
  <c r="AH44" i="26"/>
  <c r="AI44" i="26"/>
  <c r="AH62" i="26"/>
  <c r="AH66" i="26"/>
  <c r="B94" i="26"/>
  <c r="E225" i="26"/>
  <c r="F225" i="26" s="1"/>
  <c r="G225" i="26" s="1"/>
  <c r="H225" i="26" s="1"/>
  <c r="I225" i="26" s="1"/>
  <c r="AA107" i="25"/>
  <c r="Z107" i="25"/>
  <c r="T242" i="27" l="1"/>
  <c r="AH85" i="27"/>
  <c r="B7" i="27"/>
  <c r="A7" i="27" s="1"/>
  <c r="H222" i="27"/>
  <c r="E263" i="27"/>
  <c r="G227" i="27"/>
  <c r="G104" i="27" s="1"/>
  <c r="AI86" i="27"/>
  <c r="AH86" i="27"/>
  <c r="F228" i="27"/>
  <c r="AE86" i="26"/>
  <c r="AW242" i="26"/>
  <c r="Z7" i="26"/>
  <c r="AR242" i="26"/>
  <c r="AJ242" i="26"/>
  <c r="R86" i="26"/>
  <c r="AH242" i="26"/>
  <c r="P7" i="26"/>
  <c r="K86" i="26"/>
  <c r="K7" i="26"/>
  <c r="I86" i="26"/>
  <c r="F86" i="26"/>
  <c r="F7" i="26"/>
  <c r="G7" i="26"/>
  <c r="G86" i="26"/>
  <c r="L86" i="26"/>
  <c r="D7" i="26"/>
  <c r="D86" i="26"/>
  <c r="E7" i="26"/>
  <c r="W242" i="26"/>
  <c r="AB242" i="26"/>
  <c r="J86" i="26"/>
  <c r="AD242" i="26"/>
  <c r="AA242" i="26"/>
  <c r="O7" i="26"/>
  <c r="AG242" i="26"/>
  <c r="AI242" i="26"/>
  <c r="Q7" i="26"/>
  <c r="C237" i="26"/>
  <c r="AA7" i="26"/>
  <c r="AS242" i="26"/>
  <c r="N7" i="26"/>
  <c r="W7" i="26"/>
  <c r="AK242" i="26"/>
  <c r="W86" i="26"/>
  <c r="AB7" i="26"/>
  <c r="AT242" i="26"/>
  <c r="V86" i="26"/>
  <c r="S86" i="26"/>
  <c r="V7" i="26"/>
  <c r="AX242" i="26"/>
  <c r="B237" i="26"/>
  <c r="N86" i="26"/>
  <c r="AP242" i="26"/>
  <c r="X7" i="26"/>
  <c r="AH83" i="26"/>
  <c r="AF86" i="26"/>
  <c r="AI83" i="26"/>
  <c r="D263" i="26"/>
  <c r="F227" i="26"/>
  <c r="F228" i="26" s="1"/>
  <c r="E104" i="26"/>
  <c r="J225" i="26"/>
  <c r="K225" i="26" s="1"/>
  <c r="L225" i="26" s="1"/>
  <c r="M225" i="26" s="1"/>
  <c r="N225" i="26" s="1"/>
  <c r="O225" i="26" s="1"/>
  <c r="P225" i="26" s="1"/>
  <c r="AH94" i="26"/>
  <c r="AI94" i="26"/>
  <c r="B86" i="26"/>
  <c r="AI85" i="26"/>
  <c r="AH85" i="26"/>
  <c r="T242" i="26"/>
  <c r="B7" i="26"/>
  <c r="E228" i="26"/>
  <c r="I222" i="26"/>
  <c r="X107" i="25"/>
  <c r="V107" i="25"/>
  <c r="U107" i="25"/>
  <c r="T107" i="25"/>
  <c r="S107" i="25"/>
  <c r="O44" i="25"/>
  <c r="O48" i="25"/>
  <c r="D107" i="25"/>
  <c r="D44" i="25"/>
  <c r="D48" i="25"/>
  <c r="D62" i="25"/>
  <c r="D66" i="25"/>
  <c r="C107" i="25"/>
  <c r="C104" i="25" s="1"/>
  <c r="C44" i="25"/>
  <c r="C48" i="25"/>
  <c r="C62" i="25"/>
  <c r="C66" i="25"/>
  <c r="C78" i="25"/>
  <c r="C94" i="25" s="1"/>
  <c r="B78" i="25"/>
  <c r="B94" i="25" s="1"/>
  <c r="B66" i="25"/>
  <c r="B62" i="25"/>
  <c r="B48" i="25"/>
  <c r="B44" i="25"/>
  <c r="AF267" i="25"/>
  <c r="AE267" i="25"/>
  <c r="AD267" i="25"/>
  <c r="AC267" i="25"/>
  <c r="AB267" i="25"/>
  <c r="AA267" i="25"/>
  <c r="Z267" i="25"/>
  <c r="Y267" i="25"/>
  <c r="X267" i="25"/>
  <c r="W267" i="25"/>
  <c r="V267" i="25"/>
  <c r="U267" i="25"/>
  <c r="T267" i="25"/>
  <c r="S267" i="25"/>
  <c r="R267" i="25"/>
  <c r="Q267" i="25"/>
  <c r="P267" i="25"/>
  <c r="O267" i="25"/>
  <c r="N267" i="25"/>
  <c r="M267" i="25"/>
  <c r="L267" i="25"/>
  <c r="K267" i="25"/>
  <c r="J267" i="25"/>
  <c r="I267" i="25"/>
  <c r="H267" i="25"/>
  <c r="G267" i="25"/>
  <c r="F267" i="25"/>
  <c r="E267" i="25"/>
  <c r="D267" i="25"/>
  <c r="C267" i="25"/>
  <c r="B267" i="25"/>
  <c r="A267" i="25"/>
  <c r="AF266" i="25"/>
  <c r="AE266" i="25"/>
  <c r="AD266" i="25"/>
  <c r="AC266" i="25"/>
  <c r="AB266" i="25"/>
  <c r="AA266" i="25"/>
  <c r="Z266" i="25"/>
  <c r="Y266" i="25"/>
  <c r="X266" i="25"/>
  <c r="W266" i="25"/>
  <c r="V266" i="25"/>
  <c r="U266" i="25"/>
  <c r="T266" i="25"/>
  <c r="S266" i="25"/>
  <c r="R266" i="25"/>
  <c r="Q266" i="25"/>
  <c r="P266" i="25"/>
  <c r="O266" i="25"/>
  <c r="N266" i="25"/>
  <c r="M266" i="25"/>
  <c r="L266" i="25"/>
  <c r="K266" i="25"/>
  <c r="J266" i="25"/>
  <c r="I266" i="25"/>
  <c r="H266" i="25"/>
  <c r="G266" i="25"/>
  <c r="F266" i="25"/>
  <c r="E266" i="25"/>
  <c r="D266" i="25"/>
  <c r="C266" i="25"/>
  <c r="B266" i="25"/>
  <c r="A266" i="25"/>
  <c r="AF265" i="25"/>
  <c r="AE265" i="25"/>
  <c r="AD265" i="25"/>
  <c r="AC265" i="25"/>
  <c r="AB265" i="25"/>
  <c r="AA265" i="25"/>
  <c r="Z265" i="25"/>
  <c r="Y265" i="25"/>
  <c r="X265" i="25"/>
  <c r="W265" i="25"/>
  <c r="V265" i="25"/>
  <c r="U265" i="25"/>
  <c r="T265" i="25"/>
  <c r="S265" i="25"/>
  <c r="R265" i="25"/>
  <c r="Q265" i="25"/>
  <c r="P265" i="25"/>
  <c r="O265" i="25"/>
  <c r="N265" i="25"/>
  <c r="M265" i="25"/>
  <c r="L265" i="25"/>
  <c r="K265" i="25"/>
  <c r="J265" i="25"/>
  <c r="I265" i="25"/>
  <c r="H265" i="25"/>
  <c r="G265" i="25"/>
  <c r="F265" i="25"/>
  <c r="E265" i="25"/>
  <c r="D265" i="25"/>
  <c r="C265" i="25"/>
  <c r="B265" i="25"/>
  <c r="A265" i="25"/>
  <c r="AF264" i="25"/>
  <c r="AE264" i="25"/>
  <c r="AD264" i="25"/>
  <c r="AC264" i="25"/>
  <c r="AB264" i="25"/>
  <c r="AA264" i="25"/>
  <c r="Z264" i="25"/>
  <c r="Y264" i="25"/>
  <c r="X264" i="25"/>
  <c r="W264" i="25"/>
  <c r="V264" i="25"/>
  <c r="U264" i="25"/>
  <c r="T264" i="25"/>
  <c r="S264" i="25"/>
  <c r="R264" i="25"/>
  <c r="Q264" i="25"/>
  <c r="P264" i="25"/>
  <c r="O264" i="25"/>
  <c r="N264" i="25"/>
  <c r="M264" i="25"/>
  <c r="L264" i="25"/>
  <c r="K264" i="25"/>
  <c r="J264" i="25"/>
  <c r="I264" i="25"/>
  <c r="H264" i="25"/>
  <c r="G264" i="25"/>
  <c r="F264" i="25"/>
  <c r="E264" i="25"/>
  <c r="D264" i="25"/>
  <c r="C264" i="25"/>
  <c r="B264" i="25"/>
  <c r="A264" i="25"/>
  <c r="AE263" i="25"/>
  <c r="AD263" i="25"/>
  <c r="AC263" i="25"/>
  <c r="AB263" i="25"/>
  <c r="AA263" i="25"/>
  <c r="Z263" i="25"/>
  <c r="Y263" i="25"/>
  <c r="X263" i="25"/>
  <c r="W263" i="25"/>
  <c r="V263" i="25"/>
  <c r="U263" i="25"/>
  <c r="T263" i="25"/>
  <c r="S263" i="25"/>
  <c r="R263" i="25"/>
  <c r="Q263" i="25"/>
  <c r="P263" i="25"/>
  <c r="B263" i="25"/>
  <c r="S238" i="25"/>
  <c r="AG228" i="25"/>
  <c r="AF228" i="25"/>
  <c r="AE228" i="25"/>
  <c r="AD228" i="25"/>
  <c r="AC228" i="25"/>
  <c r="AB228" i="25"/>
  <c r="AA228" i="25"/>
  <c r="Z228" i="25"/>
  <c r="Y228" i="25"/>
  <c r="X228" i="25"/>
  <c r="W228" i="25"/>
  <c r="V228" i="25"/>
  <c r="U228" i="25"/>
  <c r="T228" i="25"/>
  <c r="S228" i="25"/>
  <c r="R228" i="25"/>
  <c r="Q228" i="25"/>
  <c r="C228" i="25"/>
  <c r="D227" i="25"/>
  <c r="C263" i="25" s="1"/>
  <c r="B227" i="25"/>
  <c r="AF263" i="25" s="1"/>
  <c r="D226" i="25"/>
  <c r="E226" i="25" s="1"/>
  <c r="F226" i="25" s="1"/>
  <c r="G226" i="25" s="1"/>
  <c r="H226" i="25" s="1"/>
  <c r="I226" i="25" s="1"/>
  <c r="J226" i="25" s="1"/>
  <c r="K226" i="25" s="1"/>
  <c r="L226" i="25" s="1"/>
  <c r="M226" i="25" s="1"/>
  <c r="N226" i="25" s="1"/>
  <c r="O226" i="25" s="1"/>
  <c r="P226" i="25" s="1"/>
  <c r="B226" i="25"/>
  <c r="D225" i="25"/>
  <c r="E225" i="25" s="1"/>
  <c r="F225" i="25" s="1"/>
  <c r="G225" i="25" s="1"/>
  <c r="H225" i="25" s="1"/>
  <c r="I225" i="25" s="1"/>
  <c r="B225" i="25"/>
  <c r="E224" i="25"/>
  <c r="F224" i="25" s="1"/>
  <c r="G224" i="25" s="1"/>
  <c r="H224" i="25" s="1"/>
  <c r="D224" i="25"/>
  <c r="B224" i="25"/>
  <c r="D223" i="25"/>
  <c r="E223" i="25" s="1"/>
  <c r="B223" i="25"/>
  <c r="D222" i="25"/>
  <c r="D228" i="25" s="1"/>
  <c r="B222" i="25"/>
  <c r="AG220" i="25"/>
  <c r="AF220" i="25"/>
  <c r="AE220" i="25"/>
  <c r="AD220" i="25"/>
  <c r="AC220" i="25"/>
  <c r="AB220" i="25"/>
  <c r="AA220" i="25"/>
  <c r="Z220" i="25"/>
  <c r="Y220" i="25"/>
  <c r="X220" i="25"/>
  <c r="W220" i="25"/>
  <c r="V220" i="25"/>
  <c r="U220" i="25"/>
  <c r="T220" i="25"/>
  <c r="S220" i="25"/>
  <c r="R220" i="25"/>
  <c r="Q220" i="25"/>
  <c r="P220" i="25"/>
  <c r="O220" i="25"/>
  <c r="N220" i="25"/>
  <c r="M220" i="25"/>
  <c r="L220" i="25"/>
  <c r="K220" i="25"/>
  <c r="J220" i="25"/>
  <c r="I220" i="25"/>
  <c r="H220" i="25"/>
  <c r="G220" i="25"/>
  <c r="F220" i="25"/>
  <c r="E220" i="25"/>
  <c r="D220" i="25"/>
  <c r="C220" i="25"/>
  <c r="B220" i="25"/>
  <c r="AI113" i="25"/>
  <c r="AH113" i="25"/>
  <c r="AI112" i="25"/>
  <c r="AH112" i="25"/>
  <c r="AI111" i="25"/>
  <c r="AH111" i="25"/>
  <c r="AI110" i="25"/>
  <c r="AH110" i="25"/>
  <c r="AI109" i="25"/>
  <c r="AH109" i="25"/>
  <c r="AI108" i="25"/>
  <c r="AH108" i="25"/>
  <c r="AI107" i="25"/>
  <c r="AH107" i="25"/>
  <c r="AI106" i="25"/>
  <c r="AH106" i="25"/>
  <c r="AI105" i="25"/>
  <c r="AH105" i="25"/>
  <c r="AF104" i="25"/>
  <c r="AE104" i="25"/>
  <c r="AD104" i="25"/>
  <c r="AC104" i="25"/>
  <c r="AB104" i="25"/>
  <c r="AA104" i="25"/>
  <c r="Z104" i="25"/>
  <c r="X104" i="25"/>
  <c r="W104" i="25"/>
  <c r="V104" i="25"/>
  <c r="U104" i="25"/>
  <c r="T104" i="25"/>
  <c r="S104" i="25"/>
  <c r="R104" i="25"/>
  <c r="Q104" i="25"/>
  <c r="AI103" i="25"/>
  <c r="AH103" i="25"/>
  <c r="AI102" i="25"/>
  <c r="AH102" i="25"/>
  <c r="AI101" i="25"/>
  <c r="AH101" i="25"/>
  <c r="AI100" i="25"/>
  <c r="AH100" i="25"/>
  <c r="AI99" i="25"/>
  <c r="AH99" i="25"/>
  <c r="AI98" i="25"/>
  <c r="AH98" i="25"/>
  <c r="AI97" i="25"/>
  <c r="AH97" i="25"/>
  <c r="AI96" i="25"/>
  <c r="AH96" i="25"/>
  <c r="AI95" i="25"/>
  <c r="AH95" i="25"/>
  <c r="AI93" i="25"/>
  <c r="AH93" i="25"/>
  <c r="AI92" i="25"/>
  <c r="AH92" i="25"/>
  <c r="AI91" i="25"/>
  <c r="AH91" i="25"/>
  <c r="AI90" i="25"/>
  <c r="AH90" i="25"/>
  <c r="AI89" i="25"/>
  <c r="AH89" i="25"/>
  <c r="AI88" i="25"/>
  <c r="AH88" i="25"/>
  <c r="AI87" i="25"/>
  <c r="AH87" i="25"/>
  <c r="AI84" i="25"/>
  <c r="AH84" i="25"/>
  <c r="AI82" i="25"/>
  <c r="AH82" i="25"/>
  <c r="AG82" i="25"/>
  <c r="AI81" i="25"/>
  <c r="AH81" i="25"/>
  <c r="AI80" i="25"/>
  <c r="AH80" i="25"/>
  <c r="AI79" i="25"/>
  <c r="AH79" i="25"/>
  <c r="AN78" i="25"/>
  <c r="AG78" i="25"/>
  <c r="AF78" i="25"/>
  <c r="AF94" i="25" s="1"/>
  <c r="AE78" i="25"/>
  <c r="AD5" i="25" s="1"/>
  <c r="AD78" i="25"/>
  <c r="AD94" i="25" s="1"/>
  <c r="AC78" i="25"/>
  <c r="AC94" i="25" s="1"/>
  <c r="AB78" i="25"/>
  <c r="AB94" i="25" s="1"/>
  <c r="AA78" i="25"/>
  <c r="AA94" i="25" s="1"/>
  <c r="Z78" i="25"/>
  <c r="Z94" i="25" s="1"/>
  <c r="X78" i="25"/>
  <c r="X94" i="25" s="1"/>
  <c r="W78" i="25"/>
  <c r="V5" i="25" s="1"/>
  <c r="V78" i="25"/>
  <c r="V94" i="25" s="1"/>
  <c r="U78" i="25"/>
  <c r="U94" i="25" s="1"/>
  <c r="T78" i="25"/>
  <c r="T94" i="25" s="1"/>
  <c r="S78" i="25"/>
  <c r="S94" i="25" s="1"/>
  <c r="R78" i="25"/>
  <c r="R94" i="25" s="1"/>
  <c r="Q78" i="25"/>
  <c r="Q94" i="25" s="1"/>
  <c r="P78" i="25"/>
  <c r="P94" i="25" s="1"/>
  <c r="O78" i="25"/>
  <c r="N5" i="25" s="1"/>
  <c r="N78" i="25"/>
  <c r="M5" i="25" s="1"/>
  <c r="M78" i="25"/>
  <c r="M94" i="25" s="1"/>
  <c r="L78" i="25"/>
  <c r="L94" i="25" s="1"/>
  <c r="K78" i="25"/>
  <c r="K94" i="25" s="1"/>
  <c r="J78" i="25"/>
  <c r="J94" i="25" s="1"/>
  <c r="I78" i="25"/>
  <c r="I94" i="25" s="1"/>
  <c r="H78" i="25"/>
  <c r="H94" i="25" s="1"/>
  <c r="G78" i="25"/>
  <c r="F5" i="25" s="1"/>
  <c r="F78" i="25"/>
  <c r="E5" i="25" s="1"/>
  <c r="E78" i="25"/>
  <c r="E94" i="25" s="1"/>
  <c r="D78" i="25"/>
  <c r="D94" i="25" s="1"/>
  <c r="AI77" i="25"/>
  <c r="AH77" i="25"/>
  <c r="AN76" i="25"/>
  <c r="AI76" i="25"/>
  <c r="AH76" i="25"/>
  <c r="AN75" i="25"/>
  <c r="AN77" i="25" s="1"/>
  <c r="AI75" i="25"/>
  <c r="AH75" i="25"/>
  <c r="AI74" i="25"/>
  <c r="AH74" i="25"/>
  <c r="AI73" i="25"/>
  <c r="AH73" i="25"/>
  <c r="AI72" i="25"/>
  <c r="AH72" i="25"/>
  <c r="AI71" i="25"/>
  <c r="AH71" i="25"/>
  <c r="AI70" i="25"/>
  <c r="AH70" i="25"/>
  <c r="AI69" i="25"/>
  <c r="AH69" i="25"/>
  <c r="AI68" i="25"/>
  <c r="AH68" i="25"/>
  <c r="AI67" i="25"/>
  <c r="AH67" i="25"/>
  <c r="AG66" i="25"/>
  <c r="AF66" i="25"/>
  <c r="AE66" i="25"/>
  <c r="AD66" i="25"/>
  <c r="AC66" i="25"/>
  <c r="AB66" i="25"/>
  <c r="AA66" i="25"/>
  <c r="Z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AI65" i="25"/>
  <c r="AH65" i="25"/>
  <c r="AI64" i="25"/>
  <c r="AH64" i="25"/>
  <c r="AI63" i="25"/>
  <c r="AH63" i="25"/>
  <c r="AF62" i="25"/>
  <c r="AE62" i="25"/>
  <c r="AD62" i="25"/>
  <c r="AC62" i="25"/>
  <c r="AB62" i="25"/>
  <c r="AA62" i="25"/>
  <c r="Z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AI61" i="25"/>
  <c r="AH61" i="25"/>
  <c r="AG61" i="25"/>
  <c r="AG62" i="25" s="1"/>
  <c r="AG3" i="25" s="1"/>
  <c r="AI60" i="25"/>
  <c r="AH60" i="25"/>
  <c r="AI59" i="25"/>
  <c r="AH59" i="25"/>
  <c r="AI58" i="25"/>
  <c r="AH58" i="25"/>
  <c r="AI57" i="25"/>
  <c r="AH57" i="25"/>
  <c r="AI56" i="25"/>
  <c r="AH56" i="25"/>
  <c r="AI55" i="25"/>
  <c r="AH55" i="25"/>
  <c r="AI54" i="25"/>
  <c r="AH54" i="25"/>
  <c r="AI53" i="25"/>
  <c r="AH53" i="25"/>
  <c r="AI52" i="25"/>
  <c r="AH52" i="25"/>
  <c r="AI51" i="25"/>
  <c r="AH51" i="25"/>
  <c r="AI50" i="25"/>
  <c r="AH50" i="25"/>
  <c r="AI49" i="25"/>
  <c r="AH49" i="25"/>
  <c r="AG48" i="25"/>
  <c r="AF48" i="25"/>
  <c r="AE48" i="25"/>
  <c r="AD48" i="25"/>
  <c r="AC48" i="25"/>
  <c r="AB48" i="25"/>
  <c r="AA48" i="25"/>
  <c r="Z48" i="25"/>
  <c r="X48" i="25"/>
  <c r="W48" i="25"/>
  <c r="V48" i="25"/>
  <c r="U48" i="25"/>
  <c r="T48" i="25"/>
  <c r="S48" i="25"/>
  <c r="R48" i="25"/>
  <c r="Q48" i="25"/>
  <c r="P48" i="25"/>
  <c r="N48" i="25"/>
  <c r="M48" i="25"/>
  <c r="L48" i="25"/>
  <c r="K48" i="25"/>
  <c r="J48" i="25"/>
  <c r="I48" i="25"/>
  <c r="H48" i="25"/>
  <c r="G48" i="25"/>
  <c r="F48" i="25"/>
  <c r="E48" i="25"/>
  <c r="AI47" i="25"/>
  <c r="AH47" i="25"/>
  <c r="AI46" i="25"/>
  <c r="AH46" i="25"/>
  <c r="AI45" i="25"/>
  <c r="AH45" i="25"/>
  <c r="AG44" i="25"/>
  <c r="AF44" i="25"/>
  <c r="AE44" i="25"/>
  <c r="AD44" i="25"/>
  <c r="AC44" i="25"/>
  <c r="AB44" i="25"/>
  <c r="AA44" i="25"/>
  <c r="Z44" i="25"/>
  <c r="X44" i="25"/>
  <c r="W44" i="25"/>
  <c r="V44" i="25"/>
  <c r="U44" i="25"/>
  <c r="T44" i="25"/>
  <c r="S44" i="25"/>
  <c r="R44" i="25"/>
  <c r="Q44" i="25"/>
  <c r="P44" i="25"/>
  <c r="P83" i="25" s="1"/>
  <c r="P85" i="25" s="1"/>
  <c r="N44" i="25"/>
  <c r="M44" i="25"/>
  <c r="L44" i="25"/>
  <c r="K44" i="25"/>
  <c r="J44" i="25"/>
  <c r="I44" i="25"/>
  <c r="H44" i="25"/>
  <c r="G44" i="25"/>
  <c r="F44" i="25"/>
  <c r="E44" i="25"/>
  <c r="AI43" i="25"/>
  <c r="AH43" i="25"/>
  <c r="AI42" i="25"/>
  <c r="AH42" i="25"/>
  <c r="AI41" i="25"/>
  <c r="AH41" i="25"/>
  <c r="AI40" i="25"/>
  <c r="AH40" i="25"/>
  <c r="AI39" i="25"/>
  <c r="AH39" i="25"/>
  <c r="AI38" i="25"/>
  <c r="AH38" i="25"/>
  <c r="AI37" i="25"/>
  <c r="AH37" i="25"/>
  <c r="AI36" i="25"/>
  <c r="AH36" i="25"/>
  <c r="AI35" i="25"/>
  <c r="AH35" i="25"/>
  <c r="AI34" i="25"/>
  <c r="AH34" i="25"/>
  <c r="AI33" i="25"/>
  <c r="AH33" i="25"/>
  <c r="AI32" i="25"/>
  <c r="AH32" i="25"/>
  <c r="AI31" i="25"/>
  <c r="AH31" i="25"/>
  <c r="AI30" i="25"/>
  <c r="AH30" i="25"/>
  <c r="AI29" i="25"/>
  <c r="AH29" i="25"/>
  <c r="AI28" i="25"/>
  <c r="AH28" i="25"/>
  <c r="AI27" i="25"/>
  <c r="AH27" i="25"/>
  <c r="AI26" i="25"/>
  <c r="AH26" i="25"/>
  <c r="AI25" i="25"/>
  <c r="AH25" i="25"/>
  <c r="AI24" i="25"/>
  <c r="AH24" i="25"/>
  <c r="AI23" i="25"/>
  <c r="AH23" i="25"/>
  <c r="AI22" i="25"/>
  <c r="AH22" i="25"/>
  <c r="AI21" i="25"/>
  <c r="AH21" i="25"/>
  <c r="AI20" i="25"/>
  <c r="AH20" i="25"/>
  <c r="AI19" i="25"/>
  <c r="AH19" i="25"/>
  <c r="AI18" i="25"/>
  <c r="AH18" i="25"/>
  <c r="AI17" i="25"/>
  <c r="AH17" i="25"/>
  <c r="AI16" i="25"/>
  <c r="AH16" i="25"/>
  <c r="AI15" i="25"/>
  <c r="AH15" i="25"/>
  <c r="AI14" i="25"/>
  <c r="AH14" i="25"/>
  <c r="AI13" i="25"/>
  <c r="AH13" i="25"/>
  <c r="AI12" i="25"/>
  <c r="AH12" i="25"/>
  <c r="AI11" i="25"/>
  <c r="AH11" i="25"/>
  <c r="Z5" i="25"/>
  <c r="X5" i="25"/>
  <c r="AG4" i="25"/>
  <c r="K4" i="25"/>
  <c r="E4" i="25"/>
  <c r="H4" i="25" s="1"/>
  <c r="B4" i="25"/>
  <c r="D239" i="25" s="1"/>
  <c r="AG2" i="25"/>
  <c r="AG6" i="25" s="1"/>
  <c r="AF107" i="24"/>
  <c r="AE107" i="24"/>
  <c r="B228" i="25" l="1"/>
  <c r="B104" i="25"/>
  <c r="E222" i="25"/>
  <c r="F222" i="25" s="1"/>
  <c r="F263" i="27"/>
  <c r="H227" i="27"/>
  <c r="H228" i="27" s="1"/>
  <c r="G228" i="27"/>
  <c r="I222" i="27"/>
  <c r="H104" i="27"/>
  <c r="K6" i="26"/>
  <c r="A7" i="26"/>
  <c r="AI86" i="26"/>
  <c r="AH86" i="26"/>
  <c r="G227" i="26"/>
  <c r="E263" i="26"/>
  <c r="F104" i="26"/>
  <c r="J222" i="26"/>
  <c r="AE5" i="25"/>
  <c r="AF83" i="25"/>
  <c r="AF85" i="25" s="1"/>
  <c r="AE83" i="25"/>
  <c r="AE85" i="25" s="1"/>
  <c r="AC5" i="25"/>
  <c r="AD83" i="25"/>
  <c r="AD85" i="25" s="1"/>
  <c r="AD7" i="25" s="1"/>
  <c r="AB5" i="25"/>
  <c r="AC83" i="25"/>
  <c r="AC85" i="25" s="1"/>
  <c r="AC7" i="25" s="1"/>
  <c r="AA5" i="25"/>
  <c r="AB83" i="25"/>
  <c r="AB85" i="25" s="1"/>
  <c r="AT242" i="25" s="1"/>
  <c r="AA83" i="25"/>
  <c r="AA85" i="25" s="1"/>
  <c r="Y5" i="25"/>
  <c r="Z83" i="25"/>
  <c r="Z85" i="25" s="1"/>
  <c r="Z86" i="25" s="1"/>
  <c r="W5" i="25"/>
  <c r="X83" i="25"/>
  <c r="X85" i="25" s="1"/>
  <c r="W83" i="25"/>
  <c r="W85" i="25" s="1"/>
  <c r="AO242" i="25" s="1"/>
  <c r="U5" i="25"/>
  <c r="V83" i="25"/>
  <c r="V85" i="25" s="1"/>
  <c r="T5" i="25"/>
  <c r="U83" i="25"/>
  <c r="U85" i="25" s="1"/>
  <c r="U86" i="25" s="1"/>
  <c r="S5" i="25"/>
  <c r="T83" i="25"/>
  <c r="T85" i="25" s="1"/>
  <c r="S83" i="25"/>
  <c r="S85" i="25" s="1"/>
  <c r="R5" i="25"/>
  <c r="Q5" i="25"/>
  <c r="R83" i="25"/>
  <c r="R85" i="25" s="1"/>
  <c r="R86" i="25" s="1"/>
  <c r="P5" i="25"/>
  <c r="Q83" i="25"/>
  <c r="Q85" i="25" s="1"/>
  <c r="O5" i="25"/>
  <c r="O83" i="25"/>
  <c r="O85" i="25" s="1"/>
  <c r="N94" i="25"/>
  <c r="N83" i="25"/>
  <c r="N85" i="25" s="1"/>
  <c r="N7" i="25" s="1"/>
  <c r="L5" i="25"/>
  <c r="M83" i="25"/>
  <c r="M85" i="25" s="1"/>
  <c r="M86" i="25" s="1"/>
  <c r="K5" i="25"/>
  <c r="L83" i="25"/>
  <c r="L85" i="25" s="1"/>
  <c r="L86" i="25" s="1"/>
  <c r="J5" i="25"/>
  <c r="K83" i="25"/>
  <c r="K85" i="25" s="1"/>
  <c r="AC242" i="25" s="1"/>
  <c r="I5" i="25"/>
  <c r="J83" i="25"/>
  <c r="J85" i="25" s="1"/>
  <c r="J86" i="25" s="1"/>
  <c r="I83" i="25"/>
  <c r="I85" i="25" s="1"/>
  <c r="I86" i="25" s="1"/>
  <c r="H5" i="25"/>
  <c r="G5" i="25"/>
  <c r="H83" i="25"/>
  <c r="H85" i="25" s="1"/>
  <c r="H7" i="25" s="1"/>
  <c r="G83" i="25"/>
  <c r="G85" i="25" s="1"/>
  <c r="AI48" i="25"/>
  <c r="F94" i="25"/>
  <c r="AI62" i="25"/>
  <c r="F83" i="25"/>
  <c r="F85" i="25" s="1"/>
  <c r="F86" i="25" s="1"/>
  <c r="D5" i="25"/>
  <c r="E83" i="25"/>
  <c r="E85" i="25" s="1"/>
  <c r="D83" i="25"/>
  <c r="D85" i="25" s="1"/>
  <c r="D86" i="25" s="1"/>
  <c r="C5" i="25"/>
  <c r="AH66" i="25"/>
  <c r="AF5" i="25"/>
  <c r="B83" i="25"/>
  <c r="B85" i="25" s="1"/>
  <c r="B86" i="25" s="1"/>
  <c r="B5" i="25"/>
  <c r="C83" i="25"/>
  <c r="C85" i="25" s="1"/>
  <c r="C86" i="25" s="1"/>
  <c r="AI66" i="25"/>
  <c r="S86" i="25"/>
  <c r="S7" i="25"/>
  <c r="AK242" i="25"/>
  <c r="F223" i="25"/>
  <c r="G223" i="25" s="1"/>
  <c r="H223" i="25" s="1"/>
  <c r="I223" i="25" s="1"/>
  <c r="J223" i="25" s="1"/>
  <c r="K223" i="25" s="1"/>
  <c r="L223" i="25" s="1"/>
  <c r="M223" i="25" s="1"/>
  <c r="N223" i="25" s="1"/>
  <c r="O223" i="25" s="1"/>
  <c r="P223" i="25" s="1"/>
  <c r="Z7" i="25"/>
  <c r="AR242" i="25"/>
  <c r="T86" i="25"/>
  <c r="T7" i="25"/>
  <c r="AL242" i="25"/>
  <c r="AB7" i="25"/>
  <c r="AA86" i="25"/>
  <c r="AA7" i="25"/>
  <c r="AS242" i="25"/>
  <c r="E7" i="25"/>
  <c r="W242" i="25"/>
  <c r="E86" i="25"/>
  <c r="U7" i="25"/>
  <c r="AM242" i="25"/>
  <c r="AJ242" i="25"/>
  <c r="F7" i="25"/>
  <c r="V7" i="25"/>
  <c r="AN242" i="25"/>
  <c r="V86" i="25"/>
  <c r="AV242" i="25"/>
  <c r="AD86" i="25"/>
  <c r="AG85" i="25"/>
  <c r="Y242" i="25"/>
  <c r="G86" i="25"/>
  <c r="AG242" i="25"/>
  <c r="O86" i="25"/>
  <c r="O7" i="25"/>
  <c r="AW242" i="25"/>
  <c r="AE86" i="25"/>
  <c r="AE7" i="25"/>
  <c r="H86" i="25"/>
  <c r="AH242" i="25"/>
  <c r="P86" i="25"/>
  <c r="P7" i="25"/>
  <c r="X86" i="25"/>
  <c r="AP242" i="25"/>
  <c r="X7" i="25"/>
  <c r="AF86" i="25"/>
  <c r="AF7" i="25"/>
  <c r="AX242" i="25"/>
  <c r="I7" i="25"/>
  <c r="Q86" i="25"/>
  <c r="Q7" i="25"/>
  <c r="AI242" i="25"/>
  <c r="Y7" i="25"/>
  <c r="AQ242" i="25"/>
  <c r="AG83" i="25"/>
  <c r="G222" i="25"/>
  <c r="J225" i="25"/>
  <c r="K225" i="25" s="1"/>
  <c r="L225" i="25" s="1"/>
  <c r="M225" i="25" s="1"/>
  <c r="N225" i="25" s="1"/>
  <c r="O225" i="25" s="1"/>
  <c r="P225" i="25" s="1"/>
  <c r="G94" i="25"/>
  <c r="O94" i="25"/>
  <c r="W94" i="25"/>
  <c r="AE94" i="25"/>
  <c r="D104" i="25"/>
  <c r="E227" i="25"/>
  <c r="E228" i="25" s="1"/>
  <c r="S239" i="25"/>
  <c r="AH62" i="25"/>
  <c r="AH78" i="25"/>
  <c r="AI78" i="25"/>
  <c r="AH44" i="25"/>
  <c r="AH48" i="25"/>
  <c r="AI44" i="25"/>
  <c r="R7" i="25" l="1"/>
  <c r="AB86" i="25"/>
  <c r="AC86" i="25"/>
  <c r="N86" i="25"/>
  <c r="AU242" i="25"/>
  <c r="AB242" i="25"/>
  <c r="W7" i="25"/>
  <c r="AF242" i="25"/>
  <c r="J7" i="25"/>
  <c r="W86" i="25"/>
  <c r="J222" i="27"/>
  <c r="G263" i="27"/>
  <c r="I227" i="27"/>
  <c r="F263" i="26"/>
  <c r="H227" i="26"/>
  <c r="G104" i="26"/>
  <c r="G228" i="26"/>
  <c r="K222" i="26"/>
  <c r="C237" i="25"/>
  <c r="AI83" i="25"/>
  <c r="AE242" i="25"/>
  <c r="M7" i="25"/>
  <c r="AI94" i="25"/>
  <c r="L7" i="25"/>
  <c r="V242" i="25"/>
  <c r="Z242" i="25"/>
  <c r="D7" i="25"/>
  <c r="AA242" i="25"/>
  <c r="K7" i="25"/>
  <c r="G7" i="25"/>
  <c r="K86" i="25"/>
  <c r="AD242" i="25"/>
  <c r="B237" i="25"/>
  <c r="X242" i="25"/>
  <c r="AH83" i="25"/>
  <c r="U242" i="25"/>
  <c r="C7" i="25"/>
  <c r="H222" i="25"/>
  <c r="AI85" i="25"/>
  <c r="B7" i="25"/>
  <c r="A7" i="25" s="1"/>
  <c r="AH85" i="25"/>
  <c r="T242" i="25"/>
  <c r="AH94" i="25"/>
  <c r="D263" i="25"/>
  <c r="F227" i="25"/>
  <c r="E104" i="25"/>
  <c r="K6" i="25" l="1"/>
  <c r="K222" i="27"/>
  <c r="H263" i="27"/>
  <c r="J227" i="27"/>
  <c r="I104" i="27"/>
  <c r="G263" i="26"/>
  <c r="I227" i="26"/>
  <c r="H228" i="26"/>
  <c r="H104" i="26"/>
  <c r="L222" i="26"/>
  <c r="E263" i="25"/>
  <c r="G227" i="25"/>
  <c r="F228" i="25"/>
  <c r="F104" i="25"/>
  <c r="AI86" i="25"/>
  <c r="AH86" i="25"/>
  <c r="I222" i="25"/>
  <c r="K227" i="27" l="1"/>
  <c r="I263" i="27"/>
  <c r="L222" i="27"/>
  <c r="K104" i="27"/>
  <c r="J104" i="27"/>
  <c r="H263" i="26"/>
  <c r="J227" i="26"/>
  <c r="I104" i="26"/>
  <c r="M222" i="26"/>
  <c r="J222" i="25"/>
  <c r="F263" i="25"/>
  <c r="H227" i="25"/>
  <c r="G104" i="25"/>
  <c r="G228" i="25"/>
  <c r="M222" i="27" l="1"/>
  <c r="L104" i="27"/>
  <c r="L227" i="27"/>
  <c r="J263" i="27"/>
  <c r="N222" i="26"/>
  <c r="K227" i="26"/>
  <c r="I263" i="26"/>
  <c r="J104" i="26"/>
  <c r="G263" i="25"/>
  <c r="I227" i="25"/>
  <c r="H104" i="25"/>
  <c r="H228" i="25"/>
  <c r="K222" i="25"/>
  <c r="K263" i="27" l="1"/>
  <c r="M227" i="27"/>
  <c r="N222" i="27"/>
  <c r="M104" i="27"/>
  <c r="J263" i="26"/>
  <c r="L227" i="26"/>
  <c r="K104" i="26"/>
  <c r="O222" i="26"/>
  <c r="L222" i="25"/>
  <c r="H263" i="25"/>
  <c r="J227" i="25"/>
  <c r="I104" i="25"/>
  <c r="O222" i="27" l="1"/>
  <c r="L263" i="27"/>
  <c r="N227" i="27"/>
  <c r="K263" i="26"/>
  <c r="M227" i="26"/>
  <c r="L104" i="26"/>
  <c r="P222" i="26"/>
  <c r="K227" i="25"/>
  <c r="I263" i="25"/>
  <c r="J104" i="25"/>
  <c r="M222" i="25"/>
  <c r="M263" i="27" l="1"/>
  <c r="O227" i="27"/>
  <c r="N104" i="27"/>
  <c r="P222" i="27"/>
  <c r="O104" i="27"/>
  <c r="L263" i="26"/>
  <c r="N227" i="26"/>
  <c r="M104" i="26"/>
  <c r="N222" i="25"/>
  <c r="J263" i="25"/>
  <c r="L227" i="25"/>
  <c r="K104" i="25"/>
  <c r="AH104" i="27" l="1"/>
  <c r="AI104" i="27"/>
  <c r="N263" i="27"/>
  <c r="P227" i="27"/>
  <c r="O263" i="27" s="1"/>
  <c r="M263" i="26"/>
  <c r="O227" i="26"/>
  <c r="N104" i="26"/>
  <c r="K263" i="25"/>
  <c r="M227" i="25"/>
  <c r="L104" i="25"/>
  <c r="O222" i="25"/>
  <c r="P227" i="26" l="1"/>
  <c r="O263" i="26" s="1"/>
  <c r="N263" i="26"/>
  <c r="O104" i="26"/>
  <c r="P222" i="25"/>
  <c r="L263" i="25"/>
  <c r="N227" i="25"/>
  <c r="M104" i="25"/>
  <c r="AH104" i="26" l="1"/>
  <c r="AI104" i="26"/>
  <c r="M263" i="25"/>
  <c r="O227" i="25"/>
  <c r="N104" i="25"/>
  <c r="N263" i="25" l="1"/>
  <c r="P227" i="25"/>
  <c r="O263" i="25" s="1"/>
  <c r="O104" i="25"/>
  <c r="AI104" i="25" l="1"/>
  <c r="AH104" i="25"/>
  <c r="W78" i="24" l="1"/>
  <c r="T107" i="24"/>
  <c r="M107" i="24" l="1"/>
  <c r="L107" i="24"/>
  <c r="K107" i="24"/>
  <c r="J107" i="24"/>
  <c r="I107" i="24"/>
  <c r="F107" i="24"/>
  <c r="G107" i="24"/>
  <c r="H107" i="24"/>
  <c r="AH107" i="24" s="1"/>
  <c r="E107" i="24"/>
  <c r="D107" i="24"/>
  <c r="C107" i="24"/>
  <c r="B107" i="24"/>
  <c r="B78" i="24"/>
  <c r="B94" i="24" s="1"/>
  <c r="B66" i="24"/>
  <c r="B62" i="24"/>
  <c r="B48" i="24"/>
  <c r="B44" i="24"/>
  <c r="AF267" i="24"/>
  <c r="AE267" i="24"/>
  <c r="AD267" i="24"/>
  <c r="AC267" i="24"/>
  <c r="AB267" i="24"/>
  <c r="AA267" i="24"/>
  <c r="Z267" i="24"/>
  <c r="Y267" i="24"/>
  <c r="X267" i="24"/>
  <c r="W267" i="24"/>
  <c r="V267" i="24"/>
  <c r="U267" i="24"/>
  <c r="T267" i="24"/>
  <c r="S267" i="24"/>
  <c r="R267" i="24"/>
  <c r="Q267" i="24"/>
  <c r="P267" i="24"/>
  <c r="O267" i="24"/>
  <c r="N267" i="24"/>
  <c r="M267" i="24"/>
  <c r="L267" i="24"/>
  <c r="K267" i="24"/>
  <c r="J267" i="24"/>
  <c r="I267" i="24"/>
  <c r="H267" i="24"/>
  <c r="G267" i="24"/>
  <c r="F267" i="24"/>
  <c r="E267" i="24"/>
  <c r="D267" i="24"/>
  <c r="C267" i="24"/>
  <c r="B267" i="24"/>
  <c r="A267" i="24"/>
  <c r="AF266" i="24"/>
  <c r="AE266" i="24"/>
  <c r="AD266" i="24"/>
  <c r="AC266" i="24"/>
  <c r="AB266" i="24"/>
  <c r="AA266" i="24"/>
  <c r="Z266" i="24"/>
  <c r="Y266" i="24"/>
  <c r="X266" i="24"/>
  <c r="W266" i="24"/>
  <c r="V266" i="24"/>
  <c r="U266" i="24"/>
  <c r="T266" i="24"/>
  <c r="S266" i="24"/>
  <c r="R266" i="24"/>
  <c r="Q266" i="24"/>
  <c r="P266" i="24"/>
  <c r="O266" i="24"/>
  <c r="N266" i="24"/>
  <c r="M266" i="24"/>
  <c r="L266" i="24"/>
  <c r="K266" i="24"/>
  <c r="J266" i="24"/>
  <c r="I266" i="24"/>
  <c r="H266" i="24"/>
  <c r="G266" i="24"/>
  <c r="F266" i="24"/>
  <c r="E266" i="24"/>
  <c r="D266" i="24"/>
  <c r="C266" i="24"/>
  <c r="B266" i="24"/>
  <c r="A266" i="24"/>
  <c r="AF265" i="24"/>
  <c r="AE265" i="24"/>
  <c r="AD265" i="24"/>
  <c r="AC265" i="24"/>
  <c r="AB265" i="24"/>
  <c r="AA265" i="24"/>
  <c r="Z265" i="24"/>
  <c r="Y265" i="24"/>
  <c r="X265" i="24"/>
  <c r="W265" i="24"/>
  <c r="V265" i="24"/>
  <c r="U265" i="24"/>
  <c r="T265" i="24"/>
  <c r="S265" i="24"/>
  <c r="R265" i="24"/>
  <c r="Q265" i="24"/>
  <c r="P265" i="24"/>
  <c r="O265" i="24"/>
  <c r="N265" i="24"/>
  <c r="M265" i="24"/>
  <c r="L265" i="24"/>
  <c r="K265" i="24"/>
  <c r="J265" i="24"/>
  <c r="I265" i="24"/>
  <c r="H265" i="24"/>
  <c r="G265" i="24"/>
  <c r="F265" i="24"/>
  <c r="E265" i="24"/>
  <c r="D265" i="24"/>
  <c r="C265" i="24"/>
  <c r="B265" i="24"/>
  <c r="A265" i="24"/>
  <c r="AF264" i="24"/>
  <c r="AE264" i="24"/>
  <c r="AD264" i="24"/>
  <c r="AC264" i="24"/>
  <c r="AB264" i="24"/>
  <c r="AA264" i="24"/>
  <c r="Z264" i="24"/>
  <c r="Y264" i="24"/>
  <c r="X264" i="24"/>
  <c r="W264" i="24"/>
  <c r="V264" i="24"/>
  <c r="U264" i="24"/>
  <c r="T264" i="24"/>
  <c r="S264" i="24"/>
  <c r="R264" i="24"/>
  <c r="Q264" i="24"/>
  <c r="P264" i="24"/>
  <c r="O264" i="24"/>
  <c r="N264" i="24"/>
  <c r="M264" i="24"/>
  <c r="L264" i="24"/>
  <c r="K264" i="24"/>
  <c r="J264" i="24"/>
  <c r="I264" i="24"/>
  <c r="H264" i="24"/>
  <c r="G264" i="24"/>
  <c r="F264" i="24"/>
  <c r="E264" i="24"/>
  <c r="D264" i="24"/>
  <c r="C264" i="24"/>
  <c r="B264" i="24"/>
  <c r="A264" i="24"/>
  <c r="AE263" i="24"/>
  <c r="AD263" i="24"/>
  <c r="AC263" i="24"/>
  <c r="AB263" i="24"/>
  <c r="AA263" i="24"/>
  <c r="Z263" i="24"/>
  <c r="Y263" i="24"/>
  <c r="X263" i="24"/>
  <c r="W263" i="24"/>
  <c r="V263" i="24"/>
  <c r="U263" i="24"/>
  <c r="T263" i="24"/>
  <c r="S263" i="24"/>
  <c r="R263" i="24"/>
  <c r="Q263" i="24"/>
  <c r="P263" i="24"/>
  <c r="B263" i="24"/>
  <c r="S238" i="24"/>
  <c r="AG228" i="24"/>
  <c r="AF228" i="24"/>
  <c r="AE228" i="24"/>
  <c r="AD228" i="24"/>
  <c r="AC228" i="24"/>
  <c r="AB228" i="24"/>
  <c r="AA228" i="24"/>
  <c r="Z228" i="24"/>
  <c r="Y228" i="24"/>
  <c r="X228" i="24"/>
  <c r="W228" i="24"/>
  <c r="V228" i="24"/>
  <c r="U228" i="24"/>
  <c r="T228" i="24"/>
  <c r="S228" i="24"/>
  <c r="R228" i="24"/>
  <c r="Q228" i="24"/>
  <c r="C228" i="24"/>
  <c r="D227" i="24"/>
  <c r="C263" i="24" s="1"/>
  <c r="B227" i="24"/>
  <c r="AF263" i="24" s="1"/>
  <c r="D226" i="24"/>
  <c r="E226" i="24" s="1"/>
  <c r="F226" i="24" s="1"/>
  <c r="G226" i="24" s="1"/>
  <c r="H226" i="24" s="1"/>
  <c r="I226" i="24" s="1"/>
  <c r="J226" i="24" s="1"/>
  <c r="K226" i="24" s="1"/>
  <c r="L226" i="24" s="1"/>
  <c r="M226" i="24" s="1"/>
  <c r="N226" i="24" s="1"/>
  <c r="O226" i="24" s="1"/>
  <c r="P226" i="24" s="1"/>
  <c r="B226" i="24"/>
  <c r="D225" i="24"/>
  <c r="E225" i="24" s="1"/>
  <c r="F225" i="24" s="1"/>
  <c r="G225" i="24" s="1"/>
  <c r="H225" i="24" s="1"/>
  <c r="I225" i="24" s="1"/>
  <c r="B225" i="24"/>
  <c r="D224" i="24"/>
  <c r="E224" i="24" s="1"/>
  <c r="F224" i="24" s="1"/>
  <c r="G224" i="24" s="1"/>
  <c r="H224" i="24" s="1"/>
  <c r="B224" i="24"/>
  <c r="D223" i="24"/>
  <c r="E223" i="24" s="1"/>
  <c r="F223" i="24" s="1"/>
  <c r="G223" i="24" s="1"/>
  <c r="H223" i="24" s="1"/>
  <c r="I223" i="24" s="1"/>
  <c r="J223" i="24" s="1"/>
  <c r="K223" i="24" s="1"/>
  <c r="L223" i="24" s="1"/>
  <c r="M223" i="24" s="1"/>
  <c r="N223" i="24" s="1"/>
  <c r="O223" i="24" s="1"/>
  <c r="P223" i="24" s="1"/>
  <c r="B223" i="24"/>
  <c r="D222" i="24"/>
  <c r="D104" i="24" s="1"/>
  <c r="B222" i="24"/>
  <c r="B104" i="24" s="1"/>
  <c r="AG220" i="24"/>
  <c r="AF220" i="24"/>
  <c r="AE220" i="24"/>
  <c r="AD220" i="24"/>
  <c r="AC220" i="24"/>
  <c r="AB220" i="24"/>
  <c r="AA220" i="24"/>
  <c r="Z220" i="24"/>
  <c r="Y220" i="24"/>
  <c r="X220" i="24"/>
  <c r="W220" i="24"/>
  <c r="V220" i="24"/>
  <c r="U220" i="24"/>
  <c r="T220" i="24"/>
  <c r="S220" i="24"/>
  <c r="R220" i="24"/>
  <c r="Q220" i="24"/>
  <c r="P220" i="24"/>
  <c r="O220" i="24"/>
  <c r="N220" i="24"/>
  <c r="M220" i="24"/>
  <c r="L220" i="24"/>
  <c r="K220" i="24"/>
  <c r="J220" i="24"/>
  <c r="I220" i="24"/>
  <c r="H220" i="24"/>
  <c r="G220" i="24"/>
  <c r="F220" i="24"/>
  <c r="E220" i="24"/>
  <c r="D220" i="24"/>
  <c r="C220" i="24"/>
  <c r="B220" i="24"/>
  <c r="AI113" i="24"/>
  <c r="AH113" i="24"/>
  <c r="AI112" i="24"/>
  <c r="AH112" i="24"/>
  <c r="AI111" i="24"/>
  <c r="AH111" i="24"/>
  <c r="AI110" i="24"/>
  <c r="AH110" i="24"/>
  <c r="AI109" i="24"/>
  <c r="AH109" i="24"/>
  <c r="AI108" i="24"/>
  <c r="AH108" i="24"/>
  <c r="AI106" i="24"/>
  <c r="AH106" i="24"/>
  <c r="AI105" i="24"/>
  <c r="AH105" i="24"/>
  <c r="AF104" i="24"/>
  <c r="AE104" i="24"/>
  <c r="AD104" i="24"/>
  <c r="AC104" i="24"/>
  <c r="AB104" i="24"/>
  <c r="AA104" i="24"/>
  <c r="Z104" i="24"/>
  <c r="Y104" i="24"/>
  <c r="X104" i="24"/>
  <c r="W104" i="24"/>
  <c r="V104" i="24"/>
  <c r="U104" i="24"/>
  <c r="T104" i="24"/>
  <c r="S104" i="24"/>
  <c r="R104" i="24"/>
  <c r="Q104" i="24"/>
  <c r="C104" i="24"/>
  <c r="AI103" i="24"/>
  <c r="AH103" i="24"/>
  <c r="AI102" i="24"/>
  <c r="AH102" i="24"/>
  <c r="AI101" i="24"/>
  <c r="AH101" i="24"/>
  <c r="AI100" i="24"/>
  <c r="AH100" i="24"/>
  <c r="AI99" i="24"/>
  <c r="AH99" i="24"/>
  <c r="AI98" i="24"/>
  <c r="AH98" i="24"/>
  <c r="AI97" i="24"/>
  <c r="AH97" i="24"/>
  <c r="AI96" i="24"/>
  <c r="AH96" i="24"/>
  <c r="AI95" i="24"/>
  <c r="AH95" i="24"/>
  <c r="AI93" i="24"/>
  <c r="AH93" i="24"/>
  <c r="AI92" i="24"/>
  <c r="AH92" i="24"/>
  <c r="AI91" i="24"/>
  <c r="AH91" i="24"/>
  <c r="AI90" i="24"/>
  <c r="AH90" i="24"/>
  <c r="AI89" i="24"/>
  <c r="AH89" i="24"/>
  <c r="AI88" i="24"/>
  <c r="AH88" i="24"/>
  <c r="AI87" i="24"/>
  <c r="AH87" i="24"/>
  <c r="AI84" i="24"/>
  <c r="AH84" i="24"/>
  <c r="AI82" i="24"/>
  <c r="AH82" i="24"/>
  <c r="AG82" i="24"/>
  <c r="AI81" i="24"/>
  <c r="AH81" i="24"/>
  <c r="AI80" i="24"/>
  <c r="AH80" i="24"/>
  <c r="AI79" i="24"/>
  <c r="AH79" i="24"/>
  <c r="AN78" i="24"/>
  <c r="AG78" i="24"/>
  <c r="AF78" i="24"/>
  <c r="AF94" i="24" s="1"/>
  <c r="AE78" i="24"/>
  <c r="AE94" i="24" s="1"/>
  <c r="AD78" i="24"/>
  <c r="AD94" i="24" s="1"/>
  <c r="AC78" i="24"/>
  <c r="AC94" i="24" s="1"/>
  <c r="AB78" i="24"/>
  <c r="AB94" i="24" s="1"/>
  <c r="AA78" i="24"/>
  <c r="AA94" i="24" s="1"/>
  <c r="Z78" i="24"/>
  <c r="Z94" i="24" s="1"/>
  <c r="Y78" i="24"/>
  <c r="Y94" i="24" s="1"/>
  <c r="X78" i="24"/>
  <c r="X94" i="24" s="1"/>
  <c r="W94" i="24"/>
  <c r="V78" i="24"/>
  <c r="V94" i="24" s="1"/>
  <c r="U78" i="24"/>
  <c r="U94" i="24" s="1"/>
  <c r="T78" i="24"/>
  <c r="T94" i="24" s="1"/>
  <c r="S78" i="24"/>
  <c r="S94" i="24" s="1"/>
  <c r="R78" i="24"/>
  <c r="R94" i="24" s="1"/>
  <c r="Q78" i="24"/>
  <c r="Q94" i="24" s="1"/>
  <c r="P78" i="24"/>
  <c r="P94" i="24" s="1"/>
  <c r="O78" i="24"/>
  <c r="O94" i="24" s="1"/>
  <c r="N78" i="24"/>
  <c r="N94" i="24" s="1"/>
  <c r="M78" i="24"/>
  <c r="M94" i="24" s="1"/>
  <c r="L78" i="24"/>
  <c r="L94" i="24" s="1"/>
  <c r="K78" i="24"/>
  <c r="K94" i="24" s="1"/>
  <c r="J78" i="24"/>
  <c r="J94" i="24" s="1"/>
  <c r="I78" i="24"/>
  <c r="H5" i="24" s="1"/>
  <c r="H78" i="24"/>
  <c r="H94" i="24" s="1"/>
  <c r="G78" i="24"/>
  <c r="G94" i="24" s="1"/>
  <c r="F78" i="24"/>
  <c r="F94" i="24" s="1"/>
  <c r="E78" i="24"/>
  <c r="E94" i="24" s="1"/>
  <c r="D78" i="24"/>
  <c r="D94" i="24" s="1"/>
  <c r="C78" i="24"/>
  <c r="C94" i="24" s="1"/>
  <c r="AI77" i="24"/>
  <c r="AH77" i="24"/>
  <c r="AN76" i="24"/>
  <c r="AI76" i="24"/>
  <c r="AH76" i="24"/>
  <c r="AN75" i="24"/>
  <c r="AN77" i="24" s="1"/>
  <c r="AI75" i="24"/>
  <c r="AH75" i="24"/>
  <c r="AI74" i="24"/>
  <c r="AH74" i="24"/>
  <c r="AI73" i="24"/>
  <c r="AH73" i="24"/>
  <c r="AI72" i="24"/>
  <c r="AH72" i="24"/>
  <c r="AI71" i="24"/>
  <c r="AH71" i="24"/>
  <c r="AI70" i="24"/>
  <c r="AH70" i="24"/>
  <c r="AI69" i="24"/>
  <c r="AH69" i="24"/>
  <c r="AI68" i="24"/>
  <c r="AH68" i="24"/>
  <c r="AI67" i="24"/>
  <c r="AH67" i="24"/>
  <c r="AG66" i="24"/>
  <c r="AF66" i="24"/>
  <c r="AE66" i="24"/>
  <c r="AD66" i="24"/>
  <c r="AC66" i="24"/>
  <c r="AB66" i="24"/>
  <c r="AA66" i="24"/>
  <c r="Z66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AI65" i="24"/>
  <c r="AH65" i="24"/>
  <c r="AI64" i="24"/>
  <c r="AH64" i="24"/>
  <c r="AI63" i="24"/>
  <c r="AH63" i="24"/>
  <c r="AF62" i="24"/>
  <c r="AE62" i="24"/>
  <c r="AD62" i="24"/>
  <c r="AC62" i="24"/>
  <c r="AB62" i="24"/>
  <c r="AA62" i="24"/>
  <c r="Z62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AI61" i="24"/>
  <c r="AH61" i="24"/>
  <c r="AG61" i="24"/>
  <c r="AG62" i="24" s="1"/>
  <c r="AG3" i="24" s="1"/>
  <c r="AI60" i="24"/>
  <c r="AH60" i="24"/>
  <c r="AI59" i="24"/>
  <c r="AH59" i="24"/>
  <c r="AI58" i="24"/>
  <c r="AH58" i="24"/>
  <c r="AI57" i="24"/>
  <c r="AH57" i="24"/>
  <c r="AI56" i="24"/>
  <c r="AH56" i="24"/>
  <c r="AI55" i="24"/>
  <c r="AH55" i="24"/>
  <c r="AI54" i="24"/>
  <c r="AH54" i="24"/>
  <c r="AI53" i="24"/>
  <c r="AH53" i="24"/>
  <c r="AI52" i="24"/>
  <c r="AH52" i="24"/>
  <c r="AI51" i="24"/>
  <c r="AH51" i="24"/>
  <c r="AI50" i="24"/>
  <c r="AH50" i="24"/>
  <c r="AI49" i="24"/>
  <c r="AH49" i="24"/>
  <c r="AG48" i="24"/>
  <c r="AF48" i="24"/>
  <c r="AE48" i="24"/>
  <c r="AD48" i="24"/>
  <c r="AC48" i="24"/>
  <c r="AB48" i="24"/>
  <c r="AA48" i="24"/>
  <c r="Z48" i="24"/>
  <c r="Y48" i="24"/>
  <c r="X48" i="24"/>
  <c r="W48" i="24"/>
  <c r="V48" i="24"/>
  <c r="U48" i="24"/>
  <c r="T48" i="24"/>
  <c r="S48" i="24"/>
  <c r="R48" i="24"/>
  <c r="Q48" i="24"/>
  <c r="P48" i="24"/>
  <c r="O48" i="24"/>
  <c r="N48" i="24"/>
  <c r="M48" i="24"/>
  <c r="L48" i="24"/>
  <c r="K48" i="24"/>
  <c r="J48" i="24"/>
  <c r="I48" i="24"/>
  <c r="H48" i="24"/>
  <c r="G48" i="24"/>
  <c r="F48" i="24"/>
  <c r="E48" i="24"/>
  <c r="D48" i="24"/>
  <c r="C48" i="24"/>
  <c r="AI47" i="24"/>
  <c r="AH47" i="24"/>
  <c r="AI46" i="24"/>
  <c r="AH46" i="24"/>
  <c r="AI45" i="24"/>
  <c r="AH45" i="24"/>
  <c r="AG44" i="24"/>
  <c r="AF44" i="24"/>
  <c r="AE44" i="24"/>
  <c r="AD44" i="24"/>
  <c r="AC44" i="24"/>
  <c r="AB44" i="24"/>
  <c r="AA44" i="24"/>
  <c r="AA83" i="24" s="1"/>
  <c r="AA85" i="24" s="1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AI43" i="24"/>
  <c r="AH43" i="24"/>
  <c r="AI42" i="24"/>
  <c r="AH42" i="24"/>
  <c r="AI41" i="24"/>
  <c r="AH41" i="24"/>
  <c r="AI40" i="24"/>
  <c r="AH40" i="24"/>
  <c r="AI39" i="24"/>
  <c r="AH39" i="24"/>
  <c r="AI38" i="24"/>
  <c r="AH38" i="24"/>
  <c r="AI37" i="24"/>
  <c r="AH37" i="24"/>
  <c r="AI36" i="24"/>
  <c r="AH36" i="24"/>
  <c r="AI35" i="24"/>
  <c r="AH35" i="24"/>
  <c r="AI34" i="24"/>
  <c r="AH34" i="24"/>
  <c r="AI33" i="24"/>
  <c r="AH33" i="24"/>
  <c r="AI32" i="24"/>
  <c r="AH32" i="24"/>
  <c r="AI31" i="24"/>
  <c r="AH31" i="24"/>
  <c r="AI30" i="24"/>
  <c r="AH30" i="24"/>
  <c r="AI29" i="24"/>
  <c r="AH29" i="24"/>
  <c r="AI28" i="24"/>
  <c r="AH28" i="24"/>
  <c r="AI27" i="24"/>
  <c r="AH27" i="24"/>
  <c r="AI26" i="24"/>
  <c r="AH26" i="24"/>
  <c r="AI25" i="24"/>
  <c r="AH25" i="24"/>
  <c r="AI24" i="24"/>
  <c r="AH24" i="24"/>
  <c r="AI23" i="24"/>
  <c r="AH23" i="24"/>
  <c r="AI22" i="24"/>
  <c r="AH22" i="24"/>
  <c r="AI21" i="24"/>
  <c r="AH21" i="24"/>
  <c r="AI20" i="24"/>
  <c r="AH20" i="24"/>
  <c r="AI19" i="24"/>
  <c r="AH19" i="24"/>
  <c r="AI18" i="24"/>
  <c r="AH18" i="24"/>
  <c r="AI17" i="24"/>
  <c r="AH17" i="24"/>
  <c r="AI16" i="24"/>
  <c r="AH16" i="24"/>
  <c r="AI15" i="24"/>
  <c r="AH15" i="24"/>
  <c r="AI14" i="24"/>
  <c r="AH14" i="24"/>
  <c r="AI13" i="24"/>
  <c r="AH13" i="24"/>
  <c r="AI12" i="24"/>
  <c r="AH12" i="24"/>
  <c r="AI11" i="24"/>
  <c r="AH11" i="24"/>
  <c r="AC5" i="24"/>
  <c r="Z5" i="24"/>
  <c r="X5" i="24"/>
  <c r="R5" i="24"/>
  <c r="K5" i="24"/>
  <c r="AG4" i="24"/>
  <c r="K4" i="24"/>
  <c r="E4" i="24"/>
  <c r="H4" i="24" s="1"/>
  <c r="B4" i="24"/>
  <c r="S239" i="24" s="1"/>
  <c r="AG2" i="24"/>
  <c r="AF107" i="23"/>
  <c r="AF44" i="23"/>
  <c r="AF48" i="23"/>
  <c r="AF62" i="23"/>
  <c r="AF66" i="23"/>
  <c r="AF78" i="23"/>
  <c r="AE107" i="23"/>
  <c r="AE44" i="23"/>
  <c r="AD107" i="23"/>
  <c r="AD44" i="23"/>
  <c r="AD48" i="23"/>
  <c r="AD62" i="23"/>
  <c r="AC107" i="23"/>
  <c r="AC44" i="23"/>
  <c r="AC48" i="23"/>
  <c r="AC62" i="23"/>
  <c r="AC66" i="23"/>
  <c r="AC78" i="23"/>
  <c r="E222" i="24" l="1"/>
  <c r="F222" i="24" s="1"/>
  <c r="D228" i="24"/>
  <c r="AG6" i="24"/>
  <c r="AI107" i="24"/>
  <c r="B228" i="24"/>
  <c r="E227" i="24"/>
  <c r="AE5" i="24"/>
  <c r="AF83" i="24"/>
  <c r="AF85" i="24" s="1"/>
  <c r="AD5" i="24"/>
  <c r="AE83" i="24"/>
  <c r="AE85" i="24" s="1"/>
  <c r="AD83" i="24"/>
  <c r="AD85" i="24" s="1"/>
  <c r="AB5" i="24"/>
  <c r="AC83" i="24"/>
  <c r="AC85" i="24" s="1"/>
  <c r="AC7" i="24" s="1"/>
  <c r="AA5" i="24"/>
  <c r="AB83" i="24"/>
  <c r="AB85" i="24" s="1"/>
  <c r="AB86" i="24" s="1"/>
  <c r="Z83" i="24"/>
  <c r="Z85" i="24" s="1"/>
  <c r="Y83" i="24"/>
  <c r="Y85" i="24" s="1"/>
  <c r="W5" i="24"/>
  <c r="X83" i="24"/>
  <c r="X85" i="24" s="1"/>
  <c r="V5" i="24"/>
  <c r="W83" i="24"/>
  <c r="W85" i="24" s="1"/>
  <c r="W86" i="24" s="1"/>
  <c r="U5" i="24"/>
  <c r="V83" i="24"/>
  <c r="V85" i="24" s="1"/>
  <c r="AN242" i="24" s="1"/>
  <c r="U83" i="24"/>
  <c r="U85" i="24" s="1"/>
  <c r="U7" i="24" s="1"/>
  <c r="T5" i="24"/>
  <c r="S5" i="24"/>
  <c r="T83" i="24"/>
  <c r="T85" i="24" s="1"/>
  <c r="S83" i="24"/>
  <c r="S85" i="24" s="1"/>
  <c r="R83" i="24"/>
  <c r="R85" i="24" s="1"/>
  <c r="R86" i="24" s="1"/>
  <c r="Q83" i="24"/>
  <c r="Q85" i="24" s="1"/>
  <c r="P5" i="24"/>
  <c r="O5" i="24"/>
  <c r="P83" i="24"/>
  <c r="P85" i="24" s="1"/>
  <c r="N5" i="24"/>
  <c r="O83" i="24"/>
  <c r="O85" i="24" s="1"/>
  <c r="M5" i="24"/>
  <c r="N83" i="24"/>
  <c r="N85" i="24" s="1"/>
  <c r="N7" i="24" s="1"/>
  <c r="L5" i="24"/>
  <c r="M83" i="24"/>
  <c r="M85" i="24" s="1"/>
  <c r="M86" i="24" s="1"/>
  <c r="L83" i="24"/>
  <c r="L85" i="24" s="1"/>
  <c r="AD242" i="24" s="1"/>
  <c r="J5" i="24"/>
  <c r="K83" i="24"/>
  <c r="K85" i="24" s="1"/>
  <c r="AC242" i="24" s="1"/>
  <c r="J83" i="24"/>
  <c r="J85" i="24" s="1"/>
  <c r="I94" i="24"/>
  <c r="AI94" i="24" s="1"/>
  <c r="I83" i="24"/>
  <c r="I85" i="24" s="1"/>
  <c r="AA242" i="24" s="1"/>
  <c r="G5" i="24"/>
  <c r="H83" i="24"/>
  <c r="H85" i="24" s="1"/>
  <c r="Z242" i="24" s="1"/>
  <c r="F5" i="24"/>
  <c r="E5" i="24"/>
  <c r="G83" i="24"/>
  <c r="G85" i="24" s="1"/>
  <c r="G86" i="24" s="1"/>
  <c r="F83" i="24"/>
  <c r="F85" i="24" s="1"/>
  <c r="F86" i="24" s="1"/>
  <c r="D5" i="24"/>
  <c r="E83" i="24"/>
  <c r="E85" i="24" s="1"/>
  <c r="W242" i="24" s="1"/>
  <c r="AI48" i="24"/>
  <c r="C5" i="24"/>
  <c r="AI62" i="24"/>
  <c r="D83" i="24"/>
  <c r="D85" i="24" s="1"/>
  <c r="D86" i="24" s="1"/>
  <c r="C83" i="24"/>
  <c r="C85" i="24" s="1"/>
  <c r="B5" i="24"/>
  <c r="AH62" i="24"/>
  <c r="B83" i="24"/>
  <c r="B85" i="24" s="1"/>
  <c r="B86" i="24" s="1"/>
  <c r="AI66" i="24"/>
  <c r="AH66" i="24"/>
  <c r="E7" i="24"/>
  <c r="U86" i="24"/>
  <c r="AU242" i="24"/>
  <c r="AC86" i="24"/>
  <c r="AG85" i="24"/>
  <c r="AH94" i="24"/>
  <c r="AG242" i="24"/>
  <c r="O86" i="24"/>
  <c r="O7" i="24"/>
  <c r="AO242" i="24"/>
  <c r="W7" i="24"/>
  <c r="AW242" i="24"/>
  <c r="AE86" i="24"/>
  <c r="AE7" i="24"/>
  <c r="J225" i="24"/>
  <c r="K225" i="24" s="1"/>
  <c r="L225" i="24" s="1"/>
  <c r="M225" i="24" s="1"/>
  <c r="N225" i="24" s="1"/>
  <c r="O225" i="24" s="1"/>
  <c r="P225" i="24" s="1"/>
  <c r="I86" i="24"/>
  <c r="Q7" i="24"/>
  <c r="Q86" i="24"/>
  <c r="AI242" i="24"/>
  <c r="Y86" i="24"/>
  <c r="AQ242" i="24"/>
  <c r="Y7" i="24"/>
  <c r="AG83" i="24"/>
  <c r="AF242" i="24"/>
  <c r="N86" i="24"/>
  <c r="P7" i="24"/>
  <c r="P86" i="24"/>
  <c r="AH242" i="24"/>
  <c r="G222" i="24"/>
  <c r="J86" i="24"/>
  <c r="J7" i="24"/>
  <c r="AB242" i="24"/>
  <c r="R7" i="24"/>
  <c r="AJ242" i="24"/>
  <c r="Z86" i="24"/>
  <c r="Z7" i="24"/>
  <c r="AR242" i="24"/>
  <c r="AF7" i="24"/>
  <c r="AX242" i="24"/>
  <c r="AF86" i="24"/>
  <c r="C86" i="24"/>
  <c r="C7" i="24"/>
  <c r="U242" i="24"/>
  <c r="K86" i="24"/>
  <c r="K7" i="24"/>
  <c r="AK242" i="24"/>
  <c r="S86" i="24"/>
  <c r="S7" i="24"/>
  <c r="AA86" i="24"/>
  <c r="AA7" i="24"/>
  <c r="AS242" i="24"/>
  <c r="AV242" i="24"/>
  <c r="AD86" i="24"/>
  <c r="AD7" i="24"/>
  <c r="X86" i="24"/>
  <c r="X7" i="24"/>
  <c r="AP242" i="24"/>
  <c r="D7" i="24"/>
  <c r="V242" i="24"/>
  <c r="T86" i="24"/>
  <c r="T7" i="24"/>
  <c r="AL242" i="24"/>
  <c r="AT242" i="24"/>
  <c r="AF5" i="24"/>
  <c r="E228" i="24"/>
  <c r="D239" i="24"/>
  <c r="AH78" i="24"/>
  <c r="I5" i="24"/>
  <c r="Q5" i="24"/>
  <c r="Y5" i="24"/>
  <c r="E104" i="24"/>
  <c r="AI78" i="24"/>
  <c r="AH44" i="24"/>
  <c r="AH48" i="24"/>
  <c r="AI44" i="24"/>
  <c r="AF83" i="23"/>
  <c r="AF85" i="23" s="1"/>
  <c r="AF86" i="23" s="1"/>
  <c r="AC83" i="23"/>
  <c r="AB7" i="24" l="1"/>
  <c r="F227" i="24"/>
  <c r="D263" i="24"/>
  <c r="AM242" i="24"/>
  <c r="V7" i="24"/>
  <c r="E86" i="24"/>
  <c r="V86" i="24"/>
  <c r="AE242" i="24"/>
  <c r="M7" i="24"/>
  <c r="L7" i="24"/>
  <c r="L86" i="24"/>
  <c r="I7" i="24"/>
  <c r="G7" i="24"/>
  <c r="H86" i="24"/>
  <c r="H7" i="24"/>
  <c r="B237" i="24"/>
  <c r="C237" i="24"/>
  <c r="Y242" i="24"/>
  <c r="X242" i="24"/>
  <c r="AH83" i="24"/>
  <c r="F7" i="24"/>
  <c r="AI83" i="24"/>
  <c r="AI85" i="24"/>
  <c r="B7" i="24"/>
  <c r="T242" i="24"/>
  <c r="AH85" i="24"/>
  <c r="H222" i="24"/>
  <c r="E263" i="24" l="1"/>
  <c r="G227" i="24"/>
  <c r="F104" i="24"/>
  <c r="F228" i="24"/>
  <c r="A7" i="24"/>
  <c r="K6" i="24"/>
  <c r="AI86" i="24"/>
  <c r="AH86" i="24"/>
  <c r="I222" i="24"/>
  <c r="G228" i="24" l="1"/>
  <c r="H227" i="24"/>
  <c r="G104" i="24"/>
  <c r="F263" i="24"/>
  <c r="J222" i="24"/>
  <c r="G263" i="24" l="1"/>
  <c r="H228" i="24"/>
  <c r="H104" i="24"/>
  <c r="I227" i="24"/>
  <c r="K222" i="24"/>
  <c r="H263" i="24" l="1"/>
  <c r="J227" i="24"/>
  <c r="I104" i="24"/>
  <c r="L222" i="24"/>
  <c r="K227" i="24" l="1"/>
  <c r="I263" i="24"/>
  <c r="J104" i="24"/>
  <c r="M222" i="24"/>
  <c r="J263" i="24" l="1"/>
  <c r="L227" i="24"/>
  <c r="K104" i="24"/>
  <c r="N222" i="24"/>
  <c r="K263" i="24" l="1"/>
  <c r="L104" i="24"/>
  <c r="M227" i="24"/>
  <c r="O222" i="24"/>
  <c r="N227" i="24" l="1"/>
  <c r="L263" i="24"/>
  <c r="M104" i="24"/>
  <c r="P222" i="24"/>
  <c r="M263" i="24" l="1"/>
  <c r="O227" i="24"/>
  <c r="N104" i="24"/>
  <c r="O104" i="24" l="1"/>
  <c r="AH104" i="24" s="1"/>
  <c r="N263" i="24"/>
  <c r="P227" i="24"/>
  <c r="O263" i="24" s="1"/>
  <c r="O107" i="23"/>
  <c r="K78" i="23"/>
  <c r="B66" i="23"/>
  <c r="C66" i="23"/>
  <c r="D66" i="23"/>
  <c r="E66" i="23"/>
  <c r="F66" i="23"/>
  <c r="G66" i="23"/>
  <c r="H66" i="23"/>
  <c r="I66" i="23"/>
  <c r="J66" i="23"/>
  <c r="K66" i="23"/>
  <c r="L66" i="23"/>
  <c r="M66" i="23"/>
  <c r="AF267" i="23"/>
  <c r="AE267" i="23"/>
  <c r="AD267" i="23"/>
  <c r="AC267" i="23"/>
  <c r="AB267" i="23"/>
  <c r="AA267" i="23"/>
  <c r="Z267" i="23"/>
  <c r="Y267" i="23"/>
  <c r="X267" i="23"/>
  <c r="W267" i="23"/>
  <c r="V267" i="23"/>
  <c r="U267" i="23"/>
  <c r="T267" i="23"/>
  <c r="S267" i="23"/>
  <c r="R267" i="23"/>
  <c r="Q267" i="23"/>
  <c r="P267" i="23"/>
  <c r="O267" i="23"/>
  <c r="N267" i="23"/>
  <c r="M267" i="23"/>
  <c r="L267" i="23"/>
  <c r="K267" i="23"/>
  <c r="J267" i="23"/>
  <c r="I267" i="23"/>
  <c r="H267" i="23"/>
  <c r="G267" i="23"/>
  <c r="F267" i="23"/>
  <c r="E267" i="23"/>
  <c r="D267" i="23"/>
  <c r="C267" i="23"/>
  <c r="B267" i="23"/>
  <c r="A267" i="23"/>
  <c r="AF266" i="23"/>
  <c r="AE266" i="23"/>
  <c r="AD266" i="23"/>
  <c r="AC266" i="23"/>
  <c r="AB266" i="23"/>
  <c r="AA266" i="23"/>
  <c r="Z266" i="23"/>
  <c r="Y266" i="23"/>
  <c r="X266" i="23"/>
  <c r="W266" i="23"/>
  <c r="V266" i="23"/>
  <c r="U266" i="23"/>
  <c r="T266" i="23"/>
  <c r="S266" i="23"/>
  <c r="R266" i="23"/>
  <c r="Q266" i="23"/>
  <c r="P266" i="23"/>
  <c r="O266" i="23"/>
  <c r="N266" i="23"/>
  <c r="M266" i="23"/>
  <c r="L266" i="23"/>
  <c r="K266" i="23"/>
  <c r="J266" i="23"/>
  <c r="I266" i="23"/>
  <c r="H266" i="23"/>
  <c r="G266" i="23"/>
  <c r="F266" i="23"/>
  <c r="E266" i="23"/>
  <c r="D266" i="23"/>
  <c r="C266" i="23"/>
  <c r="B266" i="23"/>
  <c r="A266" i="23"/>
  <c r="AF265" i="23"/>
  <c r="AE265" i="23"/>
  <c r="AD265" i="23"/>
  <c r="AC265" i="23"/>
  <c r="AB265" i="23"/>
  <c r="AA265" i="23"/>
  <c r="Z265" i="23"/>
  <c r="Y265" i="23"/>
  <c r="X265" i="23"/>
  <c r="W265" i="23"/>
  <c r="V265" i="23"/>
  <c r="U265" i="23"/>
  <c r="T265" i="23"/>
  <c r="S265" i="23"/>
  <c r="R265" i="23"/>
  <c r="Q265" i="23"/>
  <c r="P265" i="23"/>
  <c r="O265" i="23"/>
  <c r="N265" i="23"/>
  <c r="M265" i="23"/>
  <c r="L265" i="23"/>
  <c r="K265" i="23"/>
  <c r="J265" i="23"/>
  <c r="I265" i="23"/>
  <c r="H265" i="23"/>
  <c r="G265" i="23"/>
  <c r="F265" i="23"/>
  <c r="E265" i="23"/>
  <c r="D265" i="23"/>
  <c r="C265" i="23"/>
  <c r="B265" i="23"/>
  <c r="A265" i="23"/>
  <c r="AF264" i="23"/>
  <c r="AE264" i="23"/>
  <c r="AD264" i="23"/>
  <c r="AC264" i="23"/>
  <c r="AB264" i="23"/>
  <c r="AA264" i="23"/>
  <c r="Z264" i="23"/>
  <c r="Y264" i="23"/>
  <c r="X264" i="23"/>
  <c r="W264" i="23"/>
  <c r="V264" i="23"/>
  <c r="U264" i="23"/>
  <c r="T264" i="23"/>
  <c r="S264" i="23"/>
  <c r="R264" i="23"/>
  <c r="Q264" i="23"/>
  <c r="P264" i="23"/>
  <c r="O264" i="23"/>
  <c r="N264" i="23"/>
  <c r="M264" i="23"/>
  <c r="L264" i="23"/>
  <c r="K264" i="23"/>
  <c r="J264" i="23"/>
  <c r="I264" i="23"/>
  <c r="H264" i="23"/>
  <c r="G264" i="23"/>
  <c r="F264" i="23"/>
  <c r="E264" i="23"/>
  <c r="D264" i="23"/>
  <c r="C264" i="23"/>
  <c r="B264" i="23"/>
  <c r="A264" i="23"/>
  <c r="AE263" i="23"/>
  <c r="AD263" i="23"/>
  <c r="AC263" i="23"/>
  <c r="AB263" i="23"/>
  <c r="AA263" i="23"/>
  <c r="Z263" i="23"/>
  <c r="Y263" i="23"/>
  <c r="X263" i="23"/>
  <c r="W263" i="23"/>
  <c r="V263" i="23"/>
  <c r="U263" i="23"/>
  <c r="T263" i="23"/>
  <c r="S263" i="23"/>
  <c r="R263" i="23"/>
  <c r="Q263" i="23"/>
  <c r="P263" i="23"/>
  <c r="B263" i="23"/>
  <c r="S238" i="23"/>
  <c r="AG228" i="23"/>
  <c r="AF228" i="23"/>
  <c r="AE228" i="23"/>
  <c r="AD228" i="23"/>
  <c r="AC228" i="23"/>
  <c r="AB228" i="23"/>
  <c r="AA228" i="23"/>
  <c r="Z228" i="23"/>
  <c r="Y228" i="23"/>
  <c r="X228" i="23"/>
  <c r="W228" i="23"/>
  <c r="V228" i="23"/>
  <c r="U228" i="23"/>
  <c r="T228" i="23"/>
  <c r="S228" i="23"/>
  <c r="R228" i="23"/>
  <c r="Q228" i="23"/>
  <c r="C228" i="23"/>
  <c r="D227" i="23"/>
  <c r="C263" i="23" s="1"/>
  <c r="B227" i="23"/>
  <c r="AF263" i="23" s="1"/>
  <c r="D226" i="23"/>
  <c r="E226" i="23" s="1"/>
  <c r="F226" i="23" s="1"/>
  <c r="G226" i="23" s="1"/>
  <c r="H226" i="23" s="1"/>
  <c r="I226" i="23" s="1"/>
  <c r="J226" i="23" s="1"/>
  <c r="K226" i="23" s="1"/>
  <c r="L226" i="23" s="1"/>
  <c r="M226" i="23" s="1"/>
  <c r="N226" i="23" s="1"/>
  <c r="O226" i="23" s="1"/>
  <c r="P226" i="23" s="1"/>
  <c r="B226" i="23"/>
  <c r="D225" i="23"/>
  <c r="E225" i="23" s="1"/>
  <c r="F225" i="23" s="1"/>
  <c r="G225" i="23" s="1"/>
  <c r="H225" i="23" s="1"/>
  <c r="I225" i="23" s="1"/>
  <c r="B225" i="23"/>
  <c r="F224" i="23"/>
  <c r="G224" i="23" s="1"/>
  <c r="H224" i="23" s="1"/>
  <c r="E224" i="23"/>
  <c r="D224" i="23"/>
  <c r="B224" i="23"/>
  <c r="D223" i="23"/>
  <c r="B223" i="23"/>
  <c r="E222" i="23"/>
  <c r="F222" i="23" s="1"/>
  <c r="D222" i="23"/>
  <c r="B222" i="23"/>
  <c r="B228" i="23" s="1"/>
  <c r="AG220" i="23"/>
  <c r="AF220" i="23"/>
  <c r="AE220" i="23"/>
  <c r="AD220" i="23"/>
  <c r="AC220" i="23"/>
  <c r="AB220" i="23"/>
  <c r="AA220" i="23"/>
  <c r="Z220" i="23"/>
  <c r="Y220" i="23"/>
  <c r="X220" i="23"/>
  <c r="W220" i="23"/>
  <c r="V220" i="23"/>
  <c r="U220" i="23"/>
  <c r="T220" i="23"/>
  <c r="S220" i="23"/>
  <c r="R220" i="23"/>
  <c r="Q220" i="23"/>
  <c r="P220" i="23"/>
  <c r="O220" i="23"/>
  <c r="N220" i="23"/>
  <c r="M220" i="23"/>
  <c r="L220" i="23"/>
  <c r="K220" i="23"/>
  <c r="J220" i="23"/>
  <c r="I220" i="23"/>
  <c r="H220" i="23"/>
  <c r="G220" i="23"/>
  <c r="F220" i="23"/>
  <c r="E220" i="23"/>
  <c r="D220" i="23"/>
  <c r="C220" i="23"/>
  <c r="B220" i="23"/>
  <c r="AI113" i="23"/>
  <c r="AH113" i="23"/>
  <c r="AI112" i="23"/>
  <c r="AH112" i="23"/>
  <c r="AI111" i="23"/>
  <c r="AH111" i="23"/>
  <c r="AI110" i="23"/>
  <c r="AH110" i="23"/>
  <c r="AI109" i="23"/>
  <c r="AH109" i="23"/>
  <c r="AI108" i="23"/>
  <c r="AH108" i="23"/>
  <c r="AI107" i="23"/>
  <c r="AH107" i="23"/>
  <c r="AI106" i="23"/>
  <c r="AH106" i="23"/>
  <c r="AI105" i="23"/>
  <c r="AH105" i="23"/>
  <c r="AF104" i="23"/>
  <c r="AE104" i="23"/>
  <c r="AD104" i="23"/>
  <c r="AC104" i="23"/>
  <c r="AB104" i="23"/>
  <c r="AA104" i="23"/>
  <c r="Z104" i="23"/>
  <c r="Y104" i="23"/>
  <c r="X104" i="23"/>
  <c r="W104" i="23"/>
  <c r="V104" i="23"/>
  <c r="U104" i="23"/>
  <c r="T104" i="23"/>
  <c r="S104" i="23"/>
  <c r="R104" i="23"/>
  <c r="Q104" i="23"/>
  <c r="C104" i="23"/>
  <c r="AI103" i="23"/>
  <c r="AH103" i="23"/>
  <c r="AI102" i="23"/>
  <c r="AH102" i="23"/>
  <c r="AI101" i="23"/>
  <c r="AH101" i="23"/>
  <c r="AI100" i="23"/>
  <c r="AH100" i="23"/>
  <c r="AI99" i="23"/>
  <c r="AH99" i="23"/>
  <c r="AI98" i="23"/>
  <c r="AH98" i="23"/>
  <c r="AI97" i="23"/>
  <c r="AH97" i="23"/>
  <c r="AI96" i="23"/>
  <c r="AH96" i="23"/>
  <c r="AI95" i="23"/>
  <c r="AH95" i="23"/>
  <c r="AI93" i="23"/>
  <c r="AH93" i="23"/>
  <c r="AI92" i="23"/>
  <c r="AH92" i="23"/>
  <c r="AI91" i="23"/>
  <c r="AH91" i="23"/>
  <c r="AI90" i="23"/>
  <c r="AH90" i="23"/>
  <c r="AI89" i="23"/>
  <c r="AH89" i="23"/>
  <c r="AI88" i="23"/>
  <c r="AH88" i="23"/>
  <c r="AI87" i="23"/>
  <c r="AH87" i="23"/>
  <c r="AI84" i="23"/>
  <c r="AH84" i="23"/>
  <c r="AI82" i="23"/>
  <c r="AH82" i="23"/>
  <c r="AG82" i="23"/>
  <c r="AI81" i="23"/>
  <c r="AH81" i="23"/>
  <c r="AI80" i="23"/>
  <c r="AH80" i="23"/>
  <c r="AI79" i="23"/>
  <c r="AH79" i="23"/>
  <c r="AN78" i="23"/>
  <c r="AG78" i="23"/>
  <c r="AF94" i="23"/>
  <c r="AE78" i="23"/>
  <c r="AD5" i="23" s="1"/>
  <c r="AD78" i="23"/>
  <c r="AD94" i="23" s="1"/>
  <c r="AC94" i="23"/>
  <c r="AB78" i="23"/>
  <c r="AB94" i="23" s="1"/>
  <c r="AA78" i="23"/>
  <c r="AA94" i="23" s="1"/>
  <c r="Z78" i="23"/>
  <c r="Z94" i="23" s="1"/>
  <c r="Y78" i="23"/>
  <c r="Y94" i="23" s="1"/>
  <c r="X78" i="23"/>
  <c r="X94" i="23" s="1"/>
  <c r="W78" i="23"/>
  <c r="V5" i="23" s="1"/>
  <c r="V78" i="23"/>
  <c r="U5" i="23" s="1"/>
  <c r="U78" i="23"/>
  <c r="U94" i="23" s="1"/>
  <c r="T78" i="23"/>
  <c r="T94" i="23" s="1"/>
  <c r="S78" i="23"/>
  <c r="S94" i="23" s="1"/>
  <c r="R78" i="23"/>
  <c r="R94" i="23" s="1"/>
  <c r="Q78" i="23"/>
  <c r="Q94" i="23" s="1"/>
  <c r="P78" i="23"/>
  <c r="P94" i="23" s="1"/>
  <c r="O78" i="23"/>
  <c r="N5" i="23" s="1"/>
  <c r="N78" i="23"/>
  <c r="M5" i="23" s="1"/>
  <c r="M78" i="23"/>
  <c r="M94" i="23" s="1"/>
  <c r="L78" i="23"/>
  <c r="L94" i="23" s="1"/>
  <c r="K94" i="23"/>
  <c r="J78" i="23"/>
  <c r="J94" i="23" s="1"/>
  <c r="I78" i="23"/>
  <c r="I94" i="23" s="1"/>
  <c r="H78" i="23"/>
  <c r="H94" i="23" s="1"/>
  <c r="G78" i="23"/>
  <c r="F5" i="23" s="1"/>
  <c r="F78" i="23"/>
  <c r="E5" i="23" s="1"/>
  <c r="E78" i="23"/>
  <c r="E94" i="23" s="1"/>
  <c r="D78" i="23"/>
  <c r="D94" i="23" s="1"/>
  <c r="C78" i="23"/>
  <c r="C94" i="23" s="1"/>
  <c r="AI77" i="23"/>
  <c r="AH77" i="23"/>
  <c r="AN76" i="23"/>
  <c r="AI76" i="23"/>
  <c r="AH76" i="23"/>
  <c r="AN75" i="23"/>
  <c r="AN77" i="23" s="1"/>
  <c r="AI75" i="23"/>
  <c r="AH75" i="23"/>
  <c r="AI74" i="23"/>
  <c r="AH74" i="23"/>
  <c r="AI73" i="23"/>
  <c r="AH73" i="23"/>
  <c r="AI72" i="23"/>
  <c r="AH72" i="23"/>
  <c r="AI71" i="23"/>
  <c r="AH71" i="23"/>
  <c r="AI70" i="23"/>
  <c r="AH70" i="23"/>
  <c r="AI69" i="23"/>
  <c r="AH69" i="23"/>
  <c r="AI68" i="23"/>
  <c r="AH68" i="23"/>
  <c r="AI67" i="23"/>
  <c r="AH67" i="23"/>
  <c r="AG66" i="23"/>
  <c r="AE66" i="23"/>
  <c r="AD66" i="23"/>
  <c r="AB66" i="23"/>
  <c r="AA66" i="23"/>
  <c r="Z66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AI65" i="23"/>
  <c r="AH65" i="23"/>
  <c r="AI64" i="23"/>
  <c r="AH64" i="23"/>
  <c r="AI63" i="23"/>
  <c r="AH63" i="23"/>
  <c r="AE62" i="23"/>
  <c r="AB62" i="23"/>
  <c r="AA62" i="23"/>
  <c r="Z62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AI61" i="23"/>
  <c r="AH61" i="23"/>
  <c r="AG61" i="23"/>
  <c r="AG62" i="23" s="1"/>
  <c r="AG3" i="23" s="1"/>
  <c r="AI60" i="23"/>
  <c r="AH60" i="23"/>
  <c r="AI59" i="23"/>
  <c r="AH59" i="23"/>
  <c r="AI58" i="23"/>
  <c r="AH58" i="23"/>
  <c r="AI57" i="23"/>
  <c r="AH57" i="23"/>
  <c r="AI56" i="23"/>
  <c r="AH56" i="23"/>
  <c r="AI55" i="23"/>
  <c r="AH55" i="23"/>
  <c r="AI54" i="23"/>
  <c r="AH54" i="23"/>
  <c r="AI53" i="23"/>
  <c r="AH53" i="23"/>
  <c r="AI52" i="23"/>
  <c r="AH52" i="23"/>
  <c r="AI51" i="23"/>
  <c r="AH51" i="23"/>
  <c r="AI50" i="23"/>
  <c r="AH50" i="23"/>
  <c r="AI49" i="23"/>
  <c r="AH49" i="23"/>
  <c r="AG48" i="23"/>
  <c r="AE48" i="23"/>
  <c r="AB48" i="23"/>
  <c r="AA48" i="23"/>
  <c r="Z48" i="23"/>
  <c r="Y48" i="23"/>
  <c r="X48" i="23"/>
  <c r="W48" i="23"/>
  <c r="V48" i="23"/>
  <c r="U48" i="23"/>
  <c r="T48" i="23"/>
  <c r="S48" i="23"/>
  <c r="R48" i="23"/>
  <c r="Q48" i="23"/>
  <c r="P48" i="23"/>
  <c r="O48" i="23"/>
  <c r="N48" i="23"/>
  <c r="M48" i="23"/>
  <c r="L48" i="23"/>
  <c r="K48" i="23"/>
  <c r="J48" i="23"/>
  <c r="I48" i="23"/>
  <c r="H48" i="23"/>
  <c r="G48" i="23"/>
  <c r="F48" i="23"/>
  <c r="E48" i="23"/>
  <c r="D48" i="23"/>
  <c r="C48" i="23"/>
  <c r="AI47" i="23"/>
  <c r="AH47" i="23"/>
  <c r="AI46" i="23"/>
  <c r="AH46" i="23"/>
  <c r="AI45" i="23"/>
  <c r="AH45" i="23"/>
  <c r="AG44" i="23"/>
  <c r="AC85" i="23"/>
  <c r="AB44" i="23"/>
  <c r="AA44" i="23"/>
  <c r="Z44" i="23"/>
  <c r="Y44" i="23"/>
  <c r="X44" i="23"/>
  <c r="X83" i="23" s="1"/>
  <c r="X85" i="23" s="1"/>
  <c r="W44" i="23"/>
  <c r="V44" i="23"/>
  <c r="U44" i="23"/>
  <c r="U83" i="23" s="1"/>
  <c r="U85" i="23" s="1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AI43" i="23"/>
  <c r="AH43" i="23"/>
  <c r="AI42" i="23"/>
  <c r="AH42" i="23"/>
  <c r="AI41" i="23"/>
  <c r="AH41" i="23"/>
  <c r="AI40" i="23"/>
  <c r="AH40" i="23"/>
  <c r="AI39" i="23"/>
  <c r="AH39" i="23"/>
  <c r="AI38" i="23"/>
  <c r="AH38" i="23"/>
  <c r="AI37" i="23"/>
  <c r="AH37" i="23"/>
  <c r="AI36" i="23"/>
  <c r="AH36" i="23"/>
  <c r="AI35" i="23"/>
  <c r="AH35" i="23"/>
  <c r="AI34" i="23"/>
  <c r="AH34" i="23"/>
  <c r="AI33" i="23"/>
  <c r="AH33" i="23"/>
  <c r="AI32" i="23"/>
  <c r="AH32" i="23"/>
  <c r="AI31" i="23"/>
  <c r="AH31" i="23"/>
  <c r="AI30" i="23"/>
  <c r="AH30" i="23"/>
  <c r="AI29" i="23"/>
  <c r="AH29" i="23"/>
  <c r="AI28" i="23"/>
  <c r="AH28" i="23"/>
  <c r="AI27" i="23"/>
  <c r="AH27" i="23"/>
  <c r="AI26" i="23"/>
  <c r="AH26" i="23"/>
  <c r="AI25" i="23"/>
  <c r="AH25" i="23"/>
  <c r="AI24" i="23"/>
  <c r="AH24" i="23"/>
  <c r="AI23" i="23"/>
  <c r="AH23" i="23"/>
  <c r="AI22" i="23"/>
  <c r="AH22" i="23"/>
  <c r="AI21" i="23"/>
  <c r="AH21" i="23"/>
  <c r="AI20" i="23"/>
  <c r="AH20" i="23"/>
  <c r="AI19" i="23"/>
  <c r="AH19" i="23"/>
  <c r="AI18" i="23"/>
  <c r="AH18" i="23"/>
  <c r="AI17" i="23"/>
  <c r="AH17" i="23"/>
  <c r="AI16" i="23"/>
  <c r="AH16" i="23"/>
  <c r="AI15" i="23"/>
  <c r="AH15" i="23"/>
  <c r="AI14" i="23"/>
  <c r="AH14" i="23"/>
  <c r="AI13" i="23"/>
  <c r="AH13" i="23"/>
  <c r="AI12" i="23"/>
  <c r="AH12" i="23"/>
  <c r="AI11" i="23"/>
  <c r="AH11" i="23"/>
  <c r="AF5" i="23"/>
  <c r="AE5" i="23"/>
  <c r="AB5" i="23"/>
  <c r="W5" i="23"/>
  <c r="S5" i="23"/>
  <c r="AG4" i="23"/>
  <c r="K4" i="23"/>
  <c r="E4" i="23"/>
  <c r="H4" i="23" s="1"/>
  <c r="B4" i="23"/>
  <c r="D239" i="23" s="1"/>
  <c r="AG2" i="23"/>
  <c r="AF107" i="20"/>
  <c r="AE107" i="20"/>
  <c r="AD107" i="20"/>
  <c r="AC107" i="20"/>
  <c r="AB107" i="20"/>
  <c r="R107" i="20"/>
  <c r="S107" i="20"/>
  <c r="AG6" i="23" l="1"/>
  <c r="D228" i="23"/>
  <c r="AI104" i="24"/>
  <c r="AE83" i="23"/>
  <c r="AE85" i="23" s="1"/>
  <c r="AC5" i="23"/>
  <c r="AD83" i="23"/>
  <c r="AD85" i="23" s="1"/>
  <c r="AD7" i="23" s="1"/>
  <c r="AA5" i="23"/>
  <c r="AB83" i="23"/>
  <c r="AB85" i="23" s="1"/>
  <c r="AB86" i="23" s="1"/>
  <c r="Z5" i="23"/>
  <c r="AA83" i="23"/>
  <c r="AA85" i="23" s="1"/>
  <c r="Y5" i="23"/>
  <c r="Z83" i="23"/>
  <c r="Z85" i="23" s="1"/>
  <c r="AR242" i="23" s="1"/>
  <c r="X5" i="23"/>
  <c r="Y83" i="23"/>
  <c r="Y85" i="23" s="1"/>
  <c r="AQ242" i="23" s="1"/>
  <c r="W83" i="23"/>
  <c r="W85" i="23" s="1"/>
  <c r="V94" i="23"/>
  <c r="V83" i="23"/>
  <c r="V85" i="23" s="1"/>
  <c r="T5" i="23"/>
  <c r="T83" i="23"/>
  <c r="T85" i="23" s="1"/>
  <c r="R5" i="23"/>
  <c r="S83" i="23"/>
  <c r="S85" i="23" s="1"/>
  <c r="S86" i="23" s="1"/>
  <c r="R83" i="23"/>
  <c r="R85" i="23" s="1"/>
  <c r="R7" i="23" s="1"/>
  <c r="Q5" i="23"/>
  <c r="P5" i="23"/>
  <c r="Q83" i="23"/>
  <c r="Q85" i="23" s="1"/>
  <c r="O5" i="23"/>
  <c r="P83" i="23"/>
  <c r="P85" i="23" s="1"/>
  <c r="O83" i="23"/>
  <c r="O85" i="23" s="1"/>
  <c r="O7" i="23" s="1"/>
  <c r="N94" i="23"/>
  <c r="N83" i="23"/>
  <c r="N85" i="23" s="1"/>
  <c r="AF242" i="23" s="1"/>
  <c r="L5" i="23"/>
  <c r="M83" i="23"/>
  <c r="M85" i="23" s="1"/>
  <c r="M7" i="23" s="1"/>
  <c r="K5" i="23"/>
  <c r="J5" i="23"/>
  <c r="K83" i="23"/>
  <c r="K85" i="23" s="1"/>
  <c r="K86" i="23" s="1"/>
  <c r="H5" i="23"/>
  <c r="G5" i="23"/>
  <c r="AI66" i="23"/>
  <c r="H83" i="23"/>
  <c r="H85" i="23" s="1"/>
  <c r="H86" i="23" s="1"/>
  <c r="J83" i="23"/>
  <c r="J85" i="23" s="1"/>
  <c r="J7" i="23" s="1"/>
  <c r="AH66" i="23"/>
  <c r="I83" i="23"/>
  <c r="I85" i="23" s="1"/>
  <c r="I86" i="23" s="1"/>
  <c r="L83" i="23"/>
  <c r="L85" i="23" s="1"/>
  <c r="AD242" i="23" s="1"/>
  <c r="I5" i="23"/>
  <c r="G83" i="23"/>
  <c r="G85" i="23" s="1"/>
  <c r="Y242" i="23" s="1"/>
  <c r="F94" i="23"/>
  <c r="F83" i="23"/>
  <c r="F85" i="23" s="1"/>
  <c r="X242" i="23" s="1"/>
  <c r="D5" i="23"/>
  <c r="E83" i="23"/>
  <c r="E85" i="23" s="1"/>
  <c r="E7" i="23" s="1"/>
  <c r="C5" i="23"/>
  <c r="AI62" i="23"/>
  <c r="AI48" i="23"/>
  <c r="D83" i="23"/>
  <c r="D85" i="23" s="1"/>
  <c r="D86" i="23" s="1"/>
  <c r="B5" i="23"/>
  <c r="AH62" i="23"/>
  <c r="C83" i="23"/>
  <c r="C85" i="23" s="1"/>
  <c r="C86" i="23" s="1"/>
  <c r="S7" i="23"/>
  <c r="AK242" i="23"/>
  <c r="AA86" i="23"/>
  <c r="AA7" i="23"/>
  <c r="AS242" i="23"/>
  <c r="R86" i="23"/>
  <c r="U7" i="23"/>
  <c r="AM242" i="23"/>
  <c r="U86" i="23"/>
  <c r="AC7" i="23"/>
  <c r="AU242" i="23"/>
  <c r="AC86" i="23"/>
  <c r="AG85" i="23"/>
  <c r="Z86" i="23"/>
  <c r="Z7" i="23"/>
  <c r="T86" i="23"/>
  <c r="T7" i="23"/>
  <c r="AL242" i="23"/>
  <c r="AG242" i="23"/>
  <c r="O86" i="23"/>
  <c r="AO242" i="23"/>
  <c r="W86" i="23"/>
  <c r="W7" i="23"/>
  <c r="AW242" i="23"/>
  <c r="AE86" i="23"/>
  <c r="AE7" i="23"/>
  <c r="P86" i="23"/>
  <c r="P7" i="23"/>
  <c r="AH242" i="23"/>
  <c r="AP242" i="23"/>
  <c r="X86" i="23"/>
  <c r="X7" i="23"/>
  <c r="AX242" i="23"/>
  <c r="AF7" i="23"/>
  <c r="G222" i="23"/>
  <c r="J225" i="23"/>
  <c r="K225" i="23" s="1"/>
  <c r="L225" i="23" s="1"/>
  <c r="M225" i="23" s="1"/>
  <c r="N225" i="23" s="1"/>
  <c r="O225" i="23" s="1"/>
  <c r="P225" i="23" s="1"/>
  <c r="AN242" i="23"/>
  <c r="V7" i="23"/>
  <c r="V86" i="23"/>
  <c r="Q86" i="23"/>
  <c r="Q7" i="23"/>
  <c r="AI242" i="23"/>
  <c r="AG83" i="23"/>
  <c r="G94" i="23"/>
  <c r="O94" i="23"/>
  <c r="W94" i="23"/>
  <c r="AE94" i="23"/>
  <c r="D104" i="23"/>
  <c r="E223" i="23"/>
  <c r="E227" i="23"/>
  <c r="E104" i="23" s="1"/>
  <c r="S239" i="23"/>
  <c r="AH78" i="23"/>
  <c r="AI78" i="23"/>
  <c r="AH44" i="23"/>
  <c r="AH48" i="23"/>
  <c r="AI44" i="23"/>
  <c r="N86" i="23" l="1"/>
  <c r="N7" i="23"/>
  <c r="AV242" i="23"/>
  <c r="AJ242" i="23"/>
  <c r="AT242" i="23"/>
  <c r="AB7" i="23"/>
  <c r="AD86" i="23"/>
  <c r="Y86" i="23"/>
  <c r="Y7" i="23"/>
  <c r="AI94" i="23"/>
  <c r="AE242" i="23"/>
  <c r="AC242" i="23"/>
  <c r="Z242" i="23"/>
  <c r="K7" i="23"/>
  <c r="M86" i="23"/>
  <c r="L86" i="23"/>
  <c r="L7" i="23"/>
  <c r="J86" i="23"/>
  <c r="AB242" i="23"/>
  <c r="I7" i="23"/>
  <c r="AA242" i="23"/>
  <c r="H7" i="23"/>
  <c r="G7" i="23"/>
  <c r="G86" i="23"/>
  <c r="B237" i="23"/>
  <c r="C237" i="23"/>
  <c r="F86" i="23"/>
  <c r="F7" i="23"/>
  <c r="W242" i="23"/>
  <c r="E86" i="23"/>
  <c r="V242" i="23"/>
  <c r="D7" i="23"/>
  <c r="C7" i="23"/>
  <c r="U242" i="23"/>
  <c r="AI83" i="23"/>
  <c r="AH83" i="23"/>
  <c r="D263" i="23"/>
  <c r="F227" i="23"/>
  <c r="F223" i="23"/>
  <c r="E228" i="23"/>
  <c r="H222" i="23"/>
  <c r="AH94" i="23"/>
  <c r="AI85" i="23"/>
  <c r="B7" i="23"/>
  <c r="AH85" i="23"/>
  <c r="T242" i="23"/>
  <c r="Q107" i="20"/>
  <c r="A7" i="23" l="1"/>
  <c r="K6" i="23"/>
  <c r="I222" i="23"/>
  <c r="G223" i="23"/>
  <c r="F228" i="23"/>
  <c r="AI86" i="23"/>
  <c r="AH86" i="23"/>
  <c r="E263" i="23"/>
  <c r="G227" i="23"/>
  <c r="F104" i="23"/>
  <c r="M66" i="20"/>
  <c r="I106" i="20"/>
  <c r="I105" i="20"/>
  <c r="AF267" i="20"/>
  <c r="AE267" i="20"/>
  <c r="AD267" i="20"/>
  <c r="AC267" i="20"/>
  <c r="AB267" i="20"/>
  <c r="AA267" i="20"/>
  <c r="Z267" i="20"/>
  <c r="Y267" i="20"/>
  <c r="X267" i="20"/>
  <c r="W267" i="20"/>
  <c r="V267" i="20"/>
  <c r="U267" i="20"/>
  <c r="T267" i="20"/>
  <c r="S267" i="20"/>
  <c r="R267" i="20"/>
  <c r="Q267" i="20"/>
  <c r="P267" i="20"/>
  <c r="O267" i="20"/>
  <c r="N267" i="20"/>
  <c r="M267" i="20"/>
  <c r="L267" i="20"/>
  <c r="K267" i="20"/>
  <c r="J267" i="20"/>
  <c r="I267" i="20"/>
  <c r="H267" i="20"/>
  <c r="G267" i="20"/>
  <c r="F267" i="20"/>
  <c r="E267" i="20"/>
  <c r="D267" i="20"/>
  <c r="C267" i="20"/>
  <c r="B267" i="20"/>
  <c r="A267" i="20"/>
  <c r="AF266" i="20"/>
  <c r="AE266" i="20"/>
  <c r="AD266" i="20"/>
  <c r="AC266" i="20"/>
  <c r="AB266" i="20"/>
  <c r="AA266" i="20"/>
  <c r="Z266" i="20"/>
  <c r="Y266" i="20"/>
  <c r="X266" i="20"/>
  <c r="W266" i="20"/>
  <c r="V266" i="20"/>
  <c r="U266" i="20"/>
  <c r="T266" i="20"/>
  <c r="S266" i="20"/>
  <c r="R266" i="20"/>
  <c r="Q266" i="20"/>
  <c r="P266" i="20"/>
  <c r="O266" i="20"/>
  <c r="N266" i="20"/>
  <c r="M266" i="20"/>
  <c r="L266" i="20"/>
  <c r="K266" i="20"/>
  <c r="J266" i="20"/>
  <c r="I266" i="20"/>
  <c r="H266" i="20"/>
  <c r="G266" i="20"/>
  <c r="F266" i="20"/>
  <c r="E266" i="20"/>
  <c r="D266" i="20"/>
  <c r="C266" i="20"/>
  <c r="B266" i="20"/>
  <c r="A266" i="20"/>
  <c r="AF265" i="20"/>
  <c r="AE265" i="20"/>
  <c r="AD265" i="20"/>
  <c r="AC265" i="20"/>
  <c r="AB265" i="20"/>
  <c r="AA265" i="20"/>
  <c r="Z265" i="20"/>
  <c r="Y265" i="20"/>
  <c r="X265" i="20"/>
  <c r="W265" i="20"/>
  <c r="V265" i="20"/>
  <c r="U265" i="20"/>
  <c r="T265" i="20"/>
  <c r="S265" i="20"/>
  <c r="R265" i="20"/>
  <c r="Q265" i="20"/>
  <c r="P265" i="20"/>
  <c r="O265" i="20"/>
  <c r="N265" i="20"/>
  <c r="M265" i="20"/>
  <c r="L265" i="20"/>
  <c r="K265" i="20"/>
  <c r="J265" i="20"/>
  <c r="I265" i="20"/>
  <c r="H265" i="20"/>
  <c r="G265" i="20"/>
  <c r="F265" i="20"/>
  <c r="E265" i="20"/>
  <c r="D265" i="20"/>
  <c r="C265" i="20"/>
  <c r="B265" i="20"/>
  <c r="A265" i="20"/>
  <c r="AF264" i="20"/>
  <c r="AE264" i="20"/>
  <c r="AD264" i="20"/>
  <c r="AC264" i="20"/>
  <c r="AB264" i="20"/>
  <c r="AA264" i="20"/>
  <c r="Z264" i="20"/>
  <c r="Y264" i="20"/>
  <c r="X264" i="20"/>
  <c r="W264" i="20"/>
  <c r="V264" i="20"/>
  <c r="U264" i="20"/>
  <c r="T264" i="20"/>
  <c r="S264" i="20"/>
  <c r="R264" i="20"/>
  <c r="Q264" i="20"/>
  <c r="P264" i="20"/>
  <c r="O264" i="20"/>
  <c r="N264" i="20"/>
  <c r="M264" i="20"/>
  <c r="L264" i="20"/>
  <c r="K264" i="20"/>
  <c r="J264" i="20"/>
  <c r="I264" i="20"/>
  <c r="H264" i="20"/>
  <c r="G264" i="20"/>
  <c r="F264" i="20"/>
  <c r="E264" i="20"/>
  <c r="D264" i="20"/>
  <c r="C264" i="20"/>
  <c r="B264" i="20"/>
  <c r="A264" i="20"/>
  <c r="AE263" i="20"/>
  <c r="AD263" i="20"/>
  <c r="AC263" i="20"/>
  <c r="AB263" i="20"/>
  <c r="AA263" i="20"/>
  <c r="Z263" i="20"/>
  <c r="Y263" i="20"/>
  <c r="X263" i="20"/>
  <c r="W263" i="20"/>
  <c r="V263" i="20"/>
  <c r="U263" i="20"/>
  <c r="T263" i="20"/>
  <c r="S263" i="20"/>
  <c r="R263" i="20"/>
  <c r="Q263" i="20"/>
  <c r="P263" i="20"/>
  <c r="B263" i="20"/>
  <c r="S238" i="20"/>
  <c r="AG228" i="20"/>
  <c r="AF228" i="20"/>
  <c r="AE228" i="20"/>
  <c r="AD228" i="20"/>
  <c r="AC228" i="20"/>
  <c r="AB228" i="20"/>
  <c r="AA228" i="20"/>
  <c r="Z228" i="20"/>
  <c r="Y228" i="20"/>
  <c r="X228" i="20"/>
  <c r="W228" i="20"/>
  <c r="V228" i="20"/>
  <c r="U228" i="20"/>
  <c r="T228" i="20"/>
  <c r="S228" i="20"/>
  <c r="R228" i="20"/>
  <c r="Q228" i="20"/>
  <c r="D228" i="20"/>
  <c r="C228" i="20"/>
  <c r="D227" i="20"/>
  <c r="E227" i="20" s="1"/>
  <c r="D263" i="20" s="1"/>
  <c r="B227" i="20"/>
  <c r="AF263" i="20" s="1"/>
  <c r="D226" i="20"/>
  <c r="E226" i="20" s="1"/>
  <c r="F226" i="20" s="1"/>
  <c r="G226" i="20" s="1"/>
  <c r="H226" i="20" s="1"/>
  <c r="I226" i="20" s="1"/>
  <c r="J226" i="20" s="1"/>
  <c r="K226" i="20" s="1"/>
  <c r="L226" i="20" s="1"/>
  <c r="M226" i="20" s="1"/>
  <c r="N226" i="20" s="1"/>
  <c r="O226" i="20" s="1"/>
  <c r="P226" i="20" s="1"/>
  <c r="B226" i="20"/>
  <c r="D225" i="20"/>
  <c r="E225" i="20" s="1"/>
  <c r="F225" i="20" s="1"/>
  <c r="G225" i="20" s="1"/>
  <c r="H225" i="20" s="1"/>
  <c r="I225" i="20" s="1"/>
  <c r="B225" i="20"/>
  <c r="D224" i="20"/>
  <c r="E224" i="20" s="1"/>
  <c r="F224" i="20" s="1"/>
  <c r="G224" i="20" s="1"/>
  <c r="H224" i="20" s="1"/>
  <c r="B224" i="20"/>
  <c r="E223" i="20"/>
  <c r="F223" i="20" s="1"/>
  <c r="G223" i="20" s="1"/>
  <c r="H223" i="20" s="1"/>
  <c r="I223" i="20" s="1"/>
  <c r="J223" i="20" s="1"/>
  <c r="K223" i="20" s="1"/>
  <c r="L223" i="20" s="1"/>
  <c r="M223" i="20" s="1"/>
  <c r="N223" i="20" s="1"/>
  <c r="O223" i="20" s="1"/>
  <c r="P223" i="20" s="1"/>
  <c r="D223" i="20"/>
  <c r="B223" i="20"/>
  <c r="D222" i="20"/>
  <c r="E222" i="20" s="1"/>
  <c r="B222" i="20"/>
  <c r="AG220" i="20"/>
  <c r="AF220" i="20"/>
  <c r="AE220" i="20"/>
  <c r="AD220" i="20"/>
  <c r="AC220" i="20"/>
  <c r="AB220" i="20"/>
  <c r="AA220" i="20"/>
  <c r="Z220" i="20"/>
  <c r="Y220" i="20"/>
  <c r="X220" i="20"/>
  <c r="W220" i="20"/>
  <c r="V220" i="20"/>
  <c r="U220" i="20"/>
  <c r="T220" i="20"/>
  <c r="S220" i="20"/>
  <c r="R220" i="20"/>
  <c r="Q220" i="20"/>
  <c r="P220" i="20"/>
  <c r="O220" i="20"/>
  <c r="N220" i="20"/>
  <c r="M220" i="20"/>
  <c r="L220" i="20"/>
  <c r="K220" i="20"/>
  <c r="J220" i="20"/>
  <c r="I220" i="20"/>
  <c r="H220" i="20"/>
  <c r="G220" i="20"/>
  <c r="F220" i="20"/>
  <c r="E220" i="20"/>
  <c r="D220" i="20"/>
  <c r="C220" i="20"/>
  <c r="B220" i="20"/>
  <c r="AI113" i="20"/>
  <c r="AH113" i="20"/>
  <c r="AI112" i="20"/>
  <c r="AH112" i="20"/>
  <c r="AI111" i="20"/>
  <c r="AH111" i="20"/>
  <c r="AI110" i="20"/>
  <c r="AH110" i="20"/>
  <c r="AI109" i="20"/>
  <c r="AH109" i="20"/>
  <c r="AI108" i="20"/>
  <c r="AH108" i="20"/>
  <c r="AI107" i="20"/>
  <c r="AH107" i="20"/>
  <c r="AI106" i="20"/>
  <c r="AH106" i="20"/>
  <c r="AI105" i="20"/>
  <c r="AH105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D104" i="20"/>
  <c r="C104" i="20"/>
  <c r="B104" i="20"/>
  <c r="AI103" i="20"/>
  <c r="AH103" i="20"/>
  <c r="AI102" i="20"/>
  <c r="AH102" i="20"/>
  <c r="AI101" i="20"/>
  <c r="AH101" i="20"/>
  <c r="AI100" i="20"/>
  <c r="AH100" i="20"/>
  <c r="AI99" i="20"/>
  <c r="AH99" i="20"/>
  <c r="AI98" i="20"/>
  <c r="AH98" i="20"/>
  <c r="AI97" i="20"/>
  <c r="AH97" i="20"/>
  <c r="AI96" i="20"/>
  <c r="AH96" i="20"/>
  <c r="AI95" i="20"/>
  <c r="AH95" i="20"/>
  <c r="AI93" i="20"/>
  <c r="AH93" i="20"/>
  <c r="AI92" i="20"/>
  <c r="AH92" i="20"/>
  <c r="AI91" i="20"/>
  <c r="AH91" i="20"/>
  <c r="AI90" i="20"/>
  <c r="AH90" i="20"/>
  <c r="AI89" i="20"/>
  <c r="AH89" i="20"/>
  <c r="AI88" i="20"/>
  <c r="AH88" i="20"/>
  <c r="AI87" i="20"/>
  <c r="AH87" i="20"/>
  <c r="AI84" i="20"/>
  <c r="AH84" i="20"/>
  <c r="AI82" i="20"/>
  <c r="AH82" i="20"/>
  <c r="AG82" i="20"/>
  <c r="AI81" i="20"/>
  <c r="AH81" i="20"/>
  <c r="AI80" i="20"/>
  <c r="AH80" i="20"/>
  <c r="AI79" i="20"/>
  <c r="AH79" i="20"/>
  <c r="AN78" i="20"/>
  <c r="AG78" i="20"/>
  <c r="AF78" i="20"/>
  <c r="AF94" i="20" s="1"/>
  <c r="AE78" i="20"/>
  <c r="AE94" i="20" s="1"/>
  <c r="AD78" i="20"/>
  <c r="AD94" i="20" s="1"/>
  <c r="AC78" i="20"/>
  <c r="AC94" i="20" s="1"/>
  <c r="AB78" i="20"/>
  <c r="AB94" i="20" s="1"/>
  <c r="AA78" i="20"/>
  <c r="AA94" i="20" s="1"/>
  <c r="Z78" i="20"/>
  <c r="Z94" i="20" s="1"/>
  <c r="Y78" i="20"/>
  <c r="Y94" i="20" s="1"/>
  <c r="X78" i="20"/>
  <c r="X94" i="20" s="1"/>
  <c r="W78" i="20"/>
  <c r="W94" i="20" s="1"/>
  <c r="V78" i="20"/>
  <c r="V94" i="20" s="1"/>
  <c r="U78" i="20"/>
  <c r="U94" i="20" s="1"/>
  <c r="T78" i="20"/>
  <c r="T94" i="20" s="1"/>
  <c r="S78" i="20"/>
  <c r="S94" i="20" s="1"/>
  <c r="R78" i="20"/>
  <c r="R94" i="20" s="1"/>
  <c r="Q78" i="20"/>
  <c r="Q94" i="20" s="1"/>
  <c r="P78" i="20"/>
  <c r="P94" i="20" s="1"/>
  <c r="O78" i="20"/>
  <c r="O94" i="20" s="1"/>
  <c r="N78" i="20"/>
  <c r="N94" i="20" s="1"/>
  <c r="M78" i="20"/>
  <c r="M94" i="20" s="1"/>
  <c r="L78" i="20"/>
  <c r="L94" i="20" s="1"/>
  <c r="K78" i="20"/>
  <c r="K94" i="20" s="1"/>
  <c r="J78" i="20"/>
  <c r="J94" i="20" s="1"/>
  <c r="I78" i="20"/>
  <c r="I94" i="20" s="1"/>
  <c r="H78" i="20"/>
  <c r="H94" i="20" s="1"/>
  <c r="G78" i="20"/>
  <c r="G94" i="20" s="1"/>
  <c r="F78" i="20"/>
  <c r="F94" i="20" s="1"/>
  <c r="E78" i="20"/>
  <c r="E94" i="20" s="1"/>
  <c r="D78" i="20"/>
  <c r="D94" i="20" s="1"/>
  <c r="C78" i="20"/>
  <c r="C94" i="20" s="1"/>
  <c r="B78" i="20"/>
  <c r="B94" i="20" s="1"/>
  <c r="AI77" i="20"/>
  <c r="AH77" i="20"/>
  <c r="AN76" i="20"/>
  <c r="AI76" i="20"/>
  <c r="AH76" i="20"/>
  <c r="AN75" i="20"/>
  <c r="AN77" i="20" s="1"/>
  <c r="AI75" i="20"/>
  <c r="AH75" i="20"/>
  <c r="AI74" i="20"/>
  <c r="AH74" i="20"/>
  <c r="AI73" i="20"/>
  <c r="AH73" i="20"/>
  <c r="AI72" i="20"/>
  <c r="AH72" i="20"/>
  <c r="AI71" i="20"/>
  <c r="AH71" i="20"/>
  <c r="AI70" i="20"/>
  <c r="AH70" i="20"/>
  <c r="AI69" i="20"/>
  <c r="AH69" i="20"/>
  <c r="AI68" i="20"/>
  <c r="AH68" i="20"/>
  <c r="AI67" i="20"/>
  <c r="AH67" i="20"/>
  <c r="AG66" i="20"/>
  <c r="AF66" i="20"/>
  <c r="AE66" i="20"/>
  <c r="AD66" i="20"/>
  <c r="AC66" i="20"/>
  <c r="AB66" i="20"/>
  <c r="AA66" i="20"/>
  <c r="Z66" i="20"/>
  <c r="Y66" i="20"/>
  <c r="X66" i="20"/>
  <c r="W66" i="20"/>
  <c r="V66" i="20"/>
  <c r="U66" i="20"/>
  <c r="S66" i="20"/>
  <c r="R66" i="20"/>
  <c r="Q66" i="20"/>
  <c r="P66" i="20"/>
  <c r="O66" i="20"/>
  <c r="N66" i="20"/>
  <c r="L66" i="20"/>
  <c r="AI65" i="20"/>
  <c r="AH65" i="20"/>
  <c r="AI64" i="20"/>
  <c r="AH64" i="20"/>
  <c r="AI63" i="20"/>
  <c r="AH63" i="20"/>
  <c r="AF62" i="20"/>
  <c r="AE62" i="20"/>
  <c r="AD62" i="20"/>
  <c r="AC62" i="20"/>
  <c r="AB62" i="20"/>
  <c r="AA62" i="20"/>
  <c r="Z62" i="20"/>
  <c r="Y62" i="20"/>
  <c r="X62" i="20"/>
  <c r="W62" i="20"/>
  <c r="V62" i="20"/>
  <c r="U62" i="20"/>
  <c r="T62" i="20"/>
  <c r="S62" i="20"/>
  <c r="R62" i="20"/>
  <c r="Q62" i="20"/>
  <c r="P62" i="20"/>
  <c r="O62" i="20"/>
  <c r="N62" i="20"/>
  <c r="M62" i="20"/>
  <c r="L62" i="20"/>
  <c r="K62" i="20"/>
  <c r="J62" i="20"/>
  <c r="I62" i="20"/>
  <c r="H62" i="20"/>
  <c r="G62" i="20"/>
  <c r="F62" i="20"/>
  <c r="E62" i="20"/>
  <c r="D62" i="20"/>
  <c r="C62" i="20"/>
  <c r="B62" i="20"/>
  <c r="AI61" i="20"/>
  <c r="AH61" i="20"/>
  <c r="AG61" i="20"/>
  <c r="AG62" i="20" s="1"/>
  <c r="AG3" i="20" s="1"/>
  <c r="AI60" i="20"/>
  <c r="AH60" i="20"/>
  <c r="AI59" i="20"/>
  <c r="AH59" i="20"/>
  <c r="AI58" i="20"/>
  <c r="AH58" i="20"/>
  <c r="AI57" i="20"/>
  <c r="AH57" i="20"/>
  <c r="AI56" i="20"/>
  <c r="AH56" i="20"/>
  <c r="AI55" i="20"/>
  <c r="AH55" i="20"/>
  <c r="AI54" i="20"/>
  <c r="AH54" i="20"/>
  <c r="AI53" i="20"/>
  <c r="AH53" i="20"/>
  <c r="AI52" i="20"/>
  <c r="AH52" i="20"/>
  <c r="AI51" i="20"/>
  <c r="AH51" i="20"/>
  <c r="AI50" i="20"/>
  <c r="AH50" i="20"/>
  <c r="AI49" i="20"/>
  <c r="AH49" i="20"/>
  <c r="AG48" i="20"/>
  <c r="AF48" i="20"/>
  <c r="AE48" i="20"/>
  <c r="AD48" i="20"/>
  <c r="AC48" i="20"/>
  <c r="AB48" i="20"/>
  <c r="AA48" i="20"/>
  <c r="Z48" i="20"/>
  <c r="Y48" i="20"/>
  <c r="X48" i="20"/>
  <c r="W48" i="20"/>
  <c r="V48" i="20"/>
  <c r="U48" i="20"/>
  <c r="T48" i="20"/>
  <c r="S48" i="20"/>
  <c r="R48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B48" i="20"/>
  <c r="AI47" i="20"/>
  <c r="AH47" i="20"/>
  <c r="AI46" i="20"/>
  <c r="AH46" i="20"/>
  <c r="AI45" i="20"/>
  <c r="AH45" i="20"/>
  <c r="AG44" i="20"/>
  <c r="AF44" i="20"/>
  <c r="AE44" i="20"/>
  <c r="AD44" i="20"/>
  <c r="AC44" i="20"/>
  <c r="AB44" i="20"/>
  <c r="AA44" i="20"/>
  <c r="Z44" i="20"/>
  <c r="Y44" i="20"/>
  <c r="Y83" i="20" s="1"/>
  <c r="Y85" i="20" s="1"/>
  <c r="X44" i="20"/>
  <c r="W44" i="20"/>
  <c r="V44" i="20"/>
  <c r="U44" i="20"/>
  <c r="T44" i="20"/>
  <c r="S44" i="20"/>
  <c r="R44" i="20"/>
  <c r="Q44" i="20"/>
  <c r="P44" i="20"/>
  <c r="O44" i="20"/>
  <c r="N44" i="20"/>
  <c r="N83" i="20" s="1"/>
  <c r="N85" i="20" s="1"/>
  <c r="M44" i="20"/>
  <c r="L44" i="20"/>
  <c r="K44" i="20"/>
  <c r="J44" i="20"/>
  <c r="I44" i="20"/>
  <c r="H44" i="20"/>
  <c r="G44" i="20"/>
  <c r="F44" i="20"/>
  <c r="E44" i="20"/>
  <c r="D44" i="20"/>
  <c r="C44" i="20"/>
  <c r="B44" i="20"/>
  <c r="AI43" i="20"/>
  <c r="AH43" i="20"/>
  <c r="AI42" i="20"/>
  <c r="AH42" i="20"/>
  <c r="AI41" i="20"/>
  <c r="AH41" i="20"/>
  <c r="AI40" i="20"/>
  <c r="AH40" i="20"/>
  <c r="AI39" i="20"/>
  <c r="AH39" i="20"/>
  <c r="AI38" i="20"/>
  <c r="AH38" i="20"/>
  <c r="AI37" i="20"/>
  <c r="AH37" i="20"/>
  <c r="AI36" i="20"/>
  <c r="AH36" i="20"/>
  <c r="AI35" i="20"/>
  <c r="AH35" i="20"/>
  <c r="AI34" i="20"/>
  <c r="AH34" i="20"/>
  <c r="AI33" i="20"/>
  <c r="AH33" i="20"/>
  <c r="AI32" i="20"/>
  <c r="AH32" i="20"/>
  <c r="AI31" i="20"/>
  <c r="AH31" i="20"/>
  <c r="AI30" i="20"/>
  <c r="AH30" i="20"/>
  <c r="AI29" i="20"/>
  <c r="AH29" i="20"/>
  <c r="AI28" i="20"/>
  <c r="AH28" i="20"/>
  <c r="AI27" i="20"/>
  <c r="AH27" i="20"/>
  <c r="AI26" i="20"/>
  <c r="AH26" i="20"/>
  <c r="AI25" i="20"/>
  <c r="AH25" i="20"/>
  <c r="AI24" i="20"/>
  <c r="AH24" i="20"/>
  <c r="AI23" i="20"/>
  <c r="AH23" i="20"/>
  <c r="AI22" i="20"/>
  <c r="AH22" i="20"/>
  <c r="AI21" i="20"/>
  <c r="AH21" i="20"/>
  <c r="AI20" i="20"/>
  <c r="AH20" i="20"/>
  <c r="AI19" i="20"/>
  <c r="AH19" i="20"/>
  <c r="AI18" i="20"/>
  <c r="AH18" i="20"/>
  <c r="AI17" i="20"/>
  <c r="AH17" i="20"/>
  <c r="AI16" i="20"/>
  <c r="AH16" i="20"/>
  <c r="AI15" i="20"/>
  <c r="AH15" i="20"/>
  <c r="AI14" i="20"/>
  <c r="AH14" i="20"/>
  <c r="AI13" i="20"/>
  <c r="AH13" i="20"/>
  <c r="AI12" i="20"/>
  <c r="AH12" i="20"/>
  <c r="AI11" i="20"/>
  <c r="AH11" i="20"/>
  <c r="AE5" i="20"/>
  <c r="AC5" i="20"/>
  <c r="Y5" i="20"/>
  <c r="X5" i="20"/>
  <c r="U5" i="20"/>
  <c r="P5" i="20"/>
  <c r="AG4" i="20"/>
  <c r="K4" i="20"/>
  <c r="E4" i="20"/>
  <c r="H4" i="20" s="1"/>
  <c r="B4" i="20"/>
  <c r="S239" i="20" s="1"/>
  <c r="AG2" i="20"/>
  <c r="AC107" i="19"/>
  <c r="AA107" i="19"/>
  <c r="Z107" i="19"/>
  <c r="X107" i="19"/>
  <c r="W107" i="19"/>
  <c r="U107" i="19"/>
  <c r="T107" i="19"/>
  <c r="S107" i="19"/>
  <c r="AF267" i="19"/>
  <c r="AE267" i="19"/>
  <c r="AD267" i="19"/>
  <c r="AC267" i="19"/>
  <c r="AB267" i="19"/>
  <c r="AA267" i="19"/>
  <c r="Z267" i="19"/>
  <c r="Y267" i="19"/>
  <c r="X267" i="19"/>
  <c r="W267" i="19"/>
  <c r="V267" i="19"/>
  <c r="U267" i="19"/>
  <c r="T267" i="19"/>
  <c r="S267" i="19"/>
  <c r="R267" i="19"/>
  <c r="Q267" i="19"/>
  <c r="P267" i="19"/>
  <c r="O267" i="19"/>
  <c r="N267" i="19"/>
  <c r="M267" i="19"/>
  <c r="L267" i="19"/>
  <c r="K267" i="19"/>
  <c r="J267" i="19"/>
  <c r="I267" i="19"/>
  <c r="H267" i="19"/>
  <c r="G267" i="19"/>
  <c r="F267" i="19"/>
  <c r="E267" i="19"/>
  <c r="D267" i="19"/>
  <c r="C267" i="19"/>
  <c r="B267" i="19"/>
  <c r="A267" i="19"/>
  <c r="AF266" i="19"/>
  <c r="AE266" i="19"/>
  <c r="AD266" i="19"/>
  <c r="AC266" i="19"/>
  <c r="AB266" i="19"/>
  <c r="AA266" i="19"/>
  <c r="Z266" i="19"/>
  <c r="Y266" i="19"/>
  <c r="X266" i="19"/>
  <c r="W266" i="19"/>
  <c r="V266" i="19"/>
  <c r="U266" i="19"/>
  <c r="T266" i="19"/>
  <c r="S266" i="19"/>
  <c r="R266" i="19"/>
  <c r="Q266" i="19"/>
  <c r="P266" i="19"/>
  <c r="O266" i="19"/>
  <c r="N266" i="19"/>
  <c r="M266" i="19"/>
  <c r="L266" i="19"/>
  <c r="K266" i="19"/>
  <c r="J266" i="19"/>
  <c r="I266" i="19"/>
  <c r="H266" i="19"/>
  <c r="G266" i="19"/>
  <c r="F266" i="19"/>
  <c r="E266" i="19"/>
  <c r="D266" i="19"/>
  <c r="C266" i="19"/>
  <c r="B266" i="19"/>
  <c r="A266" i="19"/>
  <c r="AF265" i="19"/>
  <c r="AE265" i="19"/>
  <c r="AD265" i="19"/>
  <c r="AC265" i="19"/>
  <c r="AB265" i="19"/>
  <c r="AA265" i="19"/>
  <c r="Z265" i="19"/>
  <c r="Y265" i="19"/>
  <c r="X265" i="19"/>
  <c r="W265" i="19"/>
  <c r="V265" i="19"/>
  <c r="U265" i="19"/>
  <c r="T265" i="19"/>
  <c r="S265" i="19"/>
  <c r="R265" i="19"/>
  <c r="Q265" i="19"/>
  <c r="P265" i="19"/>
  <c r="O265" i="19"/>
  <c r="N265" i="19"/>
  <c r="M265" i="19"/>
  <c r="L265" i="19"/>
  <c r="K265" i="19"/>
  <c r="J265" i="19"/>
  <c r="I265" i="19"/>
  <c r="H265" i="19"/>
  <c r="G265" i="19"/>
  <c r="F265" i="19"/>
  <c r="E265" i="19"/>
  <c r="D265" i="19"/>
  <c r="C265" i="19"/>
  <c r="B265" i="19"/>
  <c r="A265" i="19"/>
  <c r="AF264" i="19"/>
  <c r="AE264" i="19"/>
  <c r="AD264" i="19"/>
  <c r="AC264" i="19"/>
  <c r="AB264" i="19"/>
  <c r="AA264" i="19"/>
  <c r="Z264" i="19"/>
  <c r="Y264" i="19"/>
  <c r="X264" i="19"/>
  <c r="W264" i="19"/>
  <c r="V264" i="19"/>
  <c r="U264" i="19"/>
  <c r="T264" i="19"/>
  <c r="S264" i="19"/>
  <c r="R264" i="19"/>
  <c r="Q264" i="19"/>
  <c r="P264" i="19"/>
  <c r="O264" i="19"/>
  <c r="N264" i="19"/>
  <c r="M264" i="19"/>
  <c r="L264" i="19"/>
  <c r="K264" i="19"/>
  <c r="J264" i="19"/>
  <c r="I264" i="19"/>
  <c r="H264" i="19"/>
  <c r="G264" i="19"/>
  <c r="F264" i="19"/>
  <c r="E264" i="19"/>
  <c r="D264" i="19"/>
  <c r="C264" i="19"/>
  <c r="B264" i="19"/>
  <c r="A264" i="19"/>
  <c r="AE263" i="19"/>
  <c r="AD263" i="19"/>
  <c r="AC263" i="19"/>
  <c r="AB263" i="19"/>
  <c r="AA263" i="19"/>
  <c r="Z263" i="19"/>
  <c r="Y263" i="19"/>
  <c r="X263" i="19"/>
  <c r="W263" i="19"/>
  <c r="V263" i="19"/>
  <c r="U263" i="19"/>
  <c r="T263" i="19"/>
  <c r="S263" i="19"/>
  <c r="R263" i="19"/>
  <c r="Q263" i="19"/>
  <c r="P263" i="19"/>
  <c r="B263" i="19"/>
  <c r="S238" i="19"/>
  <c r="AG228" i="19"/>
  <c r="AF228" i="19"/>
  <c r="AE228" i="19"/>
  <c r="AD228" i="19"/>
  <c r="AC228" i="19"/>
  <c r="AB228" i="19"/>
  <c r="AA228" i="19"/>
  <c r="Z228" i="19"/>
  <c r="Y228" i="19"/>
  <c r="X228" i="19"/>
  <c r="W228" i="19"/>
  <c r="V228" i="19"/>
  <c r="U228" i="19"/>
  <c r="T228" i="19"/>
  <c r="S228" i="19"/>
  <c r="R228" i="19"/>
  <c r="Q228" i="19"/>
  <c r="C228" i="19"/>
  <c r="D227" i="19"/>
  <c r="E227" i="19" s="1"/>
  <c r="D263" i="19" s="1"/>
  <c r="B227" i="19"/>
  <c r="AF263" i="19" s="1"/>
  <c r="E226" i="19"/>
  <c r="F226" i="19" s="1"/>
  <c r="G226" i="19" s="1"/>
  <c r="H226" i="19" s="1"/>
  <c r="I226" i="19" s="1"/>
  <c r="J226" i="19" s="1"/>
  <c r="K226" i="19" s="1"/>
  <c r="L226" i="19" s="1"/>
  <c r="M226" i="19" s="1"/>
  <c r="N226" i="19" s="1"/>
  <c r="O226" i="19" s="1"/>
  <c r="P226" i="19" s="1"/>
  <c r="D226" i="19"/>
  <c r="B226" i="19"/>
  <c r="D225" i="19"/>
  <c r="E225" i="19" s="1"/>
  <c r="F225" i="19" s="1"/>
  <c r="G225" i="19" s="1"/>
  <c r="H225" i="19" s="1"/>
  <c r="I225" i="19" s="1"/>
  <c r="B225" i="19"/>
  <c r="E224" i="19"/>
  <c r="F224" i="19" s="1"/>
  <c r="G224" i="19" s="1"/>
  <c r="H224" i="19" s="1"/>
  <c r="D224" i="19"/>
  <c r="B224" i="19"/>
  <c r="E223" i="19"/>
  <c r="F223" i="19" s="1"/>
  <c r="G223" i="19" s="1"/>
  <c r="H223" i="19" s="1"/>
  <c r="I223" i="19" s="1"/>
  <c r="J223" i="19" s="1"/>
  <c r="K223" i="19" s="1"/>
  <c r="L223" i="19" s="1"/>
  <c r="M223" i="19" s="1"/>
  <c r="N223" i="19" s="1"/>
  <c r="O223" i="19" s="1"/>
  <c r="P223" i="19" s="1"/>
  <c r="D223" i="19"/>
  <c r="B223" i="19"/>
  <c r="E222" i="19"/>
  <c r="F222" i="19" s="1"/>
  <c r="D222" i="19"/>
  <c r="D228" i="19" s="1"/>
  <c r="B222" i="19"/>
  <c r="B228" i="19" s="1"/>
  <c r="AG220" i="19"/>
  <c r="AF220" i="19"/>
  <c r="AE220" i="19"/>
  <c r="AD220" i="19"/>
  <c r="AC220" i="19"/>
  <c r="AB220" i="19"/>
  <c r="AA220" i="19"/>
  <c r="Z220" i="19"/>
  <c r="Y220" i="19"/>
  <c r="X220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AI113" i="19"/>
  <c r="AH113" i="19"/>
  <c r="AI112" i="19"/>
  <c r="AH112" i="19"/>
  <c r="AI111" i="19"/>
  <c r="AH111" i="19"/>
  <c r="AI110" i="19"/>
  <c r="AH110" i="19"/>
  <c r="AI109" i="19"/>
  <c r="AH109" i="19"/>
  <c r="AI108" i="19"/>
  <c r="AH108" i="19"/>
  <c r="AI107" i="19"/>
  <c r="AI106" i="19"/>
  <c r="AH106" i="19"/>
  <c r="AI105" i="19"/>
  <c r="AH105" i="19"/>
  <c r="AF104" i="19"/>
  <c r="AE104" i="19"/>
  <c r="AD104" i="19"/>
  <c r="AC104" i="19"/>
  <c r="AB104" i="19"/>
  <c r="AA104" i="19"/>
  <c r="Z104" i="19"/>
  <c r="X104" i="19"/>
  <c r="W104" i="19"/>
  <c r="V104" i="19"/>
  <c r="U104" i="19"/>
  <c r="T104" i="19"/>
  <c r="S104" i="19"/>
  <c r="R104" i="19"/>
  <c r="Q104" i="19"/>
  <c r="D104" i="19"/>
  <c r="C104" i="19"/>
  <c r="B104" i="19"/>
  <c r="AI103" i="19"/>
  <c r="AH103" i="19"/>
  <c r="AI102" i="19"/>
  <c r="AH102" i="19"/>
  <c r="AI101" i="19"/>
  <c r="AH101" i="19"/>
  <c r="AI100" i="19"/>
  <c r="AH100" i="19"/>
  <c r="AI99" i="19"/>
  <c r="AH99" i="19"/>
  <c r="AI98" i="19"/>
  <c r="AH98" i="19"/>
  <c r="AI97" i="19"/>
  <c r="AH97" i="19"/>
  <c r="AI96" i="19"/>
  <c r="AH96" i="19"/>
  <c r="AI95" i="19"/>
  <c r="AH95" i="19"/>
  <c r="AI93" i="19"/>
  <c r="AH93" i="19"/>
  <c r="AI92" i="19"/>
  <c r="AH92" i="19"/>
  <c r="AI91" i="19"/>
  <c r="AH91" i="19"/>
  <c r="AI90" i="19"/>
  <c r="AH90" i="19"/>
  <c r="AI89" i="19"/>
  <c r="AH89" i="19"/>
  <c r="AI88" i="19"/>
  <c r="AH88" i="19"/>
  <c r="AI87" i="19"/>
  <c r="AH87" i="19"/>
  <c r="AI84" i="19"/>
  <c r="AH84" i="19"/>
  <c r="AI82" i="19"/>
  <c r="AH82" i="19"/>
  <c r="AG82" i="19"/>
  <c r="AI81" i="19"/>
  <c r="AH81" i="19"/>
  <c r="AI80" i="19"/>
  <c r="AH80" i="19"/>
  <c r="AI79" i="19"/>
  <c r="AH79" i="19"/>
  <c r="AN78" i="19"/>
  <c r="AG78" i="19"/>
  <c r="AF78" i="19"/>
  <c r="AF94" i="19" s="1"/>
  <c r="AE78" i="19"/>
  <c r="AE94" i="19" s="1"/>
  <c r="AD78" i="19"/>
  <c r="AD94" i="19" s="1"/>
  <c r="AC78" i="19"/>
  <c r="AC94" i="19" s="1"/>
  <c r="AB78" i="19"/>
  <c r="AB94" i="19" s="1"/>
  <c r="AA78" i="19"/>
  <c r="AA94" i="19" s="1"/>
  <c r="Z78" i="19"/>
  <c r="Z94" i="19" s="1"/>
  <c r="X78" i="19"/>
  <c r="X94" i="19" s="1"/>
  <c r="W78" i="19"/>
  <c r="W94" i="19" s="1"/>
  <c r="V78" i="19"/>
  <c r="V94" i="19" s="1"/>
  <c r="U78" i="19"/>
  <c r="U94" i="19" s="1"/>
  <c r="T78" i="19"/>
  <c r="T94" i="19" s="1"/>
  <c r="S78" i="19"/>
  <c r="S94" i="19" s="1"/>
  <c r="R78" i="19"/>
  <c r="R94" i="19" s="1"/>
  <c r="Q78" i="19"/>
  <c r="Q94" i="19" s="1"/>
  <c r="P78" i="19"/>
  <c r="P94" i="19" s="1"/>
  <c r="O78" i="19"/>
  <c r="O94" i="19" s="1"/>
  <c r="N78" i="19"/>
  <c r="N94" i="19" s="1"/>
  <c r="M78" i="19"/>
  <c r="M94" i="19" s="1"/>
  <c r="L78" i="19"/>
  <c r="L94" i="19" s="1"/>
  <c r="K78" i="19"/>
  <c r="K94" i="19" s="1"/>
  <c r="J78" i="19"/>
  <c r="J94" i="19" s="1"/>
  <c r="I78" i="19"/>
  <c r="I94" i="19" s="1"/>
  <c r="H78" i="19"/>
  <c r="H94" i="19" s="1"/>
  <c r="G78" i="19"/>
  <c r="G94" i="19" s="1"/>
  <c r="F78" i="19"/>
  <c r="F94" i="19" s="1"/>
  <c r="E78" i="19"/>
  <c r="E94" i="19" s="1"/>
  <c r="D78" i="19"/>
  <c r="D94" i="19" s="1"/>
  <c r="C78" i="19"/>
  <c r="C94" i="19" s="1"/>
  <c r="B78" i="19"/>
  <c r="B94" i="19" s="1"/>
  <c r="AI77" i="19"/>
  <c r="AH77" i="19"/>
  <c r="AI76" i="19"/>
  <c r="AH76" i="19"/>
  <c r="AI75" i="19"/>
  <c r="AH75" i="19"/>
  <c r="AI74" i="19"/>
  <c r="AH74" i="19"/>
  <c r="AI73" i="19"/>
  <c r="AH73" i="19"/>
  <c r="AI72" i="19"/>
  <c r="AH72" i="19"/>
  <c r="AI71" i="19"/>
  <c r="AH71" i="19"/>
  <c r="AI70" i="19"/>
  <c r="AH70" i="19"/>
  <c r="AI69" i="19"/>
  <c r="AH69" i="19"/>
  <c r="AI68" i="19"/>
  <c r="AH68" i="19"/>
  <c r="AI67" i="19"/>
  <c r="AH67" i="19"/>
  <c r="AG66" i="19"/>
  <c r="AF66" i="19"/>
  <c r="AE66" i="19"/>
  <c r="AD66" i="19"/>
  <c r="AC66" i="19"/>
  <c r="AB66" i="19"/>
  <c r="Z66" i="19"/>
  <c r="X66" i="19"/>
  <c r="V66" i="19"/>
  <c r="U66" i="19"/>
  <c r="T66" i="19"/>
  <c r="S66" i="19"/>
  <c r="R66" i="19"/>
  <c r="Q66" i="19"/>
  <c r="P66" i="19"/>
  <c r="O66" i="19"/>
  <c r="N66" i="19"/>
  <c r="M66" i="19"/>
  <c r="L66" i="19"/>
  <c r="AI65" i="19"/>
  <c r="AH65" i="19"/>
  <c r="AI64" i="19"/>
  <c r="AH64" i="19"/>
  <c r="AI63" i="19"/>
  <c r="AH63" i="19"/>
  <c r="AF62" i="19"/>
  <c r="AE62" i="19"/>
  <c r="AD62" i="19"/>
  <c r="AC62" i="19"/>
  <c r="AB62" i="19"/>
  <c r="AA62" i="19"/>
  <c r="Z62" i="19"/>
  <c r="X62" i="19"/>
  <c r="W62" i="19"/>
  <c r="V62" i="19"/>
  <c r="U62" i="19"/>
  <c r="T62" i="19"/>
  <c r="S62" i="19"/>
  <c r="R62" i="19"/>
  <c r="Q62" i="19"/>
  <c r="P62" i="19"/>
  <c r="O62" i="19"/>
  <c r="N62" i="19"/>
  <c r="M62" i="19"/>
  <c r="L62" i="19"/>
  <c r="K62" i="19"/>
  <c r="J62" i="19"/>
  <c r="I62" i="19"/>
  <c r="H62" i="19"/>
  <c r="G62" i="19"/>
  <c r="F62" i="19"/>
  <c r="E62" i="19"/>
  <c r="D62" i="19"/>
  <c r="C62" i="19"/>
  <c r="B62" i="19"/>
  <c r="AI61" i="19"/>
  <c r="AH61" i="19"/>
  <c r="AG61" i="19"/>
  <c r="AG62" i="19" s="1"/>
  <c r="AG3" i="19" s="1"/>
  <c r="AI60" i="19"/>
  <c r="AH60" i="19"/>
  <c r="AI59" i="19"/>
  <c r="AH59" i="19"/>
  <c r="AI58" i="19"/>
  <c r="AH58" i="19"/>
  <c r="AI57" i="19"/>
  <c r="AH57" i="19"/>
  <c r="AI56" i="19"/>
  <c r="AH56" i="19"/>
  <c r="AI55" i="19"/>
  <c r="AH55" i="19"/>
  <c r="AI54" i="19"/>
  <c r="AH54" i="19"/>
  <c r="AI53" i="19"/>
  <c r="AH53" i="19"/>
  <c r="AI52" i="19"/>
  <c r="AH52" i="19"/>
  <c r="AI51" i="19"/>
  <c r="AH51" i="19"/>
  <c r="AI50" i="19"/>
  <c r="AH50" i="19"/>
  <c r="AI49" i="19"/>
  <c r="AH49" i="19"/>
  <c r="AG48" i="19"/>
  <c r="AF48" i="19"/>
  <c r="AE48" i="19"/>
  <c r="AD48" i="19"/>
  <c r="AC48" i="19"/>
  <c r="AB48" i="19"/>
  <c r="AA48" i="19"/>
  <c r="Z48" i="19"/>
  <c r="X48" i="19"/>
  <c r="W48" i="19"/>
  <c r="V48" i="19"/>
  <c r="U48" i="19"/>
  <c r="T48" i="19"/>
  <c r="S48" i="19"/>
  <c r="R48" i="19"/>
  <c r="Q48" i="19"/>
  <c r="P48" i="19"/>
  <c r="O48" i="19"/>
  <c r="N48" i="19"/>
  <c r="M48" i="19"/>
  <c r="L48" i="19"/>
  <c r="K48" i="19"/>
  <c r="J48" i="19"/>
  <c r="I48" i="19"/>
  <c r="H48" i="19"/>
  <c r="G48" i="19"/>
  <c r="F48" i="19"/>
  <c r="E48" i="19"/>
  <c r="D48" i="19"/>
  <c r="C48" i="19"/>
  <c r="B48" i="19"/>
  <c r="AI47" i="19"/>
  <c r="AH47" i="19"/>
  <c r="AI46" i="19"/>
  <c r="AH46" i="19"/>
  <c r="AI45" i="19"/>
  <c r="AH45" i="19"/>
  <c r="AG44" i="19"/>
  <c r="AF44" i="19"/>
  <c r="AE44" i="19"/>
  <c r="AD44" i="19"/>
  <c r="AC44" i="19"/>
  <c r="AB44" i="19"/>
  <c r="AA44" i="19"/>
  <c r="Z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AI43" i="19"/>
  <c r="AH43" i="19"/>
  <c r="AI42" i="19"/>
  <c r="AH42" i="19"/>
  <c r="AI41" i="19"/>
  <c r="AH41" i="19"/>
  <c r="AI40" i="19"/>
  <c r="AH40" i="19"/>
  <c r="AI39" i="19"/>
  <c r="AH39" i="19"/>
  <c r="AI38" i="19"/>
  <c r="AH38" i="19"/>
  <c r="AI37" i="19"/>
  <c r="AH37" i="19"/>
  <c r="AI36" i="19"/>
  <c r="AH36" i="19"/>
  <c r="AI35" i="19"/>
  <c r="AH35" i="19"/>
  <c r="AI34" i="19"/>
  <c r="AH34" i="19"/>
  <c r="AI33" i="19"/>
  <c r="AH33" i="19"/>
  <c r="AI32" i="19"/>
  <c r="AH32" i="19"/>
  <c r="AI31" i="19"/>
  <c r="AH31" i="19"/>
  <c r="AI30" i="19"/>
  <c r="AH30" i="19"/>
  <c r="AI29" i="19"/>
  <c r="AH29" i="19"/>
  <c r="AI28" i="19"/>
  <c r="AH28" i="19"/>
  <c r="AI27" i="19"/>
  <c r="AH27" i="19"/>
  <c r="AI26" i="19"/>
  <c r="AH26" i="19"/>
  <c r="AI25" i="19"/>
  <c r="AH25" i="19"/>
  <c r="AI24" i="19"/>
  <c r="AH24" i="19"/>
  <c r="AI23" i="19"/>
  <c r="AH23" i="19"/>
  <c r="AI22" i="19"/>
  <c r="AH22" i="19"/>
  <c r="AI21" i="19"/>
  <c r="AH21" i="19"/>
  <c r="AI20" i="19"/>
  <c r="AH20" i="19"/>
  <c r="AI19" i="19"/>
  <c r="AH19" i="19"/>
  <c r="AI18" i="19"/>
  <c r="AH18" i="19"/>
  <c r="AI17" i="19"/>
  <c r="AH17" i="19"/>
  <c r="AI16" i="19"/>
  <c r="AH16" i="19"/>
  <c r="AI15" i="19"/>
  <c r="AH15" i="19"/>
  <c r="AI14" i="19"/>
  <c r="AH14" i="19"/>
  <c r="AI13" i="19"/>
  <c r="AH13" i="19"/>
  <c r="AI12" i="19"/>
  <c r="AH12" i="19"/>
  <c r="AI11" i="19"/>
  <c r="AH11" i="19"/>
  <c r="Y5" i="19"/>
  <c r="X5" i="19"/>
  <c r="W5" i="19"/>
  <c r="N5" i="19"/>
  <c r="AG4" i="19"/>
  <c r="K4" i="19"/>
  <c r="E4" i="19"/>
  <c r="H4" i="19" s="1"/>
  <c r="B4" i="19"/>
  <c r="S239" i="19" s="1"/>
  <c r="AG2" i="19"/>
  <c r="AA107" i="18"/>
  <c r="Z107" i="18"/>
  <c r="X107" i="18"/>
  <c r="W107" i="18"/>
  <c r="V107" i="18"/>
  <c r="U107" i="18"/>
  <c r="T107" i="18"/>
  <c r="AG6" i="20" l="1"/>
  <c r="C263" i="19"/>
  <c r="C263" i="20"/>
  <c r="AG85" i="19"/>
  <c r="AH107" i="19"/>
  <c r="AG6" i="19"/>
  <c r="E104" i="19"/>
  <c r="AG83" i="19"/>
  <c r="B228" i="20"/>
  <c r="H223" i="23"/>
  <c r="G228" i="23"/>
  <c r="F263" i="23"/>
  <c r="H227" i="23"/>
  <c r="G104" i="23"/>
  <c r="J222" i="23"/>
  <c r="AF83" i="20"/>
  <c r="AF85" i="20" s="1"/>
  <c r="AD5" i="20"/>
  <c r="AE83" i="20"/>
  <c r="AE85" i="20" s="1"/>
  <c r="AD83" i="20"/>
  <c r="AD85" i="20" s="1"/>
  <c r="AB5" i="20"/>
  <c r="AC83" i="20"/>
  <c r="AC85" i="20" s="1"/>
  <c r="AC7" i="20" s="1"/>
  <c r="AA5" i="20"/>
  <c r="AB83" i="20"/>
  <c r="AB85" i="20" s="1"/>
  <c r="AB86" i="20" s="1"/>
  <c r="Z5" i="20"/>
  <c r="AA83" i="20"/>
  <c r="AA85" i="20" s="1"/>
  <c r="Z83" i="20"/>
  <c r="Z85" i="20" s="1"/>
  <c r="W5" i="20"/>
  <c r="X83" i="20"/>
  <c r="X85" i="20" s="1"/>
  <c r="V5" i="20"/>
  <c r="W83" i="20"/>
  <c r="W85" i="20" s="1"/>
  <c r="AO242" i="20" s="1"/>
  <c r="V83" i="20"/>
  <c r="V85" i="20" s="1"/>
  <c r="U83" i="20"/>
  <c r="U85" i="20" s="1"/>
  <c r="T5" i="20"/>
  <c r="S5" i="20"/>
  <c r="T83" i="20"/>
  <c r="T85" i="20" s="1"/>
  <c r="S83" i="20"/>
  <c r="S85" i="20" s="1"/>
  <c r="S7" i="20" s="1"/>
  <c r="Q5" i="20"/>
  <c r="R5" i="20"/>
  <c r="R83" i="20"/>
  <c r="R85" i="20" s="1"/>
  <c r="R7" i="20" s="1"/>
  <c r="Q83" i="20"/>
  <c r="Q85" i="20" s="1"/>
  <c r="O5" i="20"/>
  <c r="P83" i="20"/>
  <c r="P85" i="20" s="1"/>
  <c r="N5" i="20"/>
  <c r="AI66" i="20"/>
  <c r="O83" i="20"/>
  <c r="O85" i="20" s="1"/>
  <c r="M5" i="20"/>
  <c r="L5" i="20"/>
  <c r="M83" i="20"/>
  <c r="M85" i="20" s="1"/>
  <c r="M86" i="20" s="1"/>
  <c r="K5" i="20"/>
  <c r="L83" i="20"/>
  <c r="L85" i="20" s="1"/>
  <c r="L7" i="20" s="1"/>
  <c r="J5" i="20"/>
  <c r="K83" i="20"/>
  <c r="K85" i="20" s="1"/>
  <c r="K7" i="20" s="1"/>
  <c r="I5" i="20"/>
  <c r="J83" i="20"/>
  <c r="J85" i="20" s="1"/>
  <c r="J86" i="20" s="1"/>
  <c r="H5" i="20"/>
  <c r="I83" i="20"/>
  <c r="I85" i="20" s="1"/>
  <c r="I86" i="20" s="1"/>
  <c r="G5" i="20"/>
  <c r="H83" i="20"/>
  <c r="H85" i="20" s="1"/>
  <c r="Z242" i="20" s="1"/>
  <c r="F5" i="20"/>
  <c r="G83" i="20"/>
  <c r="G85" i="20" s="1"/>
  <c r="E5" i="20"/>
  <c r="F83" i="20"/>
  <c r="F85" i="20" s="1"/>
  <c r="F86" i="20" s="1"/>
  <c r="D5" i="20"/>
  <c r="D83" i="20"/>
  <c r="D85" i="20" s="1"/>
  <c r="V242" i="20" s="1"/>
  <c r="E83" i="20"/>
  <c r="E85" i="20" s="1"/>
  <c r="E7" i="20" s="1"/>
  <c r="C5" i="20"/>
  <c r="B5" i="20"/>
  <c r="AI62" i="20"/>
  <c r="AI48" i="20"/>
  <c r="C83" i="20"/>
  <c r="C85" i="20" s="1"/>
  <c r="C7" i="20" s="1"/>
  <c r="B83" i="20"/>
  <c r="AF5" i="20"/>
  <c r="AT242" i="20"/>
  <c r="E86" i="20"/>
  <c r="U7" i="20"/>
  <c r="AM242" i="20"/>
  <c r="U86" i="20"/>
  <c r="AG85" i="20"/>
  <c r="T86" i="20"/>
  <c r="T7" i="20"/>
  <c r="AL242" i="20"/>
  <c r="AF242" i="20"/>
  <c r="N86" i="20"/>
  <c r="N7" i="20"/>
  <c r="AN242" i="20"/>
  <c r="V86" i="20"/>
  <c r="V7" i="20"/>
  <c r="AV242" i="20"/>
  <c r="AD86" i="20"/>
  <c r="AD7" i="20"/>
  <c r="AI94" i="20"/>
  <c r="AH94" i="20"/>
  <c r="AG242" i="20"/>
  <c r="O86" i="20"/>
  <c r="O7" i="20"/>
  <c r="AW242" i="20"/>
  <c r="AE86" i="20"/>
  <c r="AE7" i="20"/>
  <c r="H86" i="20"/>
  <c r="H7" i="20"/>
  <c r="P86" i="20"/>
  <c r="P7" i="20"/>
  <c r="AH242" i="20"/>
  <c r="X86" i="20"/>
  <c r="X7" i="20"/>
  <c r="AP242" i="20"/>
  <c r="AF86" i="20"/>
  <c r="AF7" i="20"/>
  <c r="AX242" i="20"/>
  <c r="F222" i="20"/>
  <c r="E104" i="20"/>
  <c r="E228" i="20"/>
  <c r="J225" i="20"/>
  <c r="K225" i="20" s="1"/>
  <c r="L225" i="20" s="1"/>
  <c r="M225" i="20" s="1"/>
  <c r="N225" i="20" s="1"/>
  <c r="O225" i="20" s="1"/>
  <c r="P225" i="20" s="1"/>
  <c r="AA242" i="20"/>
  <c r="Q86" i="20"/>
  <c r="Q7" i="20"/>
  <c r="AI242" i="20"/>
  <c r="Y86" i="20"/>
  <c r="Y7" i="20"/>
  <c r="AQ242" i="20"/>
  <c r="AG83" i="20"/>
  <c r="B85" i="20"/>
  <c r="AB242" i="20"/>
  <c r="R86" i="20"/>
  <c r="Z86" i="20"/>
  <c r="Z7" i="20"/>
  <c r="AR242" i="20"/>
  <c r="K86" i="20"/>
  <c r="AA86" i="20"/>
  <c r="AA7" i="20"/>
  <c r="AS242" i="20"/>
  <c r="AH66" i="20"/>
  <c r="D239" i="20"/>
  <c r="AH62" i="20"/>
  <c r="F227" i="20"/>
  <c r="AH78" i="20"/>
  <c r="AI78" i="20"/>
  <c r="AH44" i="20"/>
  <c r="AH48" i="20"/>
  <c r="AI44" i="20"/>
  <c r="AE5" i="19"/>
  <c r="AF83" i="19"/>
  <c r="AF85" i="19" s="1"/>
  <c r="AD5" i="19"/>
  <c r="AE83" i="19"/>
  <c r="AE85" i="19" s="1"/>
  <c r="AW242" i="19" s="1"/>
  <c r="AC5" i="19"/>
  <c r="AD83" i="19"/>
  <c r="AD85" i="19" s="1"/>
  <c r="AB5" i="19"/>
  <c r="AC83" i="19"/>
  <c r="AC85" i="19" s="1"/>
  <c r="AA5" i="19"/>
  <c r="AB83" i="19"/>
  <c r="AB85" i="19" s="1"/>
  <c r="AB86" i="19" s="1"/>
  <c r="Z5" i="19"/>
  <c r="AA83" i="19"/>
  <c r="AA85" i="19" s="1"/>
  <c r="AA86" i="19" s="1"/>
  <c r="Z83" i="19"/>
  <c r="Z85" i="19" s="1"/>
  <c r="X83" i="19"/>
  <c r="X85" i="19" s="1"/>
  <c r="V5" i="19"/>
  <c r="W83" i="19"/>
  <c r="W85" i="19" s="1"/>
  <c r="U5" i="19"/>
  <c r="V83" i="19"/>
  <c r="V85" i="19" s="1"/>
  <c r="V86" i="19" s="1"/>
  <c r="T5" i="19"/>
  <c r="U83" i="19"/>
  <c r="U85" i="19" s="1"/>
  <c r="AM242" i="19" s="1"/>
  <c r="S5" i="19"/>
  <c r="T83" i="19"/>
  <c r="T85" i="19" s="1"/>
  <c r="R5" i="19"/>
  <c r="S83" i="19"/>
  <c r="S85" i="19" s="1"/>
  <c r="Q5" i="19"/>
  <c r="P5" i="19"/>
  <c r="R83" i="19"/>
  <c r="R85" i="19" s="1"/>
  <c r="Q83" i="19"/>
  <c r="Q85" i="19" s="1"/>
  <c r="Q86" i="19" s="1"/>
  <c r="O5" i="19"/>
  <c r="P83" i="19"/>
  <c r="P85" i="19" s="1"/>
  <c r="O83" i="19"/>
  <c r="O85" i="19" s="1"/>
  <c r="M5" i="19"/>
  <c r="N83" i="19"/>
  <c r="N85" i="19" s="1"/>
  <c r="AH66" i="19"/>
  <c r="L5" i="19"/>
  <c r="M83" i="19"/>
  <c r="M85" i="19" s="1"/>
  <c r="AE242" i="19" s="1"/>
  <c r="K5" i="19"/>
  <c r="AI66" i="19"/>
  <c r="L83" i="19"/>
  <c r="L85" i="19" s="1"/>
  <c r="AD242" i="19" s="1"/>
  <c r="J5" i="19"/>
  <c r="H5" i="19"/>
  <c r="G5" i="19"/>
  <c r="F5" i="19"/>
  <c r="I5" i="19"/>
  <c r="J83" i="19"/>
  <c r="J85" i="19" s="1"/>
  <c r="J86" i="19" s="1"/>
  <c r="E5" i="19"/>
  <c r="F83" i="19"/>
  <c r="F85" i="19" s="1"/>
  <c r="F86" i="19" s="1"/>
  <c r="G83" i="19"/>
  <c r="G85" i="19" s="1"/>
  <c r="G86" i="19" s="1"/>
  <c r="I83" i="19"/>
  <c r="I85" i="19" s="1"/>
  <c r="I86" i="19" s="1"/>
  <c r="D5" i="19"/>
  <c r="H83" i="19"/>
  <c r="H85" i="19" s="1"/>
  <c r="H7" i="19" s="1"/>
  <c r="K83" i="19"/>
  <c r="K85" i="19" s="1"/>
  <c r="AI62" i="19"/>
  <c r="E83" i="19"/>
  <c r="E85" i="19" s="1"/>
  <c r="W242" i="19" s="1"/>
  <c r="D83" i="19"/>
  <c r="D85" i="19" s="1"/>
  <c r="D7" i="19" s="1"/>
  <c r="C5" i="19"/>
  <c r="B5" i="19"/>
  <c r="AH62" i="19"/>
  <c r="AI48" i="19"/>
  <c r="C83" i="19"/>
  <c r="C85" i="19" s="1"/>
  <c r="U242" i="19" s="1"/>
  <c r="AF5" i="19"/>
  <c r="B83" i="19"/>
  <c r="AN242" i="19"/>
  <c r="V7" i="19"/>
  <c r="D86" i="19"/>
  <c r="L86" i="19"/>
  <c r="T86" i="19"/>
  <c r="T7" i="19"/>
  <c r="AL242" i="19"/>
  <c r="AB7" i="19"/>
  <c r="AT242" i="19"/>
  <c r="E7" i="19"/>
  <c r="M7" i="19"/>
  <c r="AC7" i="19"/>
  <c r="AU242" i="19"/>
  <c r="AC86" i="19"/>
  <c r="AV242" i="19"/>
  <c r="AD86" i="19"/>
  <c r="AD7" i="19"/>
  <c r="AO242" i="19"/>
  <c r="W86" i="19"/>
  <c r="W7" i="19"/>
  <c r="AI94" i="19"/>
  <c r="AH94" i="19"/>
  <c r="P86" i="19"/>
  <c r="P7" i="19"/>
  <c r="AH242" i="19"/>
  <c r="X86" i="19"/>
  <c r="X7" i="19"/>
  <c r="AP242" i="19"/>
  <c r="AF86" i="19"/>
  <c r="AF7" i="19"/>
  <c r="AX242" i="19"/>
  <c r="AG242" i="19"/>
  <c r="O86" i="19"/>
  <c r="O7" i="19"/>
  <c r="Y7" i="19"/>
  <c r="AQ242" i="19"/>
  <c r="AF242" i="19"/>
  <c r="N86" i="19"/>
  <c r="N7" i="19"/>
  <c r="G222" i="19"/>
  <c r="R86" i="19"/>
  <c r="R7" i="19"/>
  <c r="AJ242" i="19"/>
  <c r="Z86" i="19"/>
  <c r="Z7" i="19"/>
  <c r="AR242" i="19"/>
  <c r="J225" i="19"/>
  <c r="K225" i="19" s="1"/>
  <c r="L225" i="19" s="1"/>
  <c r="M225" i="19" s="1"/>
  <c r="N225" i="19" s="1"/>
  <c r="O225" i="19" s="1"/>
  <c r="P225" i="19" s="1"/>
  <c r="S86" i="19"/>
  <c r="S7" i="19"/>
  <c r="AK242" i="19"/>
  <c r="E228" i="19"/>
  <c r="D239" i="19"/>
  <c r="F227" i="19"/>
  <c r="F104" i="19" s="1"/>
  <c r="AH78" i="19"/>
  <c r="AI78" i="19"/>
  <c r="AH44" i="19"/>
  <c r="AH48" i="19"/>
  <c r="AI44" i="19"/>
  <c r="F228" i="19" l="1"/>
  <c r="U7" i="19"/>
  <c r="X242" i="20"/>
  <c r="C86" i="19"/>
  <c r="V242" i="19"/>
  <c r="C86" i="20"/>
  <c r="G104" i="19"/>
  <c r="AE7" i="19"/>
  <c r="AE86" i="19"/>
  <c r="AS242" i="19"/>
  <c r="AA7" i="19"/>
  <c r="AI242" i="19"/>
  <c r="W7" i="20"/>
  <c r="AC86" i="20"/>
  <c r="AB7" i="20"/>
  <c r="U86" i="19"/>
  <c r="AJ242" i="20"/>
  <c r="W86" i="20"/>
  <c r="F7" i="20"/>
  <c r="AU242" i="20"/>
  <c r="Q7" i="19"/>
  <c r="K222" i="23"/>
  <c r="G263" i="23"/>
  <c r="I227" i="23"/>
  <c r="H104" i="23"/>
  <c r="I223" i="23"/>
  <c r="H228" i="23"/>
  <c r="S86" i="20"/>
  <c r="AK242" i="20"/>
  <c r="AE242" i="20"/>
  <c r="M7" i="20"/>
  <c r="L86" i="20"/>
  <c r="AD242" i="20"/>
  <c r="AC242" i="20"/>
  <c r="J7" i="20"/>
  <c r="I7" i="20"/>
  <c r="B237" i="20"/>
  <c r="C237" i="20"/>
  <c r="Y242" i="20"/>
  <c r="G7" i="20"/>
  <c r="G86" i="20"/>
  <c r="D7" i="20"/>
  <c r="D86" i="20"/>
  <c r="W242" i="20"/>
  <c r="U242" i="20"/>
  <c r="AI83" i="20"/>
  <c r="AH83" i="20"/>
  <c r="B86" i="20"/>
  <c r="AI85" i="20"/>
  <c r="B7" i="20"/>
  <c r="AH85" i="20"/>
  <c r="T242" i="20"/>
  <c r="G222" i="20"/>
  <c r="F104" i="20"/>
  <c r="F228" i="20"/>
  <c r="E263" i="20"/>
  <c r="G227" i="20"/>
  <c r="M86" i="19"/>
  <c r="L7" i="19"/>
  <c r="AB242" i="19"/>
  <c r="J7" i="19"/>
  <c r="AA242" i="19"/>
  <c r="I7" i="19"/>
  <c r="Z242" i="19"/>
  <c r="H86" i="19"/>
  <c r="F7" i="19"/>
  <c r="X242" i="19"/>
  <c r="G7" i="19"/>
  <c r="C237" i="19"/>
  <c r="Y242" i="19"/>
  <c r="AC242" i="19"/>
  <c r="B237" i="19"/>
  <c r="K7" i="19"/>
  <c r="K86" i="19"/>
  <c r="AH83" i="19"/>
  <c r="E86" i="19"/>
  <c r="B85" i="19"/>
  <c r="AI85" i="19" s="1"/>
  <c r="AI83" i="19"/>
  <c r="C7" i="19"/>
  <c r="E263" i="19"/>
  <c r="G227" i="19"/>
  <c r="H222" i="19"/>
  <c r="G228" i="19"/>
  <c r="B7" i="19"/>
  <c r="AH85" i="19"/>
  <c r="T242" i="19"/>
  <c r="B86" i="19" l="1"/>
  <c r="A7" i="20"/>
  <c r="J223" i="23"/>
  <c r="H263" i="23"/>
  <c r="J227" i="23"/>
  <c r="I104" i="23"/>
  <c r="L222" i="23"/>
  <c r="K6" i="20"/>
  <c r="H222" i="20"/>
  <c r="G104" i="20"/>
  <c r="G228" i="20"/>
  <c r="F263" i="20"/>
  <c r="H227" i="20"/>
  <c r="AI86" i="20"/>
  <c r="AH86" i="20"/>
  <c r="K6" i="19"/>
  <c r="A7" i="19"/>
  <c r="AI86" i="19"/>
  <c r="AH86" i="19"/>
  <c r="I222" i="19"/>
  <c r="F263" i="19"/>
  <c r="H227" i="19"/>
  <c r="H104" i="19" s="1"/>
  <c r="H228" i="19" l="1"/>
  <c r="K227" i="23"/>
  <c r="I263" i="23"/>
  <c r="J104" i="23"/>
  <c r="M222" i="23"/>
  <c r="K223" i="23"/>
  <c r="G263" i="20"/>
  <c r="I227" i="20"/>
  <c r="I222" i="20"/>
  <c r="H104" i="20"/>
  <c r="H228" i="20"/>
  <c r="J222" i="19"/>
  <c r="G263" i="19"/>
  <c r="I227" i="19"/>
  <c r="L223" i="23" l="1"/>
  <c r="N222" i="23"/>
  <c r="L227" i="23"/>
  <c r="J263" i="23"/>
  <c r="K104" i="23"/>
  <c r="I104" i="20"/>
  <c r="J222" i="20"/>
  <c r="H263" i="20"/>
  <c r="J227" i="20"/>
  <c r="H263" i="19"/>
  <c r="J227" i="19"/>
  <c r="J104" i="19"/>
  <c r="K222" i="19"/>
  <c r="I104" i="19"/>
  <c r="K263" i="23" l="1"/>
  <c r="M227" i="23"/>
  <c r="L104" i="23"/>
  <c r="O222" i="23"/>
  <c r="M223" i="23"/>
  <c r="K227" i="20"/>
  <c r="I263" i="20"/>
  <c r="J104" i="20"/>
  <c r="K222" i="20"/>
  <c r="L222" i="19"/>
  <c r="K104" i="19"/>
  <c r="K227" i="19"/>
  <c r="I263" i="19"/>
  <c r="N223" i="23" l="1"/>
  <c r="P222" i="23"/>
  <c r="L263" i="23"/>
  <c r="N227" i="23"/>
  <c r="M104" i="23"/>
  <c r="L222" i="20"/>
  <c r="K104" i="20"/>
  <c r="J263" i="20"/>
  <c r="L227" i="20"/>
  <c r="M222" i="19"/>
  <c r="J263" i="19"/>
  <c r="L227" i="19"/>
  <c r="M263" i="23" l="1"/>
  <c r="O227" i="23"/>
  <c r="N104" i="23"/>
  <c r="O223" i="23"/>
  <c r="K263" i="20"/>
  <c r="M227" i="20"/>
  <c r="M222" i="20"/>
  <c r="L104" i="20"/>
  <c r="K263" i="19"/>
  <c r="M227" i="19"/>
  <c r="L104" i="19"/>
  <c r="N222" i="19"/>
  <c r="M104" i="19"/>
  <c r="P223" i="23" l="1"/>
  <c r="N263" i="23"/>
  <c r="P227" i="23"/>
  <c r="O263" i="23" s="1"/>
  <c r="O104" i="23"/>
  <c r="N222" i="20"/>
  <c r="M104" i="20"/>
  <c r="L263" i="20"/>
  <c r="N227" i="20"/>
  <c r="O222" i="19"/>
  <c r="L263" i="19"/>
  <c r="N227" i="19"/>
  <c r="N107" i="18"/>
  <c r="J107" i="18"/>
  <c r="AH104" i="23" l="1"/>
  <c r="AI104" i="23"/>
  <c r="M263" i="20"/>
  <c r="O227" i="20"/>
  <c r="O222" i="20"/>
  <c r="N104" i="20"/>
  <c r="M263" i="19"/>
  <c r="O227" i="19"/>
  <c r="O104" i="19" s="1"/>
  <c r="N104" i="19"/>
  <c r="P222" i="19"/>
  <c r="P222" i="20" l="1"/>
  <c r="O104" i="20"/>
  <c r="N263" i="20"/>
  <c r="P227" i="20"/>
  <c r="O263" i="20" s="1"/>
  <c r="AH104" i="19"/>
  <c r="AI104" i="19"/>
  <c r="N263" i="19"/>
  <c r="P227" i="19"/>
  <c r="O263" i="19" s="1"/>
  <c r="AI104" i="20" l="1"/>
  <c r="AH104" i="20"/>
  <c r="I107" i="18" l="1"/>
  <c r="H107" i="18"/>
  <c r="G107" i="18"/>
  <c r="F107" i="18"/>
  <c r="E107" i="18"/>
  <c r="B66" i="18"/>
  <c r="C66" i="18"/>
  <c r="D66" i="18"/>
  <c r="E66" i="18"/>
  <c r="F66" i="18"/>
  <c r="G66" i="18"/>
  <c r="H66" i="18"/>
  <c r="I66" i="18"/>
  <c r="J66" i="18"/>
  <c r="K66" i="18"/>
  <c r="L66" i="18"/>
  <c r="D107" i="18"/>
  <c r="C107" i="18"/>
  <c r="AF267" i="18"/>
  <c r="AE267" i="18"/>
  <c r="AD267" i="18"/>
  <c r="AC267" i="18"/>
  <c r="AB267" i="18"/>
  <c r="AA267" i="18"/>
  <c r="Z267" i="18"/>
  <c r="Y267" i="18"/>
  <c r="X267" i="18"/>
  <c r="W267" i="18"/>
  <c r="V267" i="18"/>
  <c r="U267" i="18"/>
  <c r="T267" i="18"/>
  <c r="S267" i="18"/>
  <c r="R267" i="18"/>
  <c r="Q267" i="18"/>
  <c r="P267" i="18"/>
  <c r="O267" i="18"/>
  <c r="N267" i="18"/>
  <c r="M267" i="18"/>
  <c r="L267" i="18"/>
  <c r="K267" i="18"/>
  <c r="J267" i="18"/>
  <c r="I267" i="18"/>
  <c r="H267" i="18"/>
  <c r="G267" i="18"/>
  <c r="F267" i="18"/>
  <c r="E267" i="18"/>
  <c r="D267" i="18"/>
  <c r="C267" i="18"/>
  <c r="B267" i="18"/>
  <c r="A267" i="18"/>
  <c r="AF266" i="18"/>
  <c r="AE266" i="18"/>
  <c r="AD266" i="18"/>
  <c r="AC266" i="18"/>
  <c r="AB266" i="18"/>
  <c r="AA266" i="18"/>
  <c r="Z266" i="18"/>
  <c r="Y266" i="18"/>
  <c r="X266" i="18"/>
  <c r="W266" i="18"/>
  <c r="V266" i="18"/>
  <c r="U266" i="18"/>
  <c r="T266" i="18"/>
  <c r="S266" i="18"/>
  <c r="R266" i="18"/>
  <c r="Q266" i="18"/>
  <c r="P266" i="18"/>
  <c r="O266" i="18"/>
  <c r="N266" i="18"/>
  <c r="M266" i="18"/>
  <c r="L266" i="18"/>
  <c r="K266" i="18"/>
  <c r="J266" i="18"/>
  <c r="I266" i="18"/>
  <c r="H266" i="18"/>
  <c r="G266" i="18"/>
  <c r="F266" i="18"/>
  <c r="E266" i="18"/>
  <c r="D266" i="18"/>
  <c r="C266" i="18"/>
  <c r="B266" i="18"/>
  <c r="A266" i="18"/>
  <c r="AF265" i="18"/>
  <c r="AE265" i="18"/>
  <c r="AD265" i="18"/>
  <c r="AC265" i="18"/>
  <c r="AB265" i="18"/>
  <c r="AA265" i="18"/>
  <c r="Z265" i="18"/>
  <c r="Y265" i="18"/>
  <c r="X265" i="18"/>
  <c r="W265" i="18"/>
  <c r="V265" i="18"/>
  <c r="U265" i="18"/>
  <c r="T265" i="18"/>
  <c r="S265" i="18"/>
  <c r="R265" i="18"/>
  <c r="Q265" i="18"/>
  <c r="P265" i="18"/>
  <c r="O265" i="18"/>
  <c r="N265" i="18"/>
  <c r="M265" i="18"/>
  <c r="L265" i="18"/>
  <c r="K265" i="18"/>
  <c r="J265" i="18"/>
  <c r="I265" i="18"/>
  <c r="H265" i="18"/>
  <c r="G265" i="18"/>
  <c r="F265" i="18"/>
  <c r="E265" i="18"/>
  <c r="D265" i="18"/>
  <c r="C265" i="18"/>
  <c r="B265" i="18"/>
  <c r="A265" i="18"/>
  <c r="AF264" i="18"/>
  <c r="AE264" i="18"/>
  <c r="AD264" i="18"/>
  <c r="AC264" i="18"/>
  <c r="AB264" i="18"/>
  <c r="AA264" i="18"/>
  <c r="Z264" i="18"/>
  <c r="Y264" i="18"/>
  <c r="X264" i="18"/>
  <c r="W264" i="18"/>
  <c r="V264" i="18"/>
  <c r="U264" i="18"/>
  <c r="T264" i="18"/>
  <c r="S264" i="18"/>
  <c r="R264" i="18"/>
  <c r="Q264" i="18"/>
  <c r="P264" i="18"/>
  <c r="O264" i="18"/>
  <c r="N264" i="18"/>
  <c r="M264" i="18"/>
  <c r="L264" i="18"/>
  <c r="K264" i="18"/>
  <c r="J264" i="18"/>
  <c r="I264" i="18"/>
  <c r="H264" i="18"/>
  <c r="G264" i="18"/>
  <c r="F264" i="18"/>
  <c r="E264" i="18"/>
  <c r="D264" i="18"/>
  <c r="C264" i="18"/>
  <c r="B264" i="18"/>
  <c r="A264" i="18"/>
  <c r="AE263" i="18"/>
  <c r="AD263" i="18"/>
  <c r="AC263" i="18"/>
  <c r="AB263" i="18"/>
  <c r="AA263" i="18"/>
  <c r="Z263" i="18"/>
  <c r="Y263" i="18"/>
  <c r="X263" i="18"/>
  <c r="W263" i="18"/>
  <c r="V263" i="18"/>
  <c r="U263" i="18"/>
  <c r="T263" i="18"/>
  <c r="S263" i="18"/>
  <c r="R263" i="18"/>
  <c r="Q263" i="18"/>
  <c r="P263" i="18"/>
  <c r="B263" i="18"/>
  <c r="S238" i="18"/>
  <c r="AG228" i="18"/>
  <c r="AF228" i="18"/>
  <c r="AE228" i="18"/>
  <c r="AD228" i="18"/>
  <c r="AC228" i="18"/>
  <c r="AB228" i="18"/>
  <c r="AA228" i="18"/>
  <c r="Z228" i="18"/>
  <c r="Y228" i="18"/>
  <c r="X228" i="18"/>
  <c r="W228" i="18"/>
  <c r="V228" i="18"/>
  <c r="U228" i="18"/>
  <c r="T228" i="18"/>
  <c r="S228" i="18"/>
  <c r="R228" i="18"/>
  <c r="Q228" i="18"/>
  <c r="C228" i="18"/>
  <c r="D227" i="18"/>
  <c r="C263" i="18" s="1"/>
  <c r="B227" i="18"/>
  <c r="AF263" i="18" s="1"/>
  <c r="D226" i="18"/>
  <c r="E226" i="18" s="1"/>
  <c r="F226" i="18" s="1"/>
  <c r="G226" i="18" s="1"/>
  <c r="H226" i="18" s="1"/>
  <c r="I226" i="18" s="1"/>
  <c r="J226" i="18" s="1"/>
  <c r="K226" i="18" s="1"/>
  <c r="L226" i="18" s="1"/>
  <c r="M226" i="18" s="1"/>
  <c r="N226" i="18" s="1"/>
  <c r="O226" i="18" s="1"/>
  <c r="P226" i="18" s="1"/>
  <c r="B226" i="18"/>
  <c r="D225" i="18"/>
  <c r="E225" i="18" s="1"/>
  <c r="F225" i="18" s="1"/>
  <c r="G225" i="18" s="1"/>
  <c r="H225" i="18" s="1"/>
  <c r="I225" i="18" s="1"/>
  <c r="B225" i="18"/>
  <c r="D224" i="18"/>
  <c r="E224" i="18" s="1"/>
  <c r="F224" i="18" s="1"/>
  <c r="G224" i="18" s="1"/>
  <c r="H224" i="18" s="1"/>
  <c r="B224" i="18"/>
  <c r="D223" i="18"/>
  <c r="B223" i="18"/>
  <c r="D222" i="18"/>
  <c r="E222" i="18" s="1"/>
  <c r="F222" i="18" s="1"/>
  <c r="B222" i="18"/>
  <c r="AG220" i="18"/>
  <c r="AF220" i="18"/>
  <c r="AE220" i="18"/>
  <c r="AD220" i="18"/>
  <c r="AC220" i="18"/>
  <c r="AB220" i="18"/>
  <c r="AA220" i="18"/>
  <c r="Z220" i="18"/>
  <c r="Y220" i="18"/>
  <c r="X220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AI113" i="18"/>
  <c r="AH113" i="18"/>
  <c r="AI112" i="18"/>
  <c r="AH112" i="18"/>
  <c r="AI111" i="18"/>
  <c r="AH111" i="18"/>
  <c r="AI110" i="18"/>
  <c r="AH110" i="18"/>
  <c r="AI109" i="18"/>
  <c r="AH109" i="18"/>
  <c r="AI108" i="18"/>
  <c r="AH108" i="18"/>
  <c r="AI107" i="18"/>
  <c r="AH107" i="18"/>
  <c r="AI106" i="18"/>
  <c r="AH106" i="18"/>
  <c r="AI105" i="18"/>
  <c r="AH105" i="18"/>
  <c r="AF104" i="18"/>
  <c r="AE104" i="18"/>
  <c r="AD104" i="18"/>
  <c r="AC104" i="18"/>
  <c r="AB104" i="18"/>
  <c r="AA104" i="18"/>
  <c r="Z104" i="18"/>
  <c r="X104" i="18"/>
  <c r="W104" i="18"/>
  <c r="V104" i="18"/>
  <c r="U104" i="18"/>
  <c r="T104" i="18"/>
  <c r="S104" i="18"/>
  <c r="R104" i="18"/>
  <c r="Q104" i="18"/>
  <c r="C104" i="18"/>
  <c r="AI103" i="18"/>
  <c r="AH103" i="18"/>
  <c r="AI102" i="18"/>
  <c r="AH102" i="18"/>
  <c r="AI101" i="18"/>
  <c r="AH101" i="18"/>
  <c r="AI100" i="18"/>
  <c r="AH100" i="18"/>
  <c r="AI99" i="18"/>
  <c r="AH99" i="18"/>
  <c r="AI98" i="18"/>
  <c r="AH98" i="18"/>
  <c r="AI97" i="18"/>
  <c r="AH97" i="18"/>
  <c r="AI96" i="18"/>
  <c r="AH96" i="18"/>
  <c r="AI95" i="18"/>
  <c r="AH95" i="18"/>
  <c r="AI93" i="18"/>
  <c r="AH93" i="18"/>
  <c r="AI92" i="18"/>
  <c r="AH92" i="18"/>
  <c r="AI91" i="18"/>
  <c r="AH91" i="18"/>
  <c r="AI90" i="18"/>
  <c r="AH90" i="18"/>
  <c r="AI89" i="18"/>
  <c r="AH89" i="18"/>
  <c r="AI88" i="18"/>
  <c r="AH88" i="18"/>
  <c r="AI87" i="18"/>
  <c r="AH87" i="18"/>
  <c r="AI84" i="18"/>
  <c r="AH84" i="18"/>
  <c r="AI82" i="18"/>
  <c r="AH82" i="18"/>
  <c r="AG82" i="18"/>
  <c r="AI81" i="18"/>
  <c r="AH81" i="18"/>
  <c r="AI80" i="18"/>
  <c r="AH80" i="18"/>
  <c r="AI79" i="18"/>
  <c r="AH79" i="18"/>
  <c r="AN78" i="18"/>
  <c r="AG78" i="18"/>
  <c r="AF78" i="18"/>
  <c r="AF94" i="18" s="1"/>
  <c r="AE78" i="18"/>
  <c r="AD5" i="18" s="1"/>
  <c r="AD78" i="18"/>
  <c r="AD94" i="18" s="1"/>
  <c r="AC78" i="18"/>
  <c r="AC94" i="18" s="1"/>
  <c r="AB78" i="18"/>
  <c r="AB94" i="18" s="1"/>
  <c r="AA78" i="18"/>
  <c r="AA94" i="18" s="1"/>
  <c r="Z78" i="18"/>
  <c r="Z94" i="18" s="1"/>
  <c r="X78" i="18"/>
  <c r="X94" i="18" s="1"/>
  <c r="W78" i="18"/>
  <c r="V5" i="18" s="1"/>
  <c r="V78" i="18"/>
  <c r="V94" i="18" s="1"/>
  <c r="U78" i="18"/>
  <c r="U94" i="18" s="1"/>
  <c r="T78" i="18"/>
  <c r="T94" i="18" s="1"/>
  <c r="S78" i="18"/>
  <c r="S94" i="18" s="1"/>
  <c r="R78" i="18"/>
  <c r="R94" i="18" s="1"/>
  <c r="Q78" i="18"/>
  <c r="Q94" i="18" s="1"/>
  <c r="P78" i="18"/>
  <c r="P94" i="18" s="1"/>
  <c r="O78" i="18"/>
  <c r="N5" i="18" s="1"/>
  <c r="N78" i="18"/>
  <c r="M5" i="18" s="1"/>
  <c r="M78" i="18"/>
  <c r="M94" i="18" s="1"/>
  <c r="L78" i="18"/>
  <c r="L94" i="18" s="1"/>
  <c r="K78" i="18"/>
  <c r="K94" i="18" s="1"/>
  <c r="J78" i="18"/>
  <c r="J94" i="18" s="1"/>
  <c r="I78" i="18"/>
  <c r="I94" i="18" s="1"/>
  <c r="H78" i="18"/>
  <c r="H94" i="18" s="1"/>
  <c r="G78" i="18"/>
  <c r="F5" i="18" s="1"/>
  <c r="F78" i="18"/>
  <c r="E5" i="18" s="1"/>
  <c r="E78" i="18"/>
  <c r="E94" i="18" s="1"/>
  <c r="D78" i="18"/>
  <c r="D94" i="18" s="1"/>
  <c r="C78" i="18"/>
  <c r="C94" i="18" s="1"/>
  <c r="B78" i="18"/>
  <c r="B94" i="18" s="1"/>
  <c r="AI77" i="18"/>
  <c r="AH77" i="18"/>
  <c r="AN76" i="18"/>
  <c r="AI76" i="18"/>
  <c r="AH76" i="18"/>
  <c r="AN75" i="18"/>
  <c r="AN77" i="18" s="1"/>
  <c r="AI75" i="18"/>
  <c r="AH75" i="18"/>
  <c r="AI74" i="18"/>
  <c r="AH74" i="18"/>
  <c r="AI73" i="18"/>
  <c r="AH73" i="18"/>
  <c r="AI72" i="18"/>
  <c r="AH72" i="18"/>
  <c r="AI71" i="18"/>
  <c r="AH71" i="18"/>
  <c r="AI70" i="18"/>
  <c r="AH70" i="18"/>
  <c r="AI69" i="18"/>
  <c r="AH69" i="18"/>
  <c r="AI68" i="18"/>
  <c r="AH68" i="18"/>
  <c r="AI67" i="18"/>
  <c r="AH67" i="18"/>
  <c r="AG66" i="18"/>
  <c r="AG4" i="18" s="1"/>
  <c r="AF66" i="18"/>
  <c r="AE66" i="18"/>
  <c r="AD66" i="18"/>
  <c r="AC66" i="18"/>
  <c r="AB66" i="18"/>
  <c r="AA66" i="18"/>
  <c r="Z66" i="18"/>
  <c r="X66" i="18"/>
  <c r="W66" i="18"/>
  <c r="V66" i="18"/>
  <c r="U66" i="18"/>
  <c r="T66" i="18"/>
  <c r="S66" i="18"/>
  <c r="R66" i="18"/>
  <c r="Q66" i="18"/>
  <c r="P66" i="18"/>
  <c r="N66" i="18"/>
  <c r="M66" i="18"/>
  <c r="AI65" i="18"/>
  <c r="AH65" i="18"/>
  <c r="AI64" i="18"/>
  <c r="AH64" i="18"/>
  <c r="AI63" i="18"/>
  <c r="AH63" i="18"/>
  <c r="AF62" i="18"/>
  <c r="AE62" i="18"/>
  <c r="AD62" i="18"/>
  <c r="AC62" i="18"/>
  <c r="AB62" i="18"/>
  <c r="AA62" i="18"/>
  <c r="Z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AI61" i="18"/>
  <c r="AH61" i="18"/>
  <c r="AG61" i="18"/>
  <c r="AG62" i="18" s="1"/>
  <c r="AG3" i="18" s="1"/>
  <c r="AI60" i="18"/>
  <c r="AH60" i="18"/>
  <c r="AI59" i="18"/>
  <c r="AH59" i="18"/>
  <c r="AI58" i="18"/>
  <c r="AH58" i="18"/>
  <c r="AI57" i="18"/>
  <c r="AH57" i="18"/>
  <c r="AI56" i="18"/>
  <c r="AH56" i="18"/>
  <c r="AI55" i="18"/>
  <c r="AH55" i="18"/>
  <c r="AI54" i="18"/>
  <c r="AH54" i="18"/>
  <c r="AI53" i="18"/>
  <c r="AH53" i="18"/>
  <c r="AI52" i="18"/>
  <c r="AH52" i="18"/>
  <c r="AI51" i="18"/>
  <c r="AH51" i="18"/>
  <c r="AI50" i="18"/>
  <c r="AH50" i="18"/>
  <c r="AI49" i="18"/>
  <c r="AH49" i="18"/>
  <c r="AG48" i="18"/>
  <c r="AF48" i="18"/>
  <c r="AE48" i="18"/>
  <c r="AD48" i="18"/>
  <c r="AC48" i="18"/>
  <c r="AB48" i="18"/>
  <c r="AA48" i="18"/>
  <c r="Z48" i="18"/>
  <c r="X48" i="18"/>
  <c r="W48" i="18"/>
  <c r="V48" i="18"/>
  <c r="U48" i="18"/>
  <c r="T48" i="18"/>
  <c r="S48" i="18"/>
  <c r="R48" i="18"/>
  <c r="Q48" i="18"/>
  <c r="P48" i="18"/>
  <c r="O48" i="18"/>
  <c r="N48" i="18"/>
  <c r="M48" i="18"/>
  <c r="L48" i="18"/>
  <c r="K48" i="18"/>
  <c r="J48" i="18"/>
  <c r="I48" i="18"/>
  <c r="H48" i="18"/>
  <c r="G48" i="18"/>
  <c r="F48" i="18"/>
  <c r="E48" i="18"/>
  <c r="D48" i="18"/>
  <c r="C48" i="18"/>
  <c r="AI47" i="18"/>
  <c r="AH47" i="18"/>
  <c r="AI46" i="18"/>
  <c r="AH46" i="18"/>
  <c r="AI45" i="18"/>
  <c r="AH45" i="18"/>
  <c r="AG44" i="18"/>
  <c r="AF44" i="18"/>
  <c r="AE44" i="18"/>
  <c r="AE83" i="18" s="1"/>
  <c r="AE85" i="18" s="1"/>
  <c r="AD44" i="18"/>
  <c r="AC44" i="18"/>
  <c r="AB44" i="18"/>
  <c r="AA44" i="18"/>
  <c r="Z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AI43" i="18"/>
  <c r="AH43" i="18"/>
  <c r="AI42" i="18"/>
  <c r="AH42" i="18"/>
  <c r="AI41" i="18"/>
  <c r="AH41" i="18"/>
  <c r="AI40" i="18"/>
  <c r="AH40" i="18"/>
  <c r="AI39" i="18"/>
  <c r="AH39" i="18"/>
  <c r="AI38" i="18"/>
  <c r="AH38" i="18"/>
  <c r="AI37" i="18"/>
  <c r="AH37" i="18"/>
  <c r="AI36" i="18"/>
  <c r="AH36" i="18"/>
  <c r="AI35" i="18"/>
  <c r="AH35" i="18"/>
  <c r="AI34" i="18"/>
  <c r="AH34" i="18"/>
  <c r="AI33" i="18"/>
  <c r="AH33" i="18"/>
  <c r="AI32" i="18"/>
  <c r="AH32" i="18"/>
  <c r="AI31" i="18"/>
  <c r="AH31" i="18"/>
  <c r="AI30" i="18"/>
  <c r="AH30" i="18"/>
  <c r="AI29" i="18"/>
  <c r="AH29" i="18"/>
  <c r="AI28" i="18"/>
  <c r="AH28" i="18"/>
  <c r="AI27" i="18"/>
  <c r="AH27" i="18"/>
  <c r="AI26" i="18"/>
  <c r="AH26" i="18"/>
  <c r="AI25" i="18"/>
  <c r="AH25" i="18"/>
  <c r="AI24" i="18"/>
  <c r="AH24" i="18"/>
  <c r="AI23" i="18"/>
  <c r="AH23" i="18"/>
  <c r="AI22" i="18"/>
  <c r="AH22" i="18"/>
  <c r="AI21" i="18"/>
  <c r="AH21" i="18"/>
  <c r="AI20" i="18"/>
  <c r="AH20" i="18"/>
  <c r="AI19" i="18"/>
  <c r="AH19" i="18"/>
  <c r="AI18" i="18"/>
  <c r="AH18" i="18"/>
  <c r="AI17" i="18"/>
  <c r="AH17" i="18"/>
  <c r="AI16" i="18"/>
  <c r="AH16" i="18"/>
  <c r="AI15" i="18"/>
  <c r="AH15" i="18"/>
  <c r="AI14" i="18"/>
  <c r="AH14" i="18"/>
  <c r="AI13" i="18"/>
  <c r="AH13" i="18"/>
  <c r="AI12" i="18"/>
  <c r="AH12" i="18"/>
  <c r="AI11" i="18"/>
  <c r="AH11" i="18"/>
  <c r="X5" i="18"/>
  <c r="K4" i="18"/>
  <c r="E4" i="18"/>
  <c r="H4" i="18" s="1"/>
  <c r="B4" i="18"/>
  <c r="D239" i="18" s="1"/>
  <c r="AG2" i="18"/>
  <c r="AE107" i="17"/>
  <c r="AB107" i="17"/>
  <c r="Y5" i="18" l="1"/>
  <c r="D228" i="18"/>
  <c r="B104" i="18"/>
  <c r="AG6" i="18"/>
  <c r="AG85" i="18"/>
  <c r="B228" i="18"/>
  <c r="AF83" i="18"/>
  <c r="AF85" i="18" s="1"/>
  <c r="AE5" i="18"/>
  <c r="AC5" i="18"/>
  <c r="AD83" i="18"/>
  <c r="AD85" i="18" s="1"/>
  <c r="AB5" i="18"/>
  <c r="AC83" i="18"/>
  <c r="AC85" i="18" s="1"/>
  <c r="AU242" i="18" s="1"/>
  <c r="AA5" i="18"/>
  <c r="AB83" i="18"/>
  <c r="AB85" i="18" s="1"/>
  <c r="AB86" i="18" s="1"/>
  <c r="Z5" i="18"/>
  <c r="AA83" i="18"/>
  <c r="AA85" i="18" s="1"/>
  <c r="AS242" i="18" s="1"/>
  <c r="Z83" i="18"/>
  <c r="Z85" i="18" s="1"/>
  <c r="Z7" i="18" s="1"/>
  <c r="W5" i="18"/>
  <c r="X83" i="18"/>
  <c r="X85" i="18" s="1"/>
  <c r="AP242" i="18" s="1"/>
  <c r="W83" i="18"/>
  <c r="W85" i="18" s="1"/>
  <c r="W86" i="18" s="1"/>
  <c r="U5" i="18"/>
  <c r="V83" i="18"/>
  <c r="V85" i="18" s="1"/>
  <c r="AN242" i="18" s="1"/>
  <c r="T5" i="18"/>
  <c r="U83" i="18"/>
  <c r="U85" i="18" s="1"/>
  <c r="U7" i="18" s="1"/>
  <c r="S5" i="18"/>
  <c r="T83" i="18"/>
  <c r="T85" i="18" s="1"/>
  <c r="T7" i="18" s="1"/>
  <c r="R5" i="18"/>
  <c r="S83" i="18"/>
  <c r="S85" i="18" s="1"/>
  <c r="AK242" i="18" s="1"/>
  <c r="Q83" i="18"/>
  <c r="Q85" i="18" s="1"/>
  <c r="Q86" i="18" s="1"/>
  <c r="O5" i="18"/>
  <c r="P5" i="18"/>
  <c r="Q5" i="18"/>
  <c r="R83" i="18"/>
  <c r="R85" i="18" s="1"/>
  <c r="R7" i="18" s="1"/>
  <c r="P83" i="18"/>
  <c r="P85" i="18" s="1"/>
  <c r="AH242" i="18" s="1"/>
  <c r="O83" i="18"/>
  <c r="O85" i="18" s="1"/>
  <c r="AG242" i="18" s="1"/>
  <c r="N94" i="18"/>
  <c r="N83" i="18"/>
  <c r="N85" i="18" s="1"/>
  <c r="N86" i="18" s="1"/>
  <c r="L5" i="18"/>
  <c r="M83" i="18"/>
  <c r="M85" i="18" s="1"/>
  <c r="K5" i="18"/>
  <c r="L83" i="18"/>
  <c r="L85" i="18" s="1"/>
  <c r="L86" i="18" s="1"/>
  <c r="J5" i="18"/>
  <c r="K83" i="18"/>
  <c r="K85" i="18" s="1"/>
  <c r="K7" i="18" s="1"/>
  <c r="I5" i="18"/>
  <c r="J83" i="18"/>
  <c r="J85" i="18" s="1"/>
  <c r="AB242" i="18" s="1"/>
  <c r="H5" i="18"/>
  <c r="H83" i="18"/>
  <c r="H85" i="18" s="1"/>
  <c r="H7" i="18" s="1"/>
  <c r="G5" i="18"/>
  <c r="G83" i="18"/>
  <c r="G85" i="18" s="1"/>
  <c r="Y242" i="18" s="1"/>
  <c r="AI48" i="18"/>
  <c r="F94" i="18"/>
  <c r="AI66" i="18"/>
  <c r="F83" i="18"/>
  <c r="F85" i="18" s="1"/>
  <c r="F7" i="18" s="1"/>
  <c r="D5" i="18"/>
  <c r="E83" i="18"/>
  <c r="E85" i="18" s="1"/>
  <c r="W242" i="18" s="1"/>
  <c r="I83" i="18"/>
  <c r="I85" i="18" s="1"/>
  <c r="I86" i="18" s="1"/>
  <c r="AH66" i="18"/>
  <c r="AI62" i="18"/>
  <c r="C5" i="18"/>
  <c r="D83" i="18"/>
  <c r="D85" i="18" s="1"/>
  <c r="D7" i="18" s="1"/>
  <c r="B5" i="18"/>
  <c r="C83" i="18"/>
  <c r="C85" i="18" s="1"/>
  <c r="C86" i="18" s="1"/>
  <c r="AF5" i="18"/>
  <c r="B83" i="18"/>
  <c r="B85" i="18" s="1"/>
  <c r="V7" i="18"/>
  <c r="V86" i="18"/>
  <c r="AO242" i="18"/>
  <c r="W7" i="18"/>
  <c r="AW242" i="18"/>
  <c r="AE86" i="18"/>
  <c r="AE7" i="18"/>
  <c r="G7" i="18"/>
  <c r="AF86" i="18"/>
  <c r="AF7" i="18"/>
  <c r="AX242" i="18"/>
  <c r="H86" i="18"/>
  <c r="Z242" i="18"/>
  <c r="Y7" i="18"/>
  <c r="AQ242" i="18"/>
  <c r="AG83" i="18"/>
  <c r="G222" i="18"/>
  <c r="X86" i="18"/>
  <c r="X7" i="18"/>
  <c r="Z86" i="18"/>
  <c r="AR242" i="18"/>
  <c r="J225" i="18"/>
  <c r="K225" i="18" s="1"/>
  <c r="L225" i="18" s="1"/>
  <c r="M225" i="18" s="1"/>
  <c r="N225" i="18" s="1"/>
  <c r="O225" i="18" s="1"/>
  <c r="P225" i="18" s="1"/>
  <c r="J86" i="18"/>
  <c r="J7" i="18"/>
  <c r="S86" i="18"/>
  <c r="S7" i="18"/>
  <c r="AF242" i="18"/>
  <c r="N7" i="18"/>
  <c r="T86" i="18"/>
  <c r="AV242" i="18"/>
  <c r="AD7" i="18"/>
  <c r="AD86" i="18"/>
  <c r="Q7" i="18"/>
  <c r="AI242" i="18"/>
  <c r="E7" i="18"/>
  <c r="M7" i="18"/>
  <c r="AE242" i="18"/>
  <c r="M86" i="18"/>
  <c r="AM242" i="18"/>
  <c r="AC7" i="18"/>
  <c r="G94" i="18"/>
  <c r="O94" i="18"/>
  <c r="W94" i="18"/>
  <c r="AE94" i="18"/>
  <c r="D104" i="18"/>
  <c r="E223" i="18"/>
  <c r="E227" i="18"/>
  <c r="S239" i="18"/>
  <c r="AH62" i="18"/>
  <c r="AH78" i="18"/>
  <c r="AI78" i="18"/>
  <c r="AH44" i="18"/>
  <c r="AH48" i="18"/>
  <c r="AI44" i="18"/>
  <c r="AA86" i="18" l="1"/>
  <c r="AA242" i="18"/>
  <c r="I7" i="18"/>
  <c r="U86" i="18"/>
  <c r="K86" i="18"/>
  <c r="AC86" i="18"/>
  <c r="AT242" i="18"/>
  <c r="AB7" i="18"/>
  <c r="AA7" i="18"/>
  <c r="AL242" i="18"/>
  <c r="R86" i="18"/>
  <c r="P86" i="18"/>
  <c r="O7" i="18"/>
  <c r="O86" i="18"/>
  <c r="P7" i="18"/>
  <c r="AJ242" i="18"/>
  <c r="AI94" i="18"/>
  <c r="AD242" i="18"/>
  <c r="L7" i="18"/>
  <c r="AC242" i="18"/>
  <c r="G86" i="18"/>
  <c r="B237" i="18"/>
  <c r="C237" i="18"/>
  <c r="F86" i="18"/>
  <c r="X242" i="18"/>
  <c r="E86" i="18"/>
  <c r="U242" i="18"/>
  <c r="C7" i="18"/>
  <c r="V242" i="18"/>
  <c r="D86" i="18"/>
  <c r="AI83" i="18"/>
  <c r="AH83" i="18"/>
  <c r="D263" i="18"/>
  <c r="F227" i="18"/>
  <c r="E104" i="18"/>
  <c r="F223" i="18"/>
  <c r="E228" i="18"/>
  <c r="H222" i="18"/>
  <c r="AH94" i="18"/>
  <c r="B86" i="18"/>
  <c r="AI85" i="18"/>
  <c r="B7" i="18"/>
  <c r="AH85" i="18"/>
  <c r="T242" i="18"/>
  <c r="K6" i="18" l="1"/>
  <c r="A7" i="18"/>
  <c r="I222" i="18"/>
  <c r="G223" i="18"/>
  <c r="F228" i="18"/>
  <c r="E263" i="18"/>
  <c r="G227" i="18"/>
  <c r="F104" i="18"/>
  <c r="AI86" i="18"/>
  <c r="AH86" i="18"/>
  <c r="H223" i="18" l="1"/>
  <c r="G228" i="18"/>
  <c r="J222" i="18"/>
  <c r="F263" i="18"/>
  <c r="H227" i="18"/>
  <c r="G104" i="18"/>
  <c r="K222" i="18" l="1"/>
  <c r="G263" i="18"/>
  <c r="I227" i="18"/>
  <c r="H104" i="18"/>
  <c r="I223" i="18"/>
  <c r="H228" i="18"/>
  <c r="J223" i="18" l="1"/>
  <c r="H263" i="18"/>
  <c r="J227" i="18"/>
  <c r="I104" i="18"/>
  <c r="L222" i="18"/>
  <c r="K227" i="18" l="1"/>
  <c r="I263" i="18"/>
  <c r="J104" i="18"/>
  <c r="M222" i="18"/>
  <c r="K223" i="18"/>
  <c r="N222" i="18" l="1"/>
  <c r="L223" i="18"/>
  <c r="L227" i="18"/>
  <c r="J263" i="18"/>
  <c r="K104" i="18"/>
  <c r="K263" i="18" l="1"/>
  <c r="M227" i="18"/>
  <c r="L104" i="18"/>
  <c r="M223" i="18"/>
  <c r="O222" i="18"/>
  <c r="P222" i="18" l="1"/>
  <c r="N223" i="18"/>
  <c r="L263" i="18"/>
  <c r="N227" i="18"/>
  <c r="M104" i="18"/>
  <c r="M263" i="18" l="1"/>
  <c r="O227" i="18"/>
  <c r="N104" i="18"/>
  <c r="O223" i="18"/>
  <c r="P223" i="18" l="1"/>
  <c r="N263" i="18"/>
  <c r="P227" i="18"/>
  <c r="O263" i="18" s="1"/>
  <c r="O104" i="18"/>
  <c r="AI104" i="18" l="1"/>
  <c r="AH104" i="18"/>
  <c r="P107" i="17" l="1"/>
  <c r="O44" i="17"/>
  <c r="O48" i="17"/>
  <c r="M107" i="17"/>
  <c r="F107" i="17"/>
  <c r="D107" i="17"/>
  <c r="C107" i="17"/>
  <c r="B107" i="17"/>
  <c r="B104" i="17" s="1"/>
  <c r="B78" i="17"/>
  <c r="B66" i="17"/>
  <c r="B62" i="17"/>
  <c r="B48" i="17"/>
  <c r="B44" i="17"/>
  <c r="AF267" i="17"/>
  <c r="AE267" i="17"/>
  <c r="AD267" i="17"/>
  <c r="AC267" i="17"/>
  <c r="AB267" i="17"/>
  <c r="AA267" i="17"/>
  <c r="Z267" i="17"/>
  <c r="Y267" i="17"/>
  <c r="X267" i="17"/>
  <c r="W267" i="17"/>
  <c r="V267" i="17"/>
  <c r="U267" i="17"/>
  <c r="T267" i="17"/>
  <c r="S267" i="17"/>
  <c r="R267" i="17"/>
  <c r="Q267" i="17"/>
  <c r="P267" i="17"/>
  <c r="O267" i="17"/>
  <c r="N267" i="17"/>
  <c r="M267" i="17"/>
  <c r="L267" i="17"/>
  <c r="K267" i="17"/>
  <c r="J267" i="17"/>
  <c r="I267" i="17"/>
  <c r="H267" i="17"/>
  <c r="G267" i="17"/>
  <c r="F267" i="17"/>
  <c r="E267" i="17"/>
  <c r="D267" i="17"/>
  <c r="C267" i="17"/>
  <c r="B267" i="17"/>
  <c r="A267" i="17"/>
  <c r="AF266" i="17"/>
  <c r="AE266" i="17"/>
  <c r="AD266" i="17"/>
  <c r="AC266" i="17"/>
  <c r="AB266" i="17"/>
  <c r="AA266" i="17"/>
  <c r="Z266" i="17"/>
  <c r="Y266" i="17"/>
  <c r="X266" i="17"/>
  <c r="W266" i="17"/>
  <c r="V266" i="17"/>
  <c r="U266" i="17"/>
  <c r="T266" i="17"/>
  <c r="S266" i="17"/>
  <c r="R266" i="17"/>
  <c r="Q266" i="17"/>
  <c r="P266" i="17"/>
  <c r="O266" i="17"/>
  <c r="N266" i="17"/>
  <c r="M266" i="17"/>
  <c r="L266" i="17"/>
  <c r="K266" i="17"/>
  <c r="J266" i="17"/>
  <c r="I266" i="17"/>
  <c r="H266" i="17"/>
  <c r="G266" i="17"/>
  <c r="F266" i="17"/>
  <c r="E266" i="17"/>
  <c r="D266" i="17"/>
  <c r="C266" i="17"/>
  <c r="B266" i="17"/>
  <c r="A266" i="17"/>
  <c r="AF265" i="17"/>
  <c r="AE265" i="17"/>
  <c r="AD265" i="17"/>
  <c r="AC265" i="17"/>
  <c r="AB265" i="17"/>
  <c r="AA265" i="17"/>
  <c r="Z265" i="17"/>
  <c r="Y265" i="17"/>
  <c r="X265" i="17"/>
  <c r="W265" i="17"/>
  <c r="V265" i="17"/>
  <c r="U265" i="17"/>
  <c r="T265" i="17"/>
  <c r="S265" i="17"/>
  <c r="R265" i="17"/>
  <c r="Q265" i="17"/>
  <c r="P265" i="17"/>
  <c r="O265" i="17"/>
  <c r="N265" i="17"/>
  <c r="M265" i="17"/>
  <c r="L265" i="17"/>
  <c r="K265" i="17"/>
  <c r="J265" i="17"/>
  <c r="I265" i="17"/>
  <c r="H265" i="17"/>
  <c r="G265" i="17"/>
  <c r="F265" i="17"/>
  <c r="E265" i="17"/>
  <c r="D265" i="17"/>
  <c r="C265" i="17"/>
  <c r="B265" i="17"/>
  <c r="A265" i="17"/>
  <c r="AF264" i="17"/>
  <c r="AE264" i="17"/>
  <c r="AD264" i="17"/>
  <c r="AC264" i="17"/>
  <c r="AB264" i="17"/>
  <c r="AA264" i="17"/>
  <c r="Z264" i="17"/>
  <c r="Y264" i="17"/>
  <c r="X264" i="17"/>
  <c r="W264" i="17"/>
  <c r="V264" i="17"/>
  <c r="U264" i="17"/>
  <c r="T264" i="17"/>
  <c r="S264" i="17"/>
  <c r="R264" i="17"/>
  <c r="Q264" i="17"/>
  <c r="P264" i="17"/>
  <c r="O264" i="17"/>
  <c r="N264" i="17"/>
  <c r="M264" i="17"/>
  <c r="L264" i="17"/>
  <c r="K264" i="17"/>
  <c r="J264" i="17"/>
  <c r="I264" i="17"/>
  <c r="H264" i="17"/>
  <c r="G264" i="17"/>
  <c r="F264" i="17"/>
  <c r="E264" i="17"/>
  <c r="D264" i="17"/>
  <c r="C264" i="17"/>
  <c r="B264" i="17"/>
  <c r="A264" i="17"/>
  <c r="AE263" i="17"/>
  <c r="AD263" i="17"/>
  <c r="AC263" i="17"/>
  <c r="AB263" i="17"/>
  <c r="AA263" i="17"/>
  <c r="Z263" i="17"/>
  <c r="Y263" i="17"/>
  <c r="X263" i="17"/>
  <c r="W263" i="17"/>
  <c r="V263" i="17"/>
  <c r="U263" i="17"/>
  <c r="T263" i="17"/>
  <c r="S263" i="17"/>
  <c r="R263" i="17"/>
  <c r="Q263" i="17"/>
  <c r="P263" i="17"/>
  <c r="B263" i="17"/>
  <c r="S238" i="17"/>
  <c r="AG228" i="17"/>
  <c r="AG61" i="17" s="1"/>
  <c r="AG62" i="17" s="1"/>
  <c r="AG3" i="17" s="1"/>
  <c r="AF228" i="17"/>
  <c r="AE228" i="17"/>
  <c r="AD228" i="17"/>
  <c r="AC228" i="17"/>
  <c r="AB228" i="17"/>
  <c r="AA228" i="17"/>
  <c r="Z228" i="17"/>
  <c r="Y228" i="17"/>
  <c r="X228" i="17"/>
  <c r="W228" i="17"/>
  <c r="V228" i="17"/>
  <c r="U228" i="17"/>
  <c r="T228" i="17"/>
  <c r="S228" i="17"/>
  <c r="R228" i="17"/>
  <c r="Q228" i="17"/>
  <c r="C228" i="17"/>
  <c r="D227" i="17"/>
  <c r="C263" i="17" s="1"/>
  <c r="B227" i="17"/>
  <c r="AF263" i="17" s="1"/>
  <c r="D226" i="17"/>
  <c r="E226" i="17" s="1"/>
  <c r="F226" i="17" s="1"/>
  <c r="G226" i="17" s="1"/>
  <c r="H226" i="17" s="1"/>
  <c r="I226" i="17" s="1"/>
  <c r="J226" i="17" s="1"/>
  <c r="K226" i="17" s="1"/>
  <c r="L226" i="17" s="1"/>
  <c r="M226" i="17" s="1"/>
  <c r="N226" i="17" s="1"/>
  <c r="O226" i="17" s="1"/>
  <c r="P226" i="17" s="1"/>
  <c r="B226" i="17"/>
  <c r="D225" i="17"/>
  <c r="E225" i="17" s="1"/>
  <c r="F225" i="17" s="1"/>
  <c r="G225" i="17" s="1"/>
  <c r="H225" i="17" s="1"/>
  <c r="I225" i="17" s="1"/>
  <c r="B225" i="17"/>
  <c r="D224" i="17"/>
  <c r="E224" i="17" s="1"/>
  <c r="F224" i="17" s="1"/>
  <c r="G224" i="17" s="1"/>
  <c r="H224" i="17" s="1"/>
  <c r="B224" i="17"/>
  <c r="D223" i="17"/>
  <c r="E223" i="17" s="1"/>
  <c r="F223" i="17" s="1"/>
  <c r="G223" i="17" s="1"/>
  <c r="H223" i="17" s="1"/>
  <c r="I223" i="17" s="1"/>
  <c r="J223" i="17" s="1"/>
  <c r="K223" i="17" s="1"/>
  <c r="L223" i="17" s="1"/>
  <c r="M223" i="17" s="1"/>
  <c r="N223" i="17" s="1"/>
  <c r="O223" i="17" s="1"/>
  <c r="P223" i="17" s="1"/>
  <c r="B223" i="17"/>
  <c r="D222" i="17"/>
  <c r="D228" i="17" s="1"/>
  <c r="B222" i="17"/>
  <c r="AG220" i="17"/>
  <c r="AF220" i="17"/>
  <c r="AE220" i="17"/>
  <c r="AD220" i="17"/>
  <c r="AC220" i="17"/>
  <c r="AB220" i="17"/>
  <c r="AA220" i="17"/>
  <c r="Z220" i="17"/>
  <c r="Y220" i="17"/>
  <c r="X220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AI113" i="17"/>
  <c r="AH113" i="17"/>
  <c r="AI112" i="17"/>
  <c r="AH112" i="17"/>
  <c r="AI111" i="17"/>
  <c r="AH111" i="17"/>
  <c r="AI110" i="17"/>
  <c r="AH110" i="17"/>
  <c r="AI109" i="17"/>
  <c r="AH109" i="17"/>
  <c r="AI108" i="17"/>
  <c r="AH108" i="17"/>
  <c r="AI106" i="17"/>
  <c r="AH106" i="17"/>
  <c r="AI105" i="17"/>
  <c r="AH105" i="17"/>
  <c r="AF104" i="17"/>
  <c r="AE104" i="17"/>
  <c r="AD104" i="17"/>
  <c r="AC104" i="17"/>
  <c r="AB104" i="17"/>
  <c r="AA104" i="17"/>
  <c r="Z104" i="17"/>
  <c r="Y104" i="17"/>
  <c r="X104" i="17"/>
  <c r="W104" i="17"/>
  <c r="V104" i="17"/>
  <c r="U104" i="17"/>
  <c r="T104" i="17"/>
  <c r="S104" i="17"/>
  <c r="R104" i="17"/>
  <c r="Q104" i="17"/>
  <c r="C104" i="17"/>
  <c r="AI103" i="17"/>
  <c r="AH103" i="17"/>
  <c r="AI102" i="17"/>
  <c r="AH102" i="17"/>
  <c r="AI101" i="17"/>
  <c r="AH101" i="17"/>
  <c r="AI100" i="17"/>
  <c r="AH100" i="17"/>
  <c r="AI99" i="17"/>
  <c r="AH99" i="17"/>
  <c r="AI98" i="17"/>
  <c r="AH98" i="17"/>
  <c r="AI97" i="17"/>
  <c r="AH97" i="17"/>
  <c r="AI96" i="17"/>
  <c r="AH96" i="17"/>
  <c r="AI95" i="17"/>
  <c r="AH95" i="17"/>
  <c r="X94" i="17"/>
  <c r="AI93" i="17"/>
  <c r="AH93" i="17"/>
  <c r="AI92" i="17"/>
  <c r="AH92" i="17"/>
  <c r="AI91" i="17"/>
  <c r="AH91" i="17"/>
  <c r="AI90" i="17"/>
  <c r="AH90" i="17"/>
  <c r="AI89" i="17"/>
  <c r="AH89" i="17"/>
  <c r="AI88" i="17"/>
  <c r="AH88" i="17"/>
  <c r="AI87" i="17"/>
  <c r="AH87" i="17"/>
  <c r="AI84" i="17"/>
  <c r="AH84" i="17"/>
  <c r="AI82" i="17"/>
  <c r="AH82" i="17"/>
  <c r="AG82" i="17"/>
  <c r="AI81" i="17"/>
  <c r="AH81" i="17"/>
  <c r="AI80" i="17"/>
  <c r="AH80" i="17"/>
  <c r="AI79" i="17"/>
  <c r="AH79" i="17"/>
  <c r="AN78" i="17"/>
  <c r="AG78" i="17"/>
  <c r="AF78" i="17"/>
  <c r="AE5" i="17" s="1"/>
  <c r="AE78" i="17"/>
  <c r="AD5" i="17" s="1"/>
  <c r="AD78" i="17"/>
  <c r="AD94" i="17" s="1"/>
  <c r="AC78" i="17"/>
  <c r="AC94" i="17" s="1"/>
  <c r="AB78" i="17"/>
  <c r="AB94" i="17" s="1"/>
  <c r="AA78" i="17"/>
  <c r="Z5" i="17" s="1"/>
  <c r="Z78" i="17"/>
  <c r="Y5" i="17" s="1"/>
  <c r="Y78" i="17"/>
  <c r="Y94" i="17" s="1"/>
  <c r="X78" i="17"/>
  <c r="W5" i="17" s="1"/>
  <c r="W78" i="17"/>
  <c r="W94" i="17" s="1"/>
  <c r="V78" i="17"/>
  <c r="V94" i="17" s="1"/>
  <c r="U78" i="17"/>
  <c r="U94" i="17" s="1"/>
  <c r="T78" i="17"/>
  <c r="T94" i="17" s="1"/>
  <c r="S78" i="17"/>
  <c r="R5" i="17" s="1"/>
  <c r="R78" i="17"/>
  <c r="Q5" i="17" s="1"/>
  <c r="Q78" i="17"/>
  <c r="Q94" i="17" s="1"/>
  <c r="P78" i="17"/>
  <c r="O5" i="17" s="1"/>
  <c r="O78" i="17"/>
  <c r="O94" i="17" s="1"/>
  <c r="N78" i="17"/>
  <c r="N94" i="17" s="1"/>
  <c r="M78" i="17"/>
  <c r="M94" i="17" s="1"/>
  <c r="L78" i="17"/>
  <c r="L94" i="17" s="1"/>
  <c r="K78" i="17"/>
  <c r="J5" i="17" s="1"/>
  <c r="J78" i="17"/>
  <c r="I5" i="17" s="1"/>
  <c r="I78" i="17"/>
  <c r="I94" i="17" s="1"/>
  <c r="H78" i="17"/>
  <c r="G5" i="17" s="1"/>
  <c r="G78" i="17"/>
  <c r="G94" i="17" s="1"/>
  <c r="F78" i="17"/>
  <c r="F94" i="17" s="1"/>
  <c r="E78" i="17"/>
  <c r="E94" i="17" s="1"/>
  <c r="D78" i="17"/>
  <c r="D94" i="17" s="1"/>
  <c r="C78" i="17"/>
  <c r="B5" i="17" s="1"/>
  <c r="AI77" i="17"/>
  <c r="AH77" i="17"/>
  <c r="AN76" i="17"/>
  <c r="AI76" i="17"/>
  <c r="AH76" i="17"/>
  <c r="AN75" i="17"/>
  <c r="AI75" i="17"/>
  <c r="AH75" i="17"/>
  <c r="AI74" i="17"/>
  <c r="AH74" i="17"/>
  <c r="AI73" i="17"/>
  <c r="AH73" i="17"/>
  <c r="AI72" i="17"/>
  <c r="AH72" i="17"/>
  <c r="AI71" i="17"/>
  <c r="AH71" i="17"/>
  <c r="AI70" i="17"/>
  <c r="AH70" i="17"/>
  <c r="AI69" i="17"/>
  <c r="AH69" i="17"/>
  <c r="AI68" i="17"/>
  <c r="AH68" i="17"/>
  <c r="AI67" i="17"/>
  <c r="AH67" i="17"/>
  <c r="AG66" i="17"/>
  <c r="AF66" i="17"/>
  <c r="AE66" i="17"/>
  <c r="AD66" i="17"/>
  <c r="AC66" i="17"/>
  <c r="AB66" i="17"/>
  <c r="AA66" i="17"/>
  <c r="Z66" i="17"/>
  <c r="Y66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AI65" i="17"/>
  <c r="AH65" i="17"/>
  <c r="AI64" i="17"/>
  <c r="AH64" i="17"/>
  <c r="AI63" i="17"/>
  <c r="AH63" i="17"/>
  <c r="AF62" i="17"/>
  <c r="AE62" i="17"/>
  <c r="AD62" i="17"/>
  <c r="AC62" i="17"/>
  <c r="AB62" i="17"/>
  <c r="AA62" i="17"/>
  <c r="Z62" i="17"/>
  <c r="Y62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AI61" i="17"/>
  <c r="AH61" i="17"/>
  <c r="AI60" i="17"/>
  <c r="AH60" i="17"/>
  <c r="AI59" i="17"/>
  <c r="AH59" i="17"/>
  <c r="AI58" i="17"/>
  <c r="AH58" i="17"/>
  <c r="AI57" i="17"/>
  <c r="AH57" i="17"/>
  <c r="AI56" i="17"/>
  <c r="AH56" i="17"/>
  <c r="AI55" i="17"/>
  <c r="AH55" i="17"/>
  <c r="AI54" i="17"/>
  <c r="AH54" i="17"/>
  <c r="AI53" i="17"/>
  <c r="AH53" i="17"/>
  <c r="AI52" i="17"/>
  <c r="AH52" i="17"/>
  <c r="AI51" i="17"/>
  <c r="AH51" i="17"/>
  <c r="AI50" i="17"/>
  <c r="AH50" i="17"/>
  <c r="AI49" i="17"/>
  <c r="AH49" i="17"/>
  <c r="AG48" i="17"/>
  <c r="AF48" i="17"/>
  <c r="AE48" i="17"/>
  <c r="AD48" i="17"/>
  <c r="AC48" i="17"/>
  <c r="AB48" i="17"/>
  <c r="AA48" i="17"/>
  <c r="Z48" i="17"/>
  <c r="Y48" i="17"/>
  <c r="X48" i="17"/>
  <c r="W48" i="17"/>
  <c r="V48" i="17"/>
  <c r="U48" i="17"/>
  <c r="T48" i="17"/>
  <c r="S48" i="17"/>
  <c r="R48" i="17"/>
  <c r="Q48" i="17"/>
  <c r="P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AI47" i="17"/>
  <c r="AH47" i="17"/>
  <c r="AI46" i="17"/>
  <c r="AH46" i="17"/>
  <c r="AI45" i="17"/>
  <c r="AH45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AI43" i="17"/>
  <c r="AH43" i="17"/>
  <c r="AI42" i="17"/>
  <c r="AH42" i="17"/>
  <c r="AI41" i="17"/>
  <c r="AH41" i="17"/>
  <c r="AI40" i="17"/>
  <c r="AH40" i="17"/>
  <c r="AI39" i="17"/>
  <c r="AH39" i="17"/>
  <c r="AI38" i="17"/>
  <c r="AH38" i="17"/>
  <c r="AI37" i="17"/>
  <c r="AH37" i="17"/>
  <c r="AI36" i="17"/>
  <c r="AH36" i="17"/>
  <c r="AI35" i="17"/>
  <c r="AH35" i="17"/>
  <c r="AI34" i="17"/>
  <c r="AH34" i="17"/>
  <c r="AI33" i="17"/>
  <c r="AH33" i="17"/>
  <c r="AI32" i="17"/>
  <c r="AH32" i="17"/>
  <c r="AI31" i="17"/>
  <c r="AH31" i="17"/>
  <c r="AI30" i="17"/>
  <c r="AH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I23" i="17"/>
  <c r="AH23" i="17"/>
  <c r="AI22" i="17"/>
  <c r="AH22" i="17"/>
  <c r="AI21" i="17"/>
  <c r="AH21" i="17"/>
  <c r="AI20" i="17"/>
  <c r="AH20" i="17"/>
  <c r="AI19" i="17"/>
  <c r="AH19" i="17"/>
  <c r="AI18" i="17"/>
  <c r="AH18" i="17"/>
  <c r="AI17" i="17"/>
  <c r="AH17" i="17"/>
  <c r="AI16" i="17"/>
  <c r="AH16" i="17"/>
  <c r="AI15" i="17"/>
  <c r="AH15" i="17"/>
  <c r="AI14" i="17"/>
  <c r="AH14" i="17"/>
  <c r="AI13" i="17"/>
  <c r="AH13" i="17"/>
  <c r="AI12" i="17"/>
  <c r="AH12" i="17"/>
  <c r="AI11" i="17"/>
  <c r="AH11" i="17"/>
  <c r="U5" i="17"/>
  <c r="T5" i="17"/>
  <c r="E5" i="17"/>
  <c r="D5" i="17"/>
  <c r="AG4" i="17"/>
  <c r="K4" i="17"/>
  <c r="E4" i="17"/>
  <c r="H4" i="17" s="1"/>
  <c r="B4" i="17"/>
  <c r="S239" i="17" s="1"/>
  <c r="AF107" i="16"/>
  <c r="AE107" i="16"/>
  <c r="AE104" i="16" s="1"/>
  <c r="AB48" i="16"/>
  <c r="AA107" i="16"/>
  <c r="X107" i="16"/>
  <c r="W107" i="16"/>
  <c r="K107" i="16"/>
  <c r="J107" i="16"/>
  <c r="I107" i="16"/>
  <c r="H107" i="16"/>
  <c r="AI107" i="16" s="1"/>
  <c r="G107" i="16"/>
  <c r="D44" i="16"/>
  <c r="E44" i="16"/>
  <c r="F44" i="16"/>
  <c r="G44" i="16"/>
  <c r="D48" i="16"/>
  <c r="E48" i="16"/>
  <c r="F48" i="16"/>
  <c r="G48" i="16"/>
  <c r="D62" i="16"/>
  <c r="E62" i="16"/>
  <c r="F62" i="16"/>
  <c r="G62" i="16"/>
  <c r="D78" i="16"/>
  <c r="C5" i="16" s="1"/>
  <c r="E78" i="16"/>
  <c r="E94" i="16" s="1"/>
  <c r="F78" i="16"/>
  <c r="F94" i="16" s="1"/>
  <c r="G78" i="16"/>
  <c r="G94" i="16" s="1"/>
  <c r="AF267" i="16"/>
  <c r="AE267" i="16"/>
  <c r="AD267" i="16"/>
  <c r="AC267" i="16"/>
  <c r="AB267" i="16"/>
  <c r="AA267" i="16"/>
  <c r="Z267" i="16"/>
  <c r="Y267" i="16"/>
  <c r="X267" i="16"/>
  <c r="W267" i="16"/>
  <c r="V267" i="16"/>
  <c r="U267" i="16"/>
  <c r="T267" i="16"/>
  <c r="S267" i="16"/>
  <c r="R267" i="16"/>
  <c r="Q267" i="16"/>
  <c r="P267" i="16"/>
  <c r="O267" i="16"/>
  <c r="N267" i="16"/>
  <c r="M267" i="16"/>
  <c r="L267" i="16"/>
  <c r="K267" i="16"/>
  <c r="J267" i="16"/>
  <c r="I267" i="16"/>
  <c r="H267" i="16"/>
  <c r="G267" i="16"/>
  <c r="F267" i="16"/>
  <c r="E267" i="16"/>
  <c r="D267" i="16"/>
  <c r="C267" i="16"/>
  <c r="B267" i="16"/>
  <c r="A267" i="16"/>
  <c r="AF266" i="16"/>
  <c r="AE266" i="16"/>
  <c r="AD266" i="16"/>
  <c r="AC266" i="16"/>
  <c r="AB266" i="16"/>
  <c r="AA266" i="16"/>
  <c r="Z266" i="16"/>
  <c r="Y266" i="16"/>
  <c r="X266" i="16"/>
  <c r="W266" i="16"/>
  <c r="V266" i="16"/>
  <c r="U266" i="16"/>
  <c r="T266" i="16"/>
  <c r="S266" i="16"/>
  <c r="R266" i="16"/>
  <c r="Q266" i="16"/>
  <c r="P266" i="16"/>
  <c r="O266" i="16"/>
  <c r="N266" i="16"/>
  <c r="M266" i="16"/>
  <c r="L266" i="16"/>
  <c r="K266" i="16"/>
  <c r="J266" i="16"/>
  <c r="I266" i="16"/>
  <c r="H266" i="16"/>
  <c r="G266" i="16"/>
  <c r="F266" i="16"/>
  <c r="E266" i="16"/>
  <c r="D266" i="16"/>
  <c r="C266" i="16"/>
  <c r="B266" i="16"/>
  <c r="A266" i="16"/>
  <c r="AF265" i="16"/>
  <c r="AE265" i="16"/>
  <c r="AD265" i="16"/>
  <c r="AC265" i="16"/>
  <c r="AB265" i="16"/>
  <c r="AA265" i="16"/>
  <c r="Z265" i="16"/>
  <c r="Y265" i="16"/>
  <c r="X265" i="16"/>
  <c r="W265" i="16"/>
  <c r="V265" i="16"/>
  <c r="U265" i="16"/>
  <c r="T265" i="16"/>
  <c r="S265" i="16"/>
  <c r="R265" i="16"/>
  <c r="Q265" i="16"/>
  <c r="P265" i="16"/>
  <c r="O265" i="16"/>
  <c r="N265" i="16"/>
  <c r="M265" i="16"/>
  <c r="L265" i="16"/>
  <c r="K265" i="16"/>
  <c r="J265" i="16"/>
  <c r="I265" i="16"/>
  <c r="H265" i="16"/>
  <c r="G265" i="16"/>
  <c r="F265" i="16"/>
  <c r="E265" i="16"/>
  <c r="D265" i="16"/>
  <c r="C265" i="16"/>
  <c r="B265" i="16"/>
  <c r="A265" i="16"/>
  <c r="AF264" i="16"/>
  <c r="AE264" i="16"/>
  <c r="AD264" i="16"/>
  <c r="AC264" i="16"/>
  <c r="AB264" i="16"/>
  <c r="AA264" i="16"/>
  <c r="Z264" i="16"/>
  <c r="Y264" i="16"/>
  <c r="X264" i="16"/>
  <c r="W264" i="16"/>
  <c r="V264" i="16"/>
  <c r="U264" i="16"/>
  <c r="T264" i="16"/>
  <c r="S264" i="16"/>
  <c r="R264" i="16"/>
  <c r="Q264" i="16"/>
  <c r="P264" i="16"/>
  <c r="O264" i="16"/>
  <c r="N264" i="16"/>
  <c r="M264" i="16"/>
  <c r="L264" i="16"/>
  <c r="K264" i="16"/>
  <c r="J264" i="16"/>
  <c r="I264" i="16"/>
  <c r="H264" i="16"/>
  <c r="G264" i="16"/>
  <c r="F264" i="16"/>
  <c r="E264" i="16"/>
  <c r="D264" i="16"/>
  <c r="C264" i="16"/>
  <c r="B264" i="16"/>
  <c r="A264" i="16"/>
  <c r="AE263" i="16"/>
  <c r="AD263" i="16"/>
  <c r="AC263" i="16"/>
  <c r="AB263" i="16"/>
  <c r="AA263" i="16"/>
  <c r="Z263" i="16"/>
  <c r="Y263" i="16"/>
  <c r="X263" i="16"/>
  <c r="W263" i="16"/>
  <c r="V263" i="16"/>
  <c r="U263" i="16"/>
  <c r="T263" i="16"/>
  <c r="S263" i="16"/>
  <c r="R263" i="16"/>
  <c r="Q263" i="16"/>
  <c r="P263" i="16"/>
  <c r="B263" i="16"/>
  <c r="S238" i="16"/>
  <c r="AG228" i="16"/>
  <c r="AG61" i="16" s="1"/>
  <c r="AG62" i="16" s="1"/>
  <c r="AG3" i="16" s="1"/>
  <c r="AF228" i="16"/>
  <c r="AE228" i="16"/>
  <c r="AD228" i="16"/>
  <c r="AC228" i="16"/>
  <c r="AB228" i="16"/>
  <c r="AA228" i="16"/>
  <c r="Z228" i="16"/>
  <c r="Y228" i="16"/>
  <c r="X228" i="16"/>
  <c r="W228" i="16"/>
  <c r="V228" i="16"/>
  <c r="U228" i="16"/>
  <c r="T228" i="16"/>
  <c r="S228" i="16"/>
  <c r="R228" i="16"/>
  <c r="Q228" i="16"/>
  <c r="C228" i="16"/>
  <c r="D227" i="16"/>
  <c r="C263" i="16" s="1"/>
  <c r="B227" i="16"/>
  <c r="AF263" i="16" s="1"/>
  <c r="D226" i="16"/>
  <c r="E226" i="16" s="1"/>
  <c r="F226" i="16" s="1"/>
  <c r="G226" i="16" s="1"/>
  <c r="H226" i="16" s="1"/>
  <c r="I226" i="16" s="1"/>
  <c r="J226" i="16" s="1"/>
  <c r="K226" i="16" s="1"/>
  <c r="L226" i="16" s="1"/>
  <c r="M226" i="16" s="1"/>
  <c r="N226" i="16" s="1"/>
  <c r="O226" i="16" s="1"/>
  <c r="P226" i="16" s="1"/>
  <c r="B226" i="16"/>
  <c r="D225" i="16"/>
  <c r="E225" i="16" s="1"/>
  <c r="F225" i="16" s="1"/>
  <c r="G225" i="16" s="1"/>
  <c r="H225" i="16" s="1"/>
  <c r="I225" i="16" s="1"/>
  <c r="B225" i="16"/>
  <c r="D224" i="16"/>
  <c r="E224" i="16" s="1"/>
  <c r="F224" i="16" s="1"/>
  <c r="G224" i="16" s="1"/>
  <c r="H224" i="16" s="1"/>
  <c r="B224" i="16"/>
  <c r="D223" i="16"/>
  <c r="E223" i="16" s="1"/>
  <c r="F223" i="16" s="1"/>
  <c r="G223" i="16" s="1"/>
  <c r="H223" i="16" s="1"/>
  <c r="I223" i="16" s="1"/>
  <c r="J223" i="16" s="1"/>
  <c r="K223" i="16" s="1"/>
  <c r="L223" i="16" s="1"/>
  <c r="M223" i="16" s="1"/>
  <c r="N223" i="16" s="1"/>
  <c r="O223" i="16" s="1"/>
  <c r="P223" i="16" s="1"/>
  <c r="B223" i="16"/>
  <c r="D222" i="16"/>
  <c r="B222" i="16"/>
  <c r="B228" i="16" s="1"/>
  <c r="AG220" i="16"/>
  <c r="AF220" i="16"/>
  <c r="AE220" i="16"/>
  <c r="AD220" i="16"/>
  <c r="AC220" i="16"/>
  <c r="AB220" i="16"/>
  <c r="AA220" i="16"/>
  <c r="Z220" i="16"/>
  <c r="Y220" i="16"/>
  <c r="X220" i="16"/>
  <c r="W220" i="16"/>
  <c r="V220" i="16"/>
  <c r="U220" i="16"/>
  <c r="T220" i="16"/>
  <c r="S220" i="16"/>
  <c r="R220" i="16"/>
  <c r="Q220" i="16"/>
  <c r="P220" i="16"/>
  <c r="O220" i="16"/>
  <c r="N220" i="16"/>
  <c r="M220" i="16"/>
  <c r="L220" i="16"/>
  <c r="K220" i="16"/>
  <c r="J220" i="16"/>
  <c r="I220" i="16"/>
  <c r="H220" i="16"/>
  <c r="G220" i="16"/>
  <c r="F220" i="16"/>
  <c r="E220" i="16"/>
  <c r="D220" i="16"/>
  <c r="C220" i="16"/>
  <c r="B220" i="16"/>
  <c r="AI113" i="16"/>
  <c r="AH113" i="16"/>
  <c r="AI112" i="16"/>
  <c r="AH112" i="16"/>
  <c r="AI111" i="16"/>
  <c r="AH111" i="16"/>
  <c r="AI110" i="16"/>
  <c r="AH110" i="16"/>
  <c r="AI109" i="16"/>
  <c r="AH109" i="16"/>
  <c r="AI108" i="16"/>
  <c r="AH108" i="16"/>
  <c r="AI106" i="16"/>
  <c r="AH106" i="16"/>
  <c r="AI105" i="16"/>
  <c r="AH105" i="16"/>
  <c r="AF104" i="16"/>
  <c r="AD104" i="16"/>
  <c r="AC104" i="16"/>
  <c r="AB104" i="16"/>
  <c r="AA104" i="16"/>
  <c r="Z104" i="16"/>
  <c r="Y104" i="16"/>
  <c r="X104" i="16"/>
  <c r="W104" i="16"/>
  <c r="V104" i="16"/>
  <c r="U104" i="16"/>
  <c r="T104" i="16"/>
  <c r="S104" i="16"/>
  <c r="R104" i="16"/>
  <c r="Q104" i="16"/>
  <c r="C104" i="16"/>
  <c r="AI103" i="16"/>
  <c r="AH103" i="16"/>
  <c r="AI102" i="16"/>
  <c r="AH102" i="16"/>
  <c r="AI101" i="16"/>
  <c r="AH101" i="16"/>
  <c r="AI100" i="16"/>
  <c r="AH100" i="16"/>
  <c r="AI99" i="16"/>
  <c r="AH99" i="16"/>
  <c r="AI98" i="16"/>
  <c r="AH98" i="16"/>
  <c r="AI97" i="16"/>
  <c r="AH97" i="16"/>
  <c r="AI96" i="16"/>
  <c r="AH96" i="16"/>
  <c r="AI95" i="16"/>
  <c r="AH95" i="16"/>
  <c r="AD94" i="16"/>
  <c r="AI93" i="16"/>
  <c r="AH93" i="16"/>
  <c r="AI92" i="16"/>
  <c r="AH92" i="16"/>
  <c r="AI91" i="16"/>
  <c r="AH91" i="16"/>
  <c r="AI90" i="16"/>
  <c r="AH90" i="16"/>
  <c r="AI89" i="16"/>
  <c r="AH89" i="16"/>
  <c r="AI88" i="16"/>
  <c r="AH88" i="16"/>
  <c r="AI87" i="16"/>
  <c r="AH87" i="16"/>
  <c r="AI84" i="16"/>
  <c r="AH84" i="16"/>
  <c r="AI82" i="16"/>
  <c r="AH82" i="16"/>
  <c r="AG82" i="16"/>
  <c r="AI81" i="16"/>
  <c r="AH81" i="16"/>
  <c r="AI80" i="16"/>
  <c r="AH80" i="16"/>
  <c r="AI79" i="16"/>
  <c r="AH79" i="16"/>
  <c r="AN78" i="16"/>
  <c r="AG78" i="16"/>
  <c r="AF78" i="16"/>
  <c r="AF94" i="16" s="1"/>
  <c r="AE78" i="16"/>
  <c r="AD5" i="16" s="1"/>
  <c r="AD78" i="16"/>
  <c r="AC5" i="16" s="1"/>
  <c r="AC78" i="16"/>
  <c r="AC94" i="16" s="1"/>
  <c r="AB78" i="16"/>
  <c r="AB94" i="16" s="1"/>
  <c r="AA78" i="16"/>
  <c r="AA94" i="16" s="1"/>
  <c r="Z78" i="16"/>
  <c r="Z94" i="16" s="1"/>
  <c r="Y78" i="16"/>
  <c r="Y94" i="16" s="1"/>
  <c r="X78" i="16"/>
  <c r="X94" i="16" s="1"/>
  <c r="W78" i="16"/>
  <c r="V5" i="16" s="1"/>
  <c r="V78" i="16"/>
  <c r="V94" i="16" s="1"/>
  <c r="U78" i="16"/>
  <c r="U94" i="16" s="1"/>
  <c r="T78" i="16"/>
  <c r="T94" i="16" s="1"/>
  <c r="S78" i="16"/>
  <c r="S94" i="16" s="1"/>
  <c r="R78" i="16"/>
  <c r="R94" i="16" s="1"/>
  <c r="Q78" i="16"/>
  <c r="Q94" i="16" s="1"/>
  <c r="P78" i="16"/>
  <c r="P94" i="16" s="1"/>
  <c r="O78" i="16"/>
  <c r="N5" i="16" s="1"/>
  <c r="N78" i="16"/>
  <c r="N94" i="16" s="1"/>
  <c r="M78" i="16"/>
  <c r="M94" i="16" s="1"/>
  <c r="L78" i="16"/>
  <c r="L94" i="16" s="1"/>
  <c r="K78" i="16"/>
  <c r="K94" i="16" s="1"/>
  <c r="J78" i="16"/>
  <c r="J94" i="16" s="1"/>
  <c r="I78" i="16"/>
  <c r="I94" i="16" s="1"/>
  <c r="H78" i="16"/>
  <c r="H94" i="16" s="1"/>
  <c r="C78" i="16"/>
  <c r="C94" i="16" s="1"/>
  <c r="B78" i="16"/>
  <c r="AI77" i="16"/>
  <c r="AH77" i="16"/>
  <c r="AN76" i="16"/>
  <c r="AI76" i="16"/>
  <c r="AH76" i="16"/>
  <c r="AN75" i="16"/>
  <c r="AI75" i="16"/>
  <c r="AH75" i="16"/>
  <c r="AI74" i="16"/>
  <c r="AH74" i="16"/>
  <c r="AI73" i="16"/>
  <c r="AH73" i="16"/>
  <c r="AI72" i="16"/>
  <c r="AH72" i="16"/>
  <c r="AI71" i="16"/>
  <c r="AH71" i="16"/>
  <c r="AI70" i="16"/>
  <c r="AH70" i="16"/>
  <c r="AI69" i="16"/>
  <c r="AH69" i="16"/>
  <c r="AI68" i="16"/>
  <c r="AH68" i="16"/>
  <c r="AI67" i="16"/>
  <c r="AH67" i="16"/>
  <c r="AG66" i="16"/>
  <c r="AG4" i="16" s="1"/>
  <c r="AF66" i="16"/>
  <c r="AE66" i="16"/>
  <c r="AD66" i="16"/>
  <c r="AC66" i="16"/>
  <c r="AB66" i="16"/>
  <c r="AA66" i="16"/>
  <c r="Z66" i="16"/>
  <c r="Y66" i="16"/>
  <c r="X66" i="16"/>
  <c r="W66" i="16"/>
  <c r="V66" i="16"/>
  <c r="U66" i="16"/>
  <c r="T66" i="16"/>
  <c r="S66" i="16"/>
  <c r="R66" i="16"/>
  <c r="Q66" i="16"/>
  <c r="P66" i="16"/>
  <c r="O66" i="16"/>
  <c r="N66" i="16"/>
  <c r="M66" i="16"/>
  <c r="L66" i="16"/>
  <c r="AI65" i="16"/>
  <c r="AH65" i="16"/>
  <c r="AI64" i="16"/>
  <c r="AH64" i="16"/>
  <c r="AI63" i="16"/>
  <c r="AH63" i="16"/>
  <c r="AF62" i="16"/>
  <c r="AE62" i="16"/>
  <c r="AD62" i="16"/>
  <c r="AC62" i="16"/>
  <c r="AB62" i="16"/>
  <c r="AA62" i="16"/>
  <c r="Z62" i="16"/>
  <c r="Y62" i="16"/>
  <c r="X62" i="16"/>
  <c r="W62" i="16"/>
  <c r="V62" i="16"/>
  <c r="U62" i="16"/>
  <c r="T62" i="16"/>
  <c r="S62" i="16"/>
  <c r="R62" i="16"/>
  <c r="Q62" i="16"/>
  <c r="P62" i="16"/>
  <c r="O62" i="16"/>
  <c r="N62" i="16"/>
  <c r="M62" i="16"/>
  <c r="L62" i="16"/>
  <c r="K62" i="16"/>
  <c r="J62" i="16"/>
  <c r="I62" i="16"/>
  <c r="H62" i="16"/>
  <c r="C62" i="16"/>
  <c r="B62" i="16"/>
  <c r="AI61" i="16"/>
  <c r="AH61" i="16"/>
  <c r="AI60" i="16"/>
  <c r="AH60" i="16"/>
  <c r="AI59" i="16"/>
  <c r="AH59" i="16"/>
  <c r="AI58" i="16"/>
  <c r="AH58" i="16"/>
  <c r="AI57" i="16"/>
  <c r="AH57" i="16"/>
  <c r="AI56" i="16"/>
  <c r="AH56" i="16"/>
  <c r="AI55" i="16"/>
  <c r="AH55" i="16"/>
  <c r="AI54" i="16"/>
  <c r="AH54" i="16"/>
  <c r="AI53" i="16"/>
  <c r="AH53" i="16"/>
  <c r="AI52" i="16"/>
  <c r="AH52" i="16"/>
  <c r="AI51" i="16"/>
  <c r="AH51" i="16"/>
  <c r="AI50" i="16"/>
  <c r="AH50" i="16"/>
  <c r="AI49" i="16"/>
  <c r="AH49" i="16"/>
  <c r="AG48" i="16"/>
  <c r="AF48" i="16"/>
  <c r="AE48" i="16"/>
  <c r="AD48" i="16"/>
  <c r="AC48" i="16"/>
  <c r="AA48" i="16"/>
  <c r="Z48" i="16"/>
  <c r="Y48" i="16"/>
  <c r="X48" i="16"/>
  <c r="W48" i="16"/>
  <c r="V48" i="16"/>
  <c r="U48" i="16"/>
  <c r="T48" i="16"/>
  <c r="S48" i="16"/>
  <c r="R48" i="16"/>
  <c r="Q48" i="16"/>
  <c r="P48" i="16"/>
  <c r="O48" i="16"/>
  <c r="N48" i="16"/>
  <c r="M48" i="16"/>
  <c r="L48" i="16"/>
  <c r="K48" i="16"/>
  <c r="J48" i="16"/>
  <c r="I48" i="16"/>
  <c r="H48" i="16"/>
  <c r="C48" i="16"/>
  <c r="B48" i="16"/>
  <c r="AI47" i="16"/>
  <c r="AH47" i="16"/>
  <c r="AI46" i="16"/>
  <c r="AH46" i="16"/>
  <c r="AI45" i="16"/>
  <c r="AH45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C44" i="16"/>
  <c r="B44" i="16"/>
  <c r="AI43" i="16"/>
  <c r="AH43" i="16"/>
  <c r="AI42" i="16"/>
  <c r="AH42" i="16"/>
  <c r="AI41" i="16"/>
  <c r="AH41" i="16"/>
  <c r="AI40" i="16"/>
  <c r="AH40" i="16"/>
  <c r="AI39" i="16"/>
  <c r="AH39" i="16"/>
  <c r="AI38" i="16"/>
  <c r="AH38" i="16"/>
  <c r="AI37" i="16"/>
  <c r="AH37" i="16"/>
  <c r="AI36" i="16"/>
  <c r="AH36" i="16"/>
  <c r="AI35" i="16"/>
  <c r="AH35" i="16"/>
  <c r="AI34" i="16"/>
  <c r="AH34" i="16"/>
  <c r="AI33" i="16"/>
  <c r="AH33" i="16"/>
  <c r="AI32" i="16"/>
  <c r="AH32" i="16"/>
  <c r="AI31" i="16"/>
  <c r="AH31" i="16"/>
  <c r="AI30" i="16"/>
  <c r="AH30" i="16"/>
  <c r="AI29" i="16"/>
  <c r="AH29" i="16"/>
  <c r="AI28" i="16"/>
  <c r="AH28" i="16"/>
  <c r="AI27" i="16"/>
  <c r="AH27" i="16"/>
  <c r="AI26" i="16"/>
  <c r="AH26" i="16"/>
  <c r="AI25" i="16"/>
  <c r="AH25" i="16"/>
  <c r="AI24" i="16"/>
  <c r="AH24" i="16"/>
  <c r="AI23" i="16"/>
  <c r="AH23" i="16"/>
  <c r="AI22" i="16"/>
  <c r="AH22" i="16"/>
  <c r="AI21" i="16"/>
  <c r="AH21" i="16"/>
  <c r="AI20" i="16"/>
  <c r="AH20" i="16"/>
  <c r="AI19" i="16"/>
  <c r="AH19" i="16"/>
  <c r="AI18" i="16"/>
  <c r="AH18" i="16"/>
  <c r="AI17" i="16"/>
  <c r="AH17" i="16"/>
  <c r="AI16" i="16"/>
  <c r="AH16" i="16"/>
  <c r="AI15" i="16"/>
  <c r="AH15" i="16"/>
  <c r="AI14" i="16"/>
  <c r="AH14" i="16"/>
  <c r="AI13" i="16"/>
  <c r="AH13" i="16"/>
  <c r="AI12" i="16"/>
  <c r="AH12" i="16"/>
  <c r="AI11" i="16"/>
  <c r="AH11" i="16"/>
  <c r="AF5" i="16"/>
  <c r="AB5" i="16"/>
  <c r="K4" i="16"/>
  <c r="E4" i="16"/>
  <c r="H4" i="16" s="1"/>
  <c r="B4" i="16"/>
  <c r="S239" i="16" s="1"/>
  <c r="AG2" i="16"/>
  <c r="Z107" i="15"/>
  <c r="Y44" i="15"/>
  <c r="Y48" i="15"/>
  <c r="L48" i="15"/>
  <c r="W107" i="15"/>
  <c r="U107" i="15"/>
  <c r="AI107" i="15" s="1"/>
  <c r="T107" i="15"/>
  <c r="T104" i="15" s="1"/>
  <c r="G105" i="15"/>
  <c r="AI105" i="15" s="1"/>
  <c r="AF267" i="15"/>
  <c r="AE267" i="15"/>
  <c r="AD267" i="15"/>
  <c r="AC267" i="15"/>
  <c r="AB267" i="15"/>
  <c r="AA267" i="15"/>
  <c r="Z267" i="15"/>
  <c r="Y267" i="15"/>
  <c r="X267" i="15"/>
  <c r="W267" i="15"/>
  <c r="V267" i="15"/>
  <c r="U267" i="15"/>
  <c r="T267" i="15"/>
  <c r="S267" i="15"/>
  <c r="R267" i="15"/>
  <c r="Q267" i="15"/>
  <c r="P267" i="15"/>
  <c r="O267" i="15"/>
  <c r="N267" i="15"/>
  <c r="M267" i="15"/>
  <c r="L267" i="15"/>
  <c r="K267" i="15"/>
  <c r="J267" i="15"/>
  <c r="I267" i="15"/>
  <c r="H267" i="15"/>
  <c r="G267" i="15"/>
  <c r="F267" i="15"/>
  <c r="E267" i="15"/>
  <c r="D267" i="15"/>
  <c r="C267" i="15"/>
  <c r="B267" i="15"/>
  <c r="A267" i="15"/>
  <c r="AF266" i="15"/>
  <c r="AE266" i="15"/>
  <c r="AD266" i="15"/>
  <c r="AC266" i="15"/>
  <c r="AB266" i="15"/>
  <c r="AA266" i="15"/>
  <c r="Z266" i="15"/>
  <c r="Y266" i="15"/>
  <c r="X266" i="15"/>
  <c r="W266" i="15"/>
  <c r="V266" i="15"/>
  <c r="U266" i="15"/>
  <c r="T266" i="15"/>
  <c r="S266" i="15"/>
  <c r="R266" i="15"/>
  <c r="Q266" i="15"/>
  <c r="P266" i="15"/>
  <c r="O266" i="15"/>
  <c r="N266" i="15"/>
  <c r="M266" i="15"/>
  <c r="L266" i="15"/>
  <c r="K266" i="15"/>
  <c r="J266" i="15"/>
  <c r="I266" i="15"/>
  <c r="H266" i="15"/>
  <c r="G266" i="15"/>
  <c r="F266" i="15"/>
  <c r="E266" i="15"/>
  <c r="D266" i="15"/>
  <c r="C266" i="15"/>
  <c r="B266" i="15"/>
  <c r="A266" i="15"/>
  <c r="AF265" i="15"/>
  <c r="AE265" i="15"/>
  <c r="AD265" i="15"/>
  <c r="AC265" i="15"/>
  <c r="AB265" i="15"/>
  <c r="AA265" i="15"/>
  <c r="Z265" i="15"/>
  <c r="Y265" i="15"/>
  <c r="X265" i="15"/>
  <c r="W265" i="15"/>
  <c r="V265" i="15"/>
  <c r="U265" i="15"/>
  <c r="T265" i="15"/>
  <c r="S265" i="15"/>
  <c r="R265" i="15"/>
  <c r="Q265" i="15"/>
  <c r="P265" i="15"/>
  <c r="O265" i="15"/>
  <c r="N265" i="15"/>
  <c r="M265" i="15"/>
  <c r="L265" i="15"/>
  <c r="K265" i="15"/>
  <c r="J265" i="15"/>
  <c r="I265" i="15"/>
  <c r="H265" i="15"/>
  <c r="G265" i="15"/>
  <c r="F265" i="15"/>
  <c r="E265" i="15"/>
  <c r="D265" i="15"/>
  <c r="C265" i="15"/>
  <c r="B265" i="15"/>
  <c r="A265" i="15"/>
  <c r="AF264" i="15"/>
  <c r="AE264" i="15"/>
  <c r="AD264" i="15"/>
  <c r="AC264" i="15"/>
  <c r="AB264" i="15"/>
  <c r="AA264" i="15"/>
  <c r="Z264" i="15"/>
  <c r="Y264" i="15"/>
  <c r="X264" i="15"/>
  <c r="W264" i="15"/>
  <c r="V264" i="15"/>
  <c r="U264" i="15"/>
  <c r="T264" i="15"/>
  <c r="S264" i="15"/>
  <c r="R264" i="15"/>
  <c r="Q264" i="15"/>
  <c r="P264" i="15"/>
  <c r="O264" i="15"/>
  <c r="N264" i="15"/>
  <c r="M264" i="15"/>
  <c r="L264" i="15"/>
  <c r="K264" i="15"/>
  <c r="J264" i="15"/>
  <c r="I264" i="15"/>
  <c r="H264" i="15"/>
  <c r="G264" i="15"/>
  <c r="F264" i="15"/>
  <c r="E264" i="15"/>
  <c r="D264" i="15"/>
  <c r="C264" i="15"/>
  <c r="B264" i="15"/>
  <c r="A264" i="15"/>
  <c r="AE263" i="15"/>
  <c r="AD263" i="15"/>
  <c r="AC263" i="15"/>
  <c r="AB263" i="15"/>
  <c r="AA263" i="15"/>
  <c r="Z263" i="15"/>
  <c r="Y263" i="15"/>
  <c r="X263" i="15"/>
  <c r="W263" i="15"/>
  <c r="V263" i="15"/>
  <c r="U263" i="15"/>
  <c r="T263" i="15"/>
  <c r="S263" i="15"/>
  <c r="R263" i="15"/>
  <c r="Q263" i="15"/>
  <c r="P263" i="15"/>
  <c r="B263" i="15"/>
  <c r="S238" i="15"/>
  <c r="AG228" i="15"/>
  <c r="AG61" i="15" s="1"/>
  <c r="AG62" i="15" s="1"/>
  <c r="AG3" i="15" s="1"/>
  <c r="AF228" i="15"/>
  <c r="AE228" i="15"/>
  <c r="AD228" i="15"/>
  <c r="AC228" i="15"/>
  <c r="AB228" i="15"/>
  <c r="AA228" i="15"/>
  <c r="Z228" i="15"/>
  <c r="Y228" i="15"/>
  <c r="X228" i="15"/>
  <c r="W228" i="15"/>
  <c r="V228" i="15"/>
  <c r="U228" i="15"/>
  <c r="T228" i="15"/>
  <c r="S228" i="15"/>
  <c r="R228" i="15"/>
  <c r="Q228" i="15"/>
  <c r="C228" i="15"/>
  <c r="D227" i="15"/>
  <c r="C263" i="15" s="1"/>
  <c r="B227" i="15"/>
  <c r="AF263" i="15" s="1"/>
  <c r="D226" i="15"/>
  <c r="E226" i="15" s="1"/>
  <c r="F226" i="15" s="1"/>
  <c r="G226" i="15" s="1"/>
  <c r="H226" i="15" s="1"/>
  <c r="I226" i="15" s="1"/>
  <c r="J226" i="15" s="1"/>
  <c r="K226" i="15" s="1"/>
  <c r="L226" i="15" s="1"/>
  <c r="M226" i="15" s="1"/>
  <c r="N226" i="15" s="1"/>
  <c r="O226" i="15" s="1"/>
  <c r="P226" i="15" s="1"/>
  <c r="B226" i="15"/>
  <c r="D225" i="15"/>
  <c r="E225" i="15" s="1"/>
  <c r="F225" i="15" s="1"/>
  <c r="G225" i="15" s="1"/>
  <c r="H225" i="15" s="1"/>
  <c r="I225" i="15" s="1"/>
  <c r="B225" i="15"/>
  <c r="D224" i="15"/>
  <c r="E224" i="15" s="1"/>
  <c r="F224" i="15" s="1"/>
  <c r="G224" i="15" s="1"/>
  <c r="H224" i="15" s="1"/>
  <c r="B224" i="15"/>
  <c r="D223" i="15"/>
  <c r="B223" i="15"/>
  <c r="E222" i="15"/>
  <c r="F222" i="15" s="1"/>
  <c r="D222" i="15"/>
  <c r="B222" i="15"/>
  <c r="B228" i="15" s="1"/>
  <c r="AG220" i="15"/>
  <c r="AF220" i="15"/>
  <c r="AE220" i="15"/>
  <c r="AD220" i="15"/>
  <c r="AC220" i="15"/>
  <c r="AB220" i="15"/>
  <c r="AA220" i="15"/>
  <c r="Z220" i="15"/>
  <c r="Y220" i="15"/>
  <c r="X220" i="15"/>
  <c r="W220" i="15"/>
  <c r="V220" i="15"/>
  <c r="U220" i="15"/>
  <c r="T220" i="15"/>
  <c r="S220" i="15"/>
  <c r="R220" i="15"/>
  <c r="Q220" i="15"/>
  <c r="P220" i="15"/>
  <c r="O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AI113" i="15"/>
  <c r="AH113" i="15"/>
  <c r="AI112" i="15"/>
  <c r="AH112" i="15"/>
  <c r="AI111" i="15"/>
  <c r="AH111" i="15"/>
  <c r="AI110" i="15"/>
  <c r="AH110" i="15"/>
  <c r="AI109" i="15"/>
  <c r="AH109" i="15"/>
  <c r="AI108" i="15"/>
  <c r="AH108" i="15"/>
  <c r="AI106" i="15"/>
  <c r="AH106" i="15"/>
  <c r="AH105" i="15"/>
  <c r="AF104" i="15"/>
  <c r="AE104" i="15"/>
  <c r="AD104" i="15"/>
  <c r="AC104" i="15"/>
  <c r="AB104" i="15"/>
  <c r="AA104" i="15"/>
  <c r="Z104" i="15"/>
  <c r="Y104" i="15"/>
  <c r="X104" i="15"/>
  <c r="W104" i="15"/>
  <c r="V104" i="15"/>
  <c r="S104" i="15"/>
  <c r="R104" i="15"/>
  <c r="Q104" i="15"/>
  <c r="C104" i="15"/>
  <c r="AI103" i="15"/>
  <c r="AH103" i="15"/>
  <c r="AI102" i="15"/>
  <c r="AH102" i="15"/>
  <c r="AI101" i="15"/>
  <c r="AH101" i="15"/>
  <c r="AI100" i="15"/>
  <c r="AH100" i="15"/>
  <c r="AI99" i="15"/>
  <c r="AH99" i="15"/>
  <c r="AI98" i="15"/>
  <c r="AH98" i="15"/>
  <c r="AI97" i="15"/>
  <c r="AH97" i="15"/>
  <c r="AI96" i="15"/>
  <c r="AH96" i="15"/>
  <c r="AI95" i="15"/>
  <c r="AH95" i="15"/>
  <c r="AI93" i="15"/>
  <c r="AH93" i="15"/>
  <c r="AI92" i="15"/>
  <c r="AH92" i="15"/>
  <c r="AI91" i="15"/>
  <c r="AH91" i="15"/>
  <c r="AI90" i="15"/>
  <c r="AH90" i="15"/>
  <c r="AI89" i="15"/>
  <c r="AH89" i="15"/>
  <c r="AI88" i="15"/>
  <c r="AH88" i="15"/>
  <c r="AI87" i="15"/>
  <c r="AH87" i="15"/>
  <c r="AI84" i="15"/>
  <c r="AH84" i="15"/>
  <c r="AI82" i="15"/>
  <c r="AH82" i="15"/>
  <c r="AG82" i="15"/>
  <c r="AI81" i="15"/>
  <c r="AH81" i="15"/>
  <c r="AI80" i="15"/>
  <c r="AH80" i="15"/>
  <c r="AI79" i="15"/>
  <c r="AH79" i="15"/>
  <c r="AN78" i="15"/>
  <c r="AG78" i="15"/>
  <c r="AF78" i="15"/>
  <c r="AF94" i="15" s="1"/>
  <c r="AE78" i="15"/>
  <c r="AD5" i="15" s="1"/>
  <c r="AD78" i="15"/>
  <c r="AD94" i="15" s="1"/>
  <c r="AC78" i="15"/>
  <c r="AC94" i="15" s="1"/>
  <c r="AB78" i="15"/>
  <c r="AB94" i="15" s="1"/>
  <c r="AA78" i="15"/>
  <c r="AA94" i="15" s="1"/>
  <c r="Z78" i="15"/>
  <c r="Z94" i="15" s="1"/>
  <c r="Y78" i="15"/>
  <c r="Y94" i="15" s="1"/>
  <c r="X78" i="15"/>
  <c r="X94" i="15" s="1"/>
  <c r="W78" i="15"/>
  <c r="V5" i="15" s="1"/>
  <c r="V78" i="15"/>
  <c r="U5" i="15" s="1"/>
  <c r="U78" i="15"/>
  <c r="U94" i="15" s="1"/>
  <c r="T78" i="15"/>
  <c r="T94" i="15" s="1"/>
  <c r="S78" i="15"/>
  <c r="S94" i="15" s="1"/>
  <c r="R78" i="15"/>
  <c r="R94" i="15" s="1"/>
  <c r="Q78" i="15"/>
  <c r="Q94" i="15" s="1"/>
  <c r="P78" i="15"/>
  <c r="P94" i="15" s="1"/>
  <c r="O78" i="15"/>
  <c r="N5" i="15" s="1"/>
  <c r="N78" i="15"/>
  <c r="N94" i="15" s="1"/>
  <c r="M78" i="15"/>
  <c r="M94" i="15" s="1"/>
  <c r="L78" i="15"/>
  <c r="L94" i="15" s="1"/>
  <c r="K78" i="15"/>
  <c r="K94" i="15" s="1"/>
  <c r="J78" i="15"/>
  <c r="J94" i="15" s="1"/>
  <c r="I78" i="15"/>
  <c r="I94" i="15" s="1"/>
  <c r="H78" i="15"/>
  <c r="H94" i="15" s="1"/>
  <c r="G78" i="15"/>
  <c r="F5" i="15" s="1"/>
  <c r="F78" i="15"/>
  <c r="F94" i="15" s="1"/>
  <c r="E78" i="15"/>
  <c r="E94" i="15" s="1"/>
  <c r="D78" i="15"/>
  <c r="D94" i="15" s="1"/>
  <c r="C78" i="15"/>
  <c r="C94" i="15" s="1"/>
  <c r="B78" i="15"/>
  <c r="B94" i="15" s="1"/>
  <c r="AN77" i="15"/>
  <c r="AI77" i="15"/>
  <c r="AH77" i="15"/>
  <c r="AN76" i="15"/>
  <c r="AI76" i="15"/>
  <c r="AH76" i="15"/>
  <c r="AN75" i="15"/>
  <c r="AI75" i="15"/>
  <c r="AH75" i="15"/>
  <c r="AI74" i="15"/>
  <c r="AH74" i="15"/>
  <c r="AI73" i="15"/>
  <c r="AH73" i="15"/>
  <c r="AI72" i="15"/>
  <c r="AH72" i="15"/>
  <c r="AI71" i="15"/>
  <c r="AH71" i="15"/>
  <c r="AI70" i="15"/>
  <c r="AH70" i="15"/>
  <c r="AI69" i="15"/>
  <c r="AH69" i="15"/>
  <c r="AI68" i="15"/>
  <c r="AH68" i="15"/>
  <c r="AI67" i="15"/>
  <c r="AH67" i="15"/>
  <c r="AG66" i="15"/>
  <c r="AG4" i="15" s="1"/>
  <c r="AF66" i="15"/>
  <c r="AE66" i="15"/>
  <c r="AD66" i="15"/>
  <c r="AC66" i="15"/>
  <c r="AB66" i="15"/>
  <c r="AA66" i="15"/>
  <c r="Z66" i="15"/>
  <c r="Y66" i="15"/>
  <c r="Y83" i="15" s="1"/>
  <c r="Y85" i="15" s="1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AI65" i="15"/>
  <c r="AH65" i="15"/>
  <c r="AI64" i="15"/>
  <c r="AH64" i="15"/>
  <c r="AI63" i="15"/>
  <c r="AH63" i="15"/>
  <c r="AF62" i="15"/>
  <c r="AE62" i="15"/>
  <c r="AD62" i="15"/>
  <c r="AC62" i="15"/>
  <c r="AB62" i="15"/>
  <c r="AA62" i="15"/>
  <c r="Z62" i="15"/>
  <c r="Y62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I61" i="15"/>
  <c r="AH61" i="15"/>
  <c r="AI60" i="15"/>
  <c r="AH60" i="15"/>
  <c r="AI59" i="15"/>
  <c r="AH59" i="15"/>
  <c r="AI58" i="15"/>
  <c r="AH58" i="15"/>
  <c r="AI57" i="15"/>
  <c r="AH57" i="15"/>
  <c r="AI56" i="15"/>
  <c r="AH56" i="15"/>
  <c r="AI55" i="15"/>
  <c r="AH55" i="15"/>
  <c r="AI54" i="15"/>
  <c r="AH54" i="15"/>
  <c r="AI53" i="15"/>
  <c r="AH53" i="15"/>
  <c r="AI52" i="15"/>
  <c r="AH52" i="15"/>
  <c r="AI51" i="15"/>
  <c r="AH51" i="15"/>
  <c r="AI50" i="15"/>
  <c r="AH50" i="15"/>
  <c r="AI49" i="15"/>
  <c r="AH49" i="15"/>
  <c r="AG48" i="15"/>
  <c r="AF48" i="15"/>
  <c r="AE48" i="15"/>
  <c r="AD48" i="15"/>
  <c r="AC48" i="15"/>
  <c r="AB48" i="15"/>
  <c r="AA48" i="15"/>
  <c r="Z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K48" i="15"/>
  <c r="J48" i="15"/>
  <c r="I48" i="15"/>
  <c r="H48" i="15"/>
  <c r="G48" i="15"/>
  <c r="F48" i="15"/>
  <c r="E48" i="15"/>
  <c r="D48" i="15"/>
  <c r="C48" i="15"/>
  <c r="B48" i="15"/>
  <c r="AI47" i="15"/>
  <c r="AH47" i="15"/>
  <c r="AI46" i="15"/>
  <c r="AH46" i="15"/>
  <c r="AI45" i="15"/>
  <c r="AH45" i="15"/>
  <c r="AG44" i="15"/>
  <c r="AF44" i="15"/>
  <c r="AE44" i="15"/>
  <c r="AD44" i="15"/>
  <c r="AC44" i="15"/>
  <c r="AB44" i="15"/>
  <c r="AA44" i="15"/>
  <c r="Z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K44" i="15"/>
  <c r="J44" i="15"/>
  <c r="I44" i="15"/>
  <c r="H44" i="15"/>
  <c r="G44" i="15"/>
  <c r="F44" i="15"/>
  <c r="E44" i="15"/>
  <c r="D44" i="15"/>
  <c r="C44" i="15"/>
  <c r="B44" i="15"/>
  <c r="AI43" i="15"/>
  <c r="AH43" i="15"/>
  <c r="AI42" i="15"/>
  <c r="AH42" i="15"/>
  <c r="AI41" i="15"/>
  <c r="AH41" i="15"/>
  <c r="AI40" i="15"/>
  <c r="AH40" i="15"/>
  <c r="AI39" i="15"/>
  <c r="AH39" i="15"/>
  <c r="AI38" i="15"/>
  <c r="AH38" i="15"/>
  <c r="AI37" i="15"/>
  <c r="AH37" i="15"/>
  <c r="AI36" i="15"/>
  <c r="AH36" i="15"/>
  <c r="AI35" i="15"/>
  <c r="AH35" i="15"/>
  <c r="AI34" i="15"/>
  <c r="AH34" i="15"/>
  <c r="AI33" i="15"/>
  <c r="AH33" i="15"/>
  <c r="AI32" i="15"/>
  <c r="AH32" i="15"/>
  <c r="AI31" i="15"/>
  <c r="AH31" i="15"/>
  <c r="AI30" i="15"/>
  <c r="AH30" i="15"/>
  <c r="AI29" i="15"/>
  <c r="AH29" i="15"/>
  <c r="AI28" i="15"/>
  <c r="AH28" i="15"/>
  <c r="AI27" i="15"/>
  <c r="AH27" i="15"/>
  <c r="AI26" i="15"/>
  <c r="AH26" i="15"/>
  <c r="AI25" i="15"/>
  <c r="AH25" i="15"/>
  <c r="AI24" i="15"/>
  <c r="AH24" i="15"/>
  <c r="AI23" i="15"/>
  <c r="AH23" i="15"/>
  <c r="AI22" i="15"/>
  <c r="AH22" i="15"/>
  <c r="AI21" i="15"/>
  <c r="AH21" i="15"/>
  <c r="AI20" i="15"/>
  <c r="AH20" i="15"/>
  <c r="AI19" i="15"/>
  <c r="AH19" i="15"/>
  <c r="AI18" i="15"/>
  <c r="AH18" i="15"/>
  <c r="AI17" i="15"/>
  <c r="AH17" i="15"/>
  <c r="AI16" i="15"/>
  <c r="AH16" i="15"/>
  <c r="AI15" i="15"/>
  <c r="AH15" i="15"/>
  <c r="AI14" i="15"/>
  <c r="AH14" i="15"/>
  <c r="AI13" i="15"/>
  <c r="AH13" i="15"/>
  <c r="AI12" i="15"/>
  <c r="AH12" i="15"/>
  <c r="AI11" i="15"/>
  <c r="AH11" i="15"/>
  <c r="AC5" i="15"/>
  <c r="Y5" i="15"/>
  <c r="J5" i="15"/>
  <c r="K4" i="15"/>
  <c r="E4" i="15"/>
  <c r="H4" i="15" s="1"/>
  <c r="B4" i="15"/>
  <c r="D239" i="15" s="1"/>
  <c r="AC44" i="14"/>
  <c r="AC107" i="14"/>
  <c r="AA108" i="14"/>
  <c r="Z107" i="14"/>
  <c r="Y107" i="14"/>
  <c r="X107" i="14"/>
  <c r="W107" i="14"/>
  <c r="V107" i="14"/>
  <c r="U107" i="14"/>
  <c r="T107" i="14"/>
  <c r="S107" i="14"/>
  <c r="J5" i="16" l="1"/>
  <c r="AN77" i="16"/>
  <c r="B104" i="15"/>
  <c r="L5" i="16"/>
  <c r="AG85" i="16"/>
  <c r="E227" i="17"/>
  <c r="AG6" i="16"/>
  <c r="AG83" i="15"/>
  <c r="B228" i="17"/>
  <c r="W5" i="16"/>
  <c r="Q83" i="16"/>
  <c r="Q85" i="16" s="1"/>
  <c r="D83" i="16"/>
  <c r="D85" i="16" s="1"/>
  <c r="D86" i="16" s="1"/>
  <c r="O5" i="15"/>
  <c r="AG85" i="15"/>
  <c r="D228" i="16"/>
  <c r="AN77" i="17"/>
  <c r="Z94" i="17"/>
  <c r="AH107" i="17"/>
  <c r="AH107" i="16"/>
  <c r="AI107" i="17"/>
  <c r="AB5" i="15"/>
  <c r="D104" i="16"/>
  <c r="AG2" i="15"/>
  <c r="AG6" i="15" s="1"/>
  <c r="U104" i="15"/>
  <c r="D228" i="15"/>
  <c r="B104" i="16"/>
  <c r="F5" i="17"/>
  <c r="AF94" i="17"/>
  <c r="AF83" i="17"/>
  <c r="AF85" i="17" s="1"/>
  <c r="AF7" i="17" s="1"/>
  <c r="AE94" i="17"/>
  <c r="AE83" i="17"/>
  <c r="AE85" i="17" s="1"/>
  <c r="AC5" i="17"/>
  <c r="AD83" i="17"/>
  <c r="AD85" i="17" s="1"/>
  <c r="AB5" i="17"/>
  <c r="AC83" i="17"/>
  <c r="AC85" i="17" s="1"/>
  <c r="AB83" i="17"/>
  <c r="AB85" i="17" s="1"/>
  <c r="AB86" i="17" s="1"/>
  <c r="X83" i="17"/>
  <c r="X85" i="17" s="1"/>
  <c r="X86" i="17" s="1"/>
  <c r="AA83" i="17"/>
  <c r="AA85" i="17" s="1"/>
  <c r="V5" i="17"/>
  <c r="Y83" i="17"/>
  <c r="Y85" i="17" s="1"/>
  <c r="AQ242" i="17" s="1"/>
  <c r="Z83" i="17"/>
  <c r="Z85" i="17" s="1"/>
  <c r="W83" i="17"/>
  <c r="W85" i="17" s="1"/>
  <c r="AO242" i="17" s="1"/>
  <c r="V83" i="17"/>
  <c r="V85" i="17" s="1"/>
  <c r="V7" i="17" s="1"/>
  <c r="U83" i="17"/>
  <c r="U85" i="17" s="1"/>
  <c r="T83" i="17"/>
  <c r="T85" i="17" s="1"/>
  <c r="T86" i="17" s="1"/>
  <c r="S83" i="17"/>
  <c r="S85" i="17" s="1"/>
  <c r="Q83" i="17"/>
  <c r="Q85" i="17" s="1"/>
  <c r="P94" i="17"/>
  <c r="R94" i="17"/>
  <c r="R83" i="17"/>
  <c r="R85" i="17" s="1"/>
  <c r="AJ242" i="17" s="1"/>
  <c r="P83" i="17"/>
  <c r="P85" i="17" s="1"/>
  <c r="N5" i="17"/>
  <c r="O83" i="17"/>
  <c r="O85" i="17" s="1"/>
  <c r="O86" i="17" s="1"/>
  <c r="M5" i="17"/>
  <c r="N83" i="17"/>
  <c r="N85" i="17" s="1"/>
  <c r="L5" i="17"/>
  <c r="M83" i="17"/>
  <c r="M85" i="17" s="1"/>
  <c r="M7" i="17" s="1"/>
  <c r="L83" i="17"/>
  <c r="L85" i="17" s="1"/>
  <c r="L86" i="17" s="1"/>
  <c r="K83" i="17"/>
  <c r="K85" i="17" s="1"/>
  <c r="K86" i="17" s="1"/>
  <c r="J94" i="17"/>
  <c r="J83" i="17"/>
  <c r="J85" i="17" s="1"/>
  <c r="J7" i="17" s="1"/>
  <c r="I83" i="17"/>
  <c r="I85" i="17" s="1"/>
  <c r="I86" i="17" s="1"/>
  <c r="H94" i="17"/>
  <c r="H83" i="17"/>
  <c r="H85" i="17" s="1"/>
  <c r="H86" i="17" s="1"/>
  <c r="G83" i="17"/>
  <c r="G85" i="17" s="1"/>
  <c r="G7" i="17" s="1"/>
  <c r="F83" i="17"/>
  <c r="F85" i="17" s="1"/>
  <c r="F86" i="17" s="1"/>
  <c r="AI62" i="17"/>
  <c r="AI48" i="17"/>
  <c r="E83" i="17"/>
  <c r="E85" i="17" s="1"/>
  <c r="E86" i="17" s="1"/>
  <c r="D83" i="17"/>
  <c r="D85" i="17" s="1"/>
  <c r="D86" i="17" s="1"/>
  <c r="AH78" i="17"/>
  <c r="C83" i="17"/>
  <c r="C85" i="17" s="1"/>
  <c r="C7" i="17" s="1"/>
  <c r="B83" i="17"/>
  <c r="B85" i="17" s="1"/>
  <c r="B86" i="17" s="1"/>
  <c r="B94" i="17"/>
  <c r="U7" i="17"/>
  <c r="U86" i="17"/>
  <c r="AM242" i="17"/>
  <c r="AC7" i="17"/>
  <c r="AC86" i="17"/>
  <c r="AU242" i="17"/>
  <c r="AW242" i="17"/>
  <c r="AE86" i="17"/>
  <c r="AE7" i="17"/>
  <c r="AB7" i="17"/>
  <c r="AT242" i="17"/>
  <c r="X242" i="17"/>
  <c r="AF86" i="17"/>
  <c r="J225" i="17"/>
  <c r="K225" i="17" s="1"/>
  <c r="L225" i="17" s="1"/>
  <c r="M225" i="17" s="1"/>
  <c r="N225" i="17" s="1"/>
  <c r="O225" i="17" s="1"/>
  <c r="P225" i="17" s="1"/>
  <c r="Y242" i="17"/>
  <c r="Q7" i="17"/>
  <c r="AI242" i="17"/>
  <c r="Q86" i="17"/>
  <c r="Y7" i="17"/>
  <c r="AG83" i="17"/>
  <c r="AF242" i="17"/>
  <c r="N86" i="17"/>
  <c r="N7" i="17"/>
  <c r="AN242" i="17"/>
  <c r="V86" i="17"/>
  <c r="AV242" i="17"/>
  <c r="AD86" i="17"/>
  <c r="AD7" i="17"/>
  <c r="Z7" i="17"/>
  <c r="AR242" i="17"/>
  <c r="Z86" i="17"/>
  <c r="AG242" i="17"/>
  <c r="S86" i="17"/>
  <c r="AK242" i="17"/>
  <c r="S7" i="17"/>
  <c r="AA86" i="17"/>
  <c r="AS242" i="17"/>
  <c r="AA7" i="17"/>
  <c r="P86" i="17"/>
  <c r="P7" i="17"/>
  <c r="AH242" i="17"/>
  <c r="AG85" i="17"/>
  <c r="AI78" i="17"/>
  <c r="AH48" i="17"/>
  <c r="C94" i="17"/>
  <c r="S94" i="17"/>
  <c r="H5" i="17"/>
  <c r="P5" i="17"/>
  <c r="X5" i="17"/>
  <c r="AF5" i="17"/>
  <c r="AH66" i="17"/>
  <c r="D239" i="17"/>
  <c r="K94" i="17"/>
  <c r="AA94" i="17"/>
  <c r="AI66" i="17"/>
  <c r="D104" i="17"/>
  <c r="AH62" i="17"/>
  <c r="AG2" i="17"/>
  <c r="AG6" i="17" s="1"/>
  <c r="C5" i="17"/>
  <c r="K5" i="17"/>
  <c r="S5" i="17"/>
  <c r="AA5" i="17"/>
  <c r="E222" i="17"/>
  <c r="AI44" i="17"/>
  <c r="AH44" i="17"/>
  <c r="AE5" i="16"/>
  <c r="AF83" i="16"/>
  <c r="AF85" i="16" s="1"/>
  <c r="AX242" i="16" s="1"/>
  <c r="AE83" i="16"/>
  <c r="AE85" i="16" s="1"/>
  <c r="AE86" i="16" s="1"/>
  <c r="AD83" i="16"/>
  <c r="AD85" i="16" s="1"/>
  <c r="AV242" i="16" s="1"/>
  <c r="AC83" i="16"/>
  <c r="AC85" i="16" s="1"/>
  <c r="AC7" i="16" s="1"/>
  <c r="AA5" i="16"/>
  <c r="AB83" i="16"/>
  <c r="AB85" i="16" s="1"/>
  <c r="Z5" i="16"/>
  <c r="AA83" i="16"/>
  <c r="AA85" i="16" s="1"/>
  <c r="Y5" i="16"/>
  <c r="Z83" i="16"/>
  <c r="Z85" i="16" s="1"/>
  <c r="Z7" i="16" s="1"/>
  <c r="X5" i="16"/>
  <c r="Y83" i="16"/>
  <c r="Y85" i="16" s="1"/>
  <c r="Y7" i="16" s="1"/>
  <c r="X83" i="16"/>
  <c r="X85" i="16" s="1"/>
  <c r="W83" i="16"/>
  <c r="W85" i="16" s="1"/>
  <c r="W7" i="16" s="1"/>
  <c r="U5" i="16"/>
  <c r="V83" i="16"/>
  <c r="V85" i="16" s="1"/>
  <c r="T5" i="16"/>
  <c r="U83" i="16"/>
  <c r="U85" i="16" s="1"/>
  <c r="U86" i="16" s="1"/>
  <c r="T83" i="16"/>
  <c r="T85" i="16" s="1"/>
  <c r="S5" i="16"/>
  <c r="R5" i="16"/>
  <c r="S83" i="16"/>
  <c r="S85" i="16" s="1"/>
  <c r="Q5" i="16"/>
  <c r="R83" i="16"/>
  <c r="R85" i="16" s="1"/>
  <c r="P5" i="16"/>
  <c r="O5" i="16"/>
  <c r="P83" i="16"/>
  <c r="P85" i="16" s="1"/>
  <c r="O83" i="16"/>
  <c r="O85" i="16" s="1"/>
  <c r="O86" i="16" s="1"/>
  <c r="M5" i="16"/>
  <c r="N83" i="16"/>
  <c r="N85" i="16" s="1"/>
  <c r="N86" i="16" s="1"/>
  <c r="AI66" i="16"/>
  <c r="M83" i="16"/>
  <c r="M85" i="16" s="1"/>
  <c r="M7" i="16" s="1"/>
  <c r="K5" i="16"/>
  <c r="L83" i="16"/>
  <c r="L85" i="16" s="1"/>
  <c r="L7" i="16" s="1"/>
  <c r="AH66" i="16"/>
  <c r="K83" i="16"/>
  <c r="K85" i="16" s="1"/>
  <c r="K86" i="16" s="1"/>
  <c r="I5" i="16"/>
  <c r="J83" i="16"/>
  <c r="J85" i="16" s="1"/>
  <c r="AB242" i="16" s="1"/>
  <c r="H5" i="16"/>
  <c r="I83" i="16"/>
  <c r="I85" i="16" s="1"/>
  <c r="I86" i="16" s="1"/>
  <c r="G5" i="16"/>
  <c r="H83" i="16"/>
  <c r="H85" i="16" s="1"/>
  <c r="Z242" i="16" s="1"/>
  <c r="D5" i="16"/>
  <c r="E5" i="16"/>
  <c r="E83" i="16"/>
  <c r="E85" i="16" s="1"/>
  <c r="E86" i="16" s="1"/>
  <c r="F83" i="16"/>
  <c r="F85" i="16" s="1"/>
  <c r="F86" i="16" s="1"/>
  <c r="G83" i="16"/>
  <c r="G85" i="16" s="1"/>
  <c r="G86" i="16" s="1"/>
  <c r="F5" i="16"/>
  <c r="D94" i="16"/>
  <c r="AH78" i="16"/>
  <c r="B5" i="16"/>
  <c r="AI62" i="16"/>
  <c r="C83" i="16"/>
  <c r="C85" i="16" s="1"/>
  <c r="AI48" i="16"/>
  <c r="B94" i="16"/>
  <c r="B83" i="16"/>
  <c r="D239" i="16"/>
  <c r="AN242" i="16"/>
  <c r="V7" i="16"/>
  <c r="V86" i="16"/>
  <c r="AD7" i="16"/>
  <c r="AD86" i="16"/>
  <c r="AO242" i="16"/>
  <c r="W86" i="16"/>
  <c r="AW242" i="16"/>
  <c r="AE7" i="16"/>
  <c r="AB86" i="16"/>
  <c r="AB7" i="16"/>
  <c r="AT242" i="16"/>
  <c r="U7" i="16"/>
  <c r="AM242" i="16"/>
  <c r="AP242" i="16"/>
  <c r="X86" i="16"/>
  <c r="X7" i="16"/>
  <c r="AF7" i="16"/>
  <c r="L86" i="16"/>
  <c r="AD242" i="16"/>
  <c r="P86" i="16"/>
  <c r="AH242" i="16"/>
  <c r="P7" i="16"/>
  <c r="AA242" i="16"/>
  <c r="Q86" i="16"/>
  <c r="Q7" i="16"/>
  <c r="AI242" i="16"/>
  <c r="AG83" i="16"/>
  <c r="C86" i="16"/>
  <c r="C7" i="16"/>
  <c r="U242" i="16"/>
  <c r="T86" i="16"/>
  <c r="T7" i="16"/>
  <c r="AL242" i="16"/>
  <c r="AA86" i="16"/>
  <c r="AA7" i="16"/>
  <c r="AS242" i="16"/>
  <c r="J86" i="16"/>
  <c r="R86" i="16"/>
  <c r="R7" i="16"/>
  <c r="AJ242" i="16"/>
  <c r="Z86" i="16"/>
  <c r="AR242" i="16"/>
  <c r="J225" i="16"/>
  <c r="K225" i="16" s="1"/>
  <c r="L225" i="16" s="1"/>
  <c r="M225" i="16" s="1"/>
  <c r="N225" i="16" s="1"/>
  <c r="O225" i="16" s="1"/>
  <c r="P225" i="16" s="1"/>
  <c r="D7" i="16"/>
  <c r="V242" i="16"/>
  <c r="AE242" i="16"/>
  <c r="S86" i="16"/>
  <c r="S7" i="16"/>
  <c r="AK242" i="16"/>
  <c r="O94" i="16"/>
  <c r="W94" i="16"/>
  <c r="AE94" i="16"/>
  <c r="E227" i="16"/>
  <c r="AH62" i="16"/>
  <c r="E222" i="16"/>
  <c r="E104" i="16" s="1"/>
  <c r="AI78" i="16"/>
  <c r="AH44" i="16"/>
  <c r="AH48" i="16"/>
  <c r="AI44" i="16"/>
  <c r="AE5" i="15"/>
  <c r="AE83" i="15"/>
  <c r="AE85" i="15" s="1"/>
  <c r="AF83" i="15"/>
  <c r="AF85" i="15" s="1"/>
  <c r="AD83" i="15"/>
  <c r="AD85" i="15" s="1"/>
  <c r="AV242" i="15" s="1"/>
  <c r="AC83" i="15"/>
  <c r="AC85" i="15" s="1"/>
  <c r="AC7" i="15" s="1"/>
  <c r="AA5" i="15"/>
  <c r="AB83" i="15"/>
  <c r="AB85" i="15" s="1"/>
  <c r="Z5" i="15"/>
  <c r="AA83" i="15"/>
  <c r="AA85" i="15" s="1"/>
  <c r="Z83" i="15"/>
  <c r="Z85" i="15" s="1"/>
  <c r="X5" i="15"/>
  <c r="W5" i="15"/>
  <c r="X83" i="15"/>
  <c r="X85" i="15" s="1"/>
  <c r="AP242" i="15" s="1"/>
  <c r="K5" i="15"/>
  <c r="W83" i="15"/>
  <c r="W85" i="15" s="1"/>
  <c r="AH107" i="15"/>
  <c r="V94" i="15"/>
  <c r="U83" i="15"/>
  <c r="U85" i="15" s="1"/>
  <c r="T5" i="15"/>
  <c r="V83" i="15"/>
  <c r="V85" i="15" s="1"/>
  <c r="S5" i="15"/>
  <c r="T83" i="15"/>
  <c r="T85" i="15" s="1"/>
  <c r="R5" i="15"/>
  <c r="S83" i="15"/>
  <c r="S85" i="15" s="1"/>
  <c r="S86" i="15" s="1"/>
  <c r="Q5" i="15"/>
  <c r="R83" i="15"/>
  <c r="R85" i="15" s="1"/>
  <c r="P5" i="15"/>
  <c r="Q83" i="15"/>
  <c r="Q85" i="15" s="1"/>
  <c r="Q86" i="15" s="1"/>
  <c r="P83" i="15"/>
  <c r="P85" i="15" s="1"/>
  <c r="P86" i="15" s="1"/>
  <c r="O83" i="15"/>
  <c r="O85" i="15" s="1"/>
  <c r="O7" i="15" s="1"/>
  <c r="M5" i="15"/>
  <c r="AI66" i="15"/>
  <c r="N83" i="15"/>
  <c r="N85" i="15" s="1"/>
  <c r="AH66" i="15"/>
  <c r="L5" i="15"/>
  <c r="M83" i="15"/>
  <c r="M85" i="15" s="1"/>
  <c r="M7" i="15" s="1"/>
  <c r="H5" i="15"/>
  <c r="G5" i="15"/>
  <c r="I5" i="15"/>
  <c r="J83" i="15"/>
  <c r="J85" i="15" s="1"/>
  <c r="J86" i="15" s="1"/>
  <c r="L83" i="15"/>
  <c r="L85" i="15" s="1"/>
  <c r="AD242" i="15" s="1"/>
  <c r="G83" i="15"/>
  <c r="G85" i="15" s="1"/>
  <c r="G7" i="15" s="1"/>
  <c r="E5" i="15"/>
  <c r="H83" i="15"/>
  <c r="H85" i="15" s="1"/>
  <c r="H86" i="15" s="1"/>
  <c r="I83" i="15"/>
  <c r="I85" i="15" s="1"/>
  <c r="I86" i="15" s="1"/>
  <c r="F83" i="15"/>
  <c r="F85" i="15" s="1"/>
  <c r="X242" i="15" s="1"/>
  <c r="D5" i="15"/>
  <c r="K83" i="15"/>
  <c r="K85" i="15" s="1"/>
  <c r="K86" i="15" s="1"/>
  <c r="E83" i="15"/>
  <c r="E85" i="15" s="1"/>
  <c r="E7" i="15" s="1"/>
  <c r="C5" i="15"/>
  <c r="AI62" i="15"/>
  <c r="D83" i="15"/>
  <c r="D85" i="15" s="1"/>
  <c r="V242" i="15" s="1"/>
  <c r="B5" i="15"/>
  <c r="AH62" i="15"/>
  <c r="C83" i="15"/>
  <c r="C85" i="15" s="1"/>
  <c r="C7" i="15" s="1"/>
  <c r="AI48" i="15"/>
  <c r="AF5" i="15"/>
  <c r="B83" i="15"/>
  <c r="Y86" i="15"/>
  <c r="Y7" i="15"/>
  <c r="AQ242" i="15"/>
  <c r="R86" i="15"/>
  <c r="R7" i="15"/>
  <c r="AJ242" i="15"/>
  <c r="Z86" i="15"/>
  <c r="Z7" i="15"/>
  <c r="AR242" i="15"/>
  <c r="G222" i="15"/>
  <c r="Q7" i="15"/>
  <c r="AI242" i="15"/>
  <c r="AB86" i="15"/>
  <c r="AB7" i="15"/>
  <c r="AT242" i="15"/>
  <c r="AF86" i="15"/>
  <c r="AX242" i="15"/>
  <c r="AF7" i="15"/>
  <c r="T86" i="15"/>
  <c r="T7" i="15"/>
  <c r="AL242" i="15"/>
  <c r="U7" i="15"/>
  <c r="AM242" i="15"/>
  <c r="U86" i="15"/>
  <c r="AC86" i="15"/>
  <c r="AA86" i="15"/>
  <c r="AA7" i="15"/>
  <c r="AS242" i="15"/>
  <c r="AF242" i="15"/>
  <c r="N7" i="15"/>
  <c r="N86" i="15"/>
  <c r="AN242" i="15"/>
  <c r="V7" i="15"/>
  <c r="V86" i="15"/>
  <c r="AD86" i="15"/>
  <c r="AD7" i="15"/>
  <c r="J225" i="15"/>
  <c r="K225" i="15" s="1"/>
  <c r="L225" i="15" s="1"/>
  <c r="M225" i="15" s="1"/>
  <c r="N225" i="15" s="1"/>
  <c r="O225" i="15" s="1"/>
  <c r="P225" i="15" s="1"/>
  <c r="G86" i="15"/>
  <c r="AG242" i="15"/>
  <c r="O86" i="15"/>
  <c r="AO242" i="15"/>
  <c r="W86" i="15"/>
  <c r="W7" i="15"/>
  <c r="AW242" i="15"/>
  <c r="AE86" i="15"/>
  <c r="AE7" i="15"/>
  <c r="G94" i="15"/>
  <c r="O94" i="15"/>
  <c r="W94" i="15"/>
  <c r="AE94" i="15"/>
  <c r="D104" i="15"/>
  <c r="E223" i="15"/>
  <c r="E227" i="15"/>
  <c r="S239" i="15"/>
  <c r="AH78" i="15"/>
  <c r="AI78" i="15"/>
  <c r="AH44" i="15"/>
  <c r="AH48" i="15"/>
  <c r="AI44" i="15"/>
  <c r="AE242" i="15" l="1"/>
  <c r="AF86" i="16"/>
  <c r="AX242" i="17"/>
  <c r="AQ242" i="16"/>
  <c r="O7" i="16"/>
  <c r="F227" i="17"/>
  <c r="D263" i="17"/>
  <c r="K7" i="16"/>
  <c r="Y86" i="16"/>
  <c r="AG242" i="16"/>
  <c r="AL242" i="17"/>
  <c r="AH242" i="15"/>
  <c r="AC242" i="16"/>
  <c r="AU242" i="15"/>
  <c r="P7" i="15"/>
  <c r="Y242" i="15"/>
  <c r="X7" i="15"/>
  <c r="M86" i="16"/>
  <c r="AC86" i="16"/>
  <c r="T7" i="17"/>
  <c r="AP242" i="17"/>
  <c r="X86" i="15"/>
  <c r="AU242" i="16"/>
  <c r="O7" i="17"/>
  <c r="Y86" i="17"/>
  <c r="X7" i="17"/>
  <c r="W7" i="17"/>
  <c r="W86" i="17"/>
  <c r="R7" i="17"/>
  <c r="R86" i="17"/>
  <c r="G86" i="17"/>
  <c r="M86" i="17"/>
  <c r="AE242" i="17"/>
  <c r="AD242" i="17"/>
  <c r="L7" i="17"/>
  <c r="K7" i="17"/>
  <c r="AC242" i="17"/>
  <c r="J86" i="17"/>
  <c r="AB242" i="17"/>
  <c r="AA242" i="17"/>
  <c r="I7" i="17"/>
  <c r="C237" i="17"/>
  <c r="Z242" i="17"/>
  <c r="H7" i="17"/>
  <c r="B237" i="17"/>
  <c r="F7" i="17"/>
  <c r="W242" i="17"/>
  <c r="E7" i="17"/>
  <c r="V242" i="17"/>
  <c r="D7" i="17"/>
  <c r="AI94" i="17"/>
  <c r="U242" i="17"/>
  <c r="C86" i="17"/>
  <c r="AI83" i="17"/>
  <c r="AH83" i="17"/>
  <c r="AH94" i="17"/>
  <c r="E104" i="17"/>
  <c r="F222" i="17"/>
  <c r="E228" i="17"/>
  <c r="AH85" i="17"/>
  <c r="T242" i="17"/>
  <c r="AI85" i="17"/>
  <c r="B7" i="17"/>
  <c r="AI94" i="16"/>
  <c r="N7" i="16"/>
  <c r="AF242" i="16"/>
  <c r="J7" i="16"/>
  <c r="I7" i="16"/>
  <c r="E7" i="16"/>
  <c r="G7" i="16"/>
  <c r="C237" i="16"/>
  <c r="H7" i="16"/>
  <c r="AH83" i="16"/>
  <c r="H86" i="16"/>
  <c r="B237" i="16"/>
  <c r="W242" i="16"/>
  <c r="AI83" i="16"/>
  <c r="X242" i="16"/>
  <c r="Y242" i="16"/>
  <c r="F7" i="16"/>
  <c r="B85" i="16"/>
  <c r="T242" i="16" s="1"/>
  <c r="F222" i="16"/>
  <c r="E228" i="16"/>
  <c r="AH94" i="16"/>
  <c r="B86" i="16"/>
  <c r="AI85" i="16"/>
  <c r="B7" i="16"/>
  <c r="D263" i="16"/>
  <c r="F227" i="16"/>
  <c r="D86" i="15"/>
  <c r="M86" i="15"/>
  <c r="AK242" i="15"/>
  <c r="S7" i="15"/>
  <c r="U242" i="15"/>
  <c r="C86" i="15"/>
  <c r="L7" i="15"/>
  <c r="AI94" i="15"/>
  <c r="AC242" i="15"/>
  <c r="L86" i="15"/>
  <c r="J7" i="15"/>
  <c r="AB242" i="15"/>
  <c r="AA242" i="15"/>
  <c r="I7" i="15"/>
  <c r="H7" i="15"/>
  <c r="B237" i="15"/>
  <c r="Z242" i="15"/>
  <c r="F86" i="15"/>
  <c r="K7" i="15"/>
  <c r="C237" i="15"/>
  <c r="F7" i="15"/>
  <c r="AH83" i="15"/>
  <c r="W242" i="15"/>
  <c r="E86" i="15"/>
  <c r="D7" i="15"/>
  <c r="AI83" i="15"/>
  <c r="B85" i="15"/>
  <c r="B86" i="15" s="1"/>
  <c r="D263" i="15"/>
  <c r="F227" i="15"/>
  <c r="E104" i="15"/>
  <c r="E228" i="15"/>
  <c r="F223" i="15"/>
  <c r="AH94" i="15"/>
  <c r="H222" i="15"/>
  <c r="G227" i="17" l="1"/>
  <c r="E263" i="17"/>
  <c r="F104" i="16"/>
  <c r="AH85" i="16"/>
  <c r="K6" i="17"/>
  <c r="A7" i="17"/>
  <c r="F104" i="17"/>
  <c r="F228" i="17"/>
  <c r="G222" i="17"/>
  <c r="AH86" i="17"/>
  <c r="AI86" i="17"/>
  <c r="K6" i="16"/>
  <c r="A7" i="16"/>
  <c r="AI86" i="16"/>
  <c r="AH86" i="16"/>
  <c r="E263" i="16"/>
  <c r="G227" i="16"/>
  <c r="G222" i="16"/>
  <c r="G104" i="16" s="1"/>
  <c r="F228" i="16"/>
  <c r="K6" i="15"/>
  <c r="AH85" i="15"/>
  <c r="T242" i="15"/>
  <c r="B7" i="15"/>
  <c r="A7" i="15" s="1"/>
  <c r="AI85" i="15"/>
  <c r="AI86" i="15"/>
  <c r="AH86" i="15"/>
  <c r="I222" i="15"/>
  <c r="G223" i="15"/>
  <c r="F228" i="15"/>
  <c r="E263" i="15"/>
  <c r="G227" i="15"/>
  <c r="F104" i="15"/>
  <c r="H227" i="17" l="1"/>
  <c r="F263" i="17"/>
  <c r="H222" i="17"/>
  <c r="G104" i="17"/>
  <c r="G228" i="17"/>
  <c r="F263" i="16"/>
  <c r="H227" i="16"/>
  <c r="H222" i="16"/>
  <c r="G228" i="16"/>
  <c r="H223" i="15"/>
  <c r="G228" i="15"/>
  <c r="J222" i="15"/>
  <c r="F263" i="15"/>
  <c r="H227" i="15"/>
  <c r="G104" i="15"/>
  <c r="I227" i="17" l="1"/>
  <c r="G263" i="17"/>
  <c r="I222" i="17"/>
  <c r="H228" i="17"/>
  <c r="H104" i="17"/>
  <c r="I222" i="16"/>
  <c r="H104" i="16"/>
  <c r="H228" i="16"/>
  <c r="G263" i="16"/>
  <c r="I227" i="16"/>
  <c r="G263" i="15"/>
  <c r="I227" i="15"/>
  <c r="H104" i="15"/>
  <c r="K222" i="15"/>
  <c r="I223" i="15"/>
  <c r="H228" i="15"/>
  <c r="J227" i="17" l="1"/>
  <c r="H263" i="17"/>
  <c r="I104" i="17"/>
  <c r="J222" i="17"/>
  <c r="H263" i="16"/>
  <c r="J227" i="16"/>
  <c r="I104" i="16"/>
  <c r="J222" i="16"/>
  <c r="H263" i="15"/>
  <c r="J227" i="15"/>
  <c r="I104" i="15"/>
  <c r="J223" i="15"/>
  <c r="L222" i="15"/>
  <c r="I263" i="17" l="1"/>
  <c r="K227" i="17"/>
  <c r="J104" i="17"/>
  <c r="K222" i="17"/>
  <c r="J104" i="16"/>
  <c r="K222" i="16"/>
  <c r="K227" i="16"/>
  <c r="I263" i="16"/>
  <c r="K223" i="15"/>
  <c r="K227" i="15"/>
  <c r="I263" i="15"/>
  <c r="J104" i="15"/>
  <c r="M222" i="15"/>
  <c r="J263" i="17" l="1"/>
  <c r="L227" i="17"/>
  <c r="L222" i="17"/>
  <c r="K104" i="17"/>
  <c r="J263" i="16"/>
  <c r="L227" i="16"/>
  <c r="L222" i="16"/>
  <c r="K104" i="16"/>
  <c r="N222" i="15"/>
  <c r="L227" i="15"/>
  <c r="J263" i="15"/>
  <c r="K104" i="15"/>
  <c r="L223" i="15"/>
  <c r="K263" i="17" l="1"/>
  <c r="M227" i="17"/>
  <c r="M222" i="17"/>
  <c r="L104" i="17"/>
  <c r="M222" i="16"/>
  <c r="L104" i="16"/>
  <c r="K263" i="16"/>
  <c r="M227" i="16"/>
  <c r="M223" i="15"/>
  <c r="K263" i="15"/>
  <c r="M227" i="15"/>
  <c r="L104" i="15"/>
  <c r="O222" i="15"/>
  <c r="L263" i="17" l="1"/>
  <c r="N227" i="17"/>
  <c r="N222" i="17"/>
  <c r="M104" i="17"/>
  <c r="L263" i="16"/>
  <c r="N227" i="16"/>
  <c r="N222" i="16"/>
  <c r="M104" i="16"/>
  <c r="P222" i="15"/>
  <c r="L263" i="15"/>
  <c r="N227" i="15"/>
  <c r="M104" i="15"/>
  <c r="N223" i="15"/>
  <c r="AF267" i="14"/>
  <c r="AE267" i="14"/>
  <c r="AD267" i="14"/>
  <c r="AC267" i="14"/>
  <c r="AB267" i="14"/>
  <c r="AA267" i="14"/>
  <c r="Z267" i="14"/>
  <c r="Y267" i="14"/>
  <c r="X267" i="14"/>
  <c r="W267" i="14"/>
  <c r="V267" i="14"/>
  <c r="U267" i="14"/>
  <c r="T267" i="14"/>
  <c r="S267" i="14"/>
  <c r="R267" i="14"/>
  <c r="Q267" i="14"/>
  <c r="P267" i="14"/>
  <c r="O267" i="14"/>
  <c r="N267" i="14"/>
  <c r="M267" i="14"/>
  <c r="L267" i="14"/>
  <c r="K267" i="14"/>
  <c r="J267" i="14"/>
  <c r="I267" i="14"/>
  <c r="H267" i="14"/>
  <c r="G267" i="14"/>
  <c r="F267" i="14"/>
  <c r="E267" i="14"/>
  <c r="D267" i="14"/>
  <c r="C267" i="14"/>
  <c r="B267" i="14"/>
  <c r="A267" i="14"/>
  <c r="AF266" i="14"/>
  <c r="AE266" i="14"/>
  <c r="AD266" i="14"/>
  <c r="AC266" i="14"/>
  <c r="AB266" i="14"/>
  <c r="AA266" i="14"/>
  <c r="Z266" i="14"/>
  <c r="Y266" i="14"/>
  <c r="X266" i="14"/>
  <c r="W266" i="14"/>
  <c r="V266" i="14"/>
  <c r="U266" i="14"/>
  <c r="T266" i="14"/>
  <c r="S266" i="14"/>
  <c r="R266" i="14"/>
  <c r="Q266" i="14"/>
  <c r="P266" i="14"/>
  <c r="O266" i="14"/>
  <c r="N266" i="14"/>
  <c r="M266" i="14"/>
  <c r="L266" i="14"/>
  <c r="K266" i="14"/>
  <c r="J266" i="14"/>
  <c r="I266" i="14"/>
  <c r="H266" i="14"/>
  <c r="G266" i="14"/>
  <c r="F266" i="14"/>
  <c r="E266" i="14"/>
  <c r="D266" i="14"/>
  <c r="C266" i="14"/>
  <c r="B266" i="14"/>
  <c r="A266" i="14"/>
  <c r="AF265" i="14"/>
  <c r="AE265" i="14"/>
  <c r="AD265" i="14"/>
  <c r="AC265" i="14"/>
  <c r="AB265" i="14"/>
  <c r="AA265" i="14"/>
  <c r="Z265" i="14"/>
  <c r="Y265" i="14"/>
  <c r="X265" i="14"/>
  <c r="W265" i="14"/>
  <c r="V265" i="14"/>
  <c r="U265" i="14"/>
  <c r="T265" i="14"/>
  <c r="S265" i="14"/>
  <c r="R265" i="14"/>
  <c r="Q265" i="14"/>
  <c r="P265" i="14"/>
  <c r="O265" i="14"/>
  <c r="N265" i="14"/>
  <c r="M265" i="14"/>
  <c r="L265" i="14"/>
  <c r="K265" i="14"/>
  <c r="J265" i="14"/>
  <c r="I265" i="14"/>
  <c r="H265" i="14"/>
  <c r="G265" i="14"/>
  <c r="F265" i="14"/>
  <c r="E265" i="14"/>
  <c r="D265" i="14"/>
  <c r="C265" i="14"/>
  <c r="B265" i="14"/>
  <c r="A265" i="14"/>
  <c r="AF264" i="14"/>
  <c r="AE264" i="14"/>
  <c r="AD264" i="14"/>
  <c r="AC264" i="14"/>
  <c r="AB264" i="14"/>
  <c r="AA264" i="14"/>
  <c r="Z264" i="14"/>
  <c r="Y264" i="14"/>
  <c r="X264" i="14"/>
  <c r="W264" i="14"/>
  <c r="V264" i="14"/>
  <c r="U264" i="14"/>
  <c r="T264" i="14"/>
  <c r="S264" i="14"/>
  <c r="R264" i="14"/>
  <c r="Q264" i="14"/>
  <c r="P264" i="14"/>
  <c r="O264" i="14"/>
  <c r="N264" i="14"/>
  <c r="M264" i="14"/>
  <c r="L264" i="14"/>
  <c r="K264" i="14"/>
  <c r="J264" i="14"/>
  <c r="I264" i="14"/>
  <c r="H264" i="14"/>
  <c r="G264" i="14"/>
  <c r="F264" i="14"/>
  <c r="E264" i="14"/>
  <c r="D264" i="14"/>
  <c r="C264" i="14"/>
  <c r="B264" i="14"/>
  <c r="A264" i="14"/>
  <c r="AE263" i="14"/>
  <c r="AD263" i="14"/>
  <c r="AC263" i="14"/>
  <c r="AB263" i="14"/>
  <c r="AA263" i="14"/>
  <c r="Z263" i="14"/>
  <c r="Y263" i="14"/>
  <c r="X263" i="14"/>
  <c r="W263" i="14"/>
  <c r="V263" i="14"/>
  <c r="U263" i="14"/>
  <c r="T263" i="14"/>
  <c r="S263" i="14"/>
  <c r="R263" i="14"/>
  <c r="Q263" i="14"/>
  <c r="P263" i="14"/>
  <c r="B263" i="14"/>
  <c r="S238" i="14"/>
  <c r="AG228" i="14"/>
  <c r="AF228" i="14"/>
  <c r="AE228" i="14"/>
  <c r="AD228" i="14"/>
  <c r="AC228" i="14"/>
  <c r="AB228" i="14"/>
  <c r="AA228" i="14"/>
  <c r="Z228" i="14"/>
  <c r="Y228" i="14"/>
  <c r="X228" i="14"/>
  <c r="W228" i="14"/>
  <c r="V228" i="14"/>
  <c r="U228" i="14"/>
  <c r="T228" i="14"/>
  <c r="S228" i="14"/>
  <c r="R228" i="14"/>
  <c r="Q228" i="14"/>
  <c r="C228" i="14"/>
  <c r="D227" i="14"/>
  <c r="C263" i="14" s="1"/>
  <c r="B227" i="14"/>
  <c r="AF263" i="14" s="1"/>
  <c r="D226" i="14"/>
  <c r="E226" i="14" s="1"/>
  <c r="F226" i="14" s="1"/>
  <c r="G226" i="14" s="1"/>
  <c r="H226" i="14" s="1"/>
  <c r="I226" i="14" s="1"/>
  <c r="J226" i="14" s="1"/>
  <c r="K226" i="14" s="1"/>
  <c r="L226" i="14" s="1"/>
  <c r="M226" i="14" s="1"/>
  <c r="N226" i="14" s="1"/>
  <c r="O226" i="14" s="1"/>
  <c r="P226" i="14" s="1"/>
  <c r="B226" i="14"/>
  <c r="D225" i="14"/>
  <c r="E225" i="14" s="1"/>
  <c r="F225" i="14" s="1"/>
  <c r="G225" i="14" s="1"/>
  <c r="H225" i="14" s="1"/>
  <c r="I225" i="14" s="1"/>
  <c r="B225" i="14"/>
  <c r="D224" i="14"/>
  <c r="E224" i="14" s="1"/>
  <c r="F224" i="14" s="1"/>
  <c r="G224" i="14" s="1"/>
  <c r="H224" i="14" s="1"/>
  <c r="B224" i="14"/>
  <c r="D223" i="14"/>
  <c r="E223" i="14" s="1"/>
  <c r="F223" i="14" s="1"/>
  <c r="G223" i="14" s="1"/>
  <c r="H223" i="14" s="1"/>
  <c r="I223" i="14" s="1"/>
  <c r="J223" i="14" s="1"/>
  <c r="K223" i="14" s="1"/>
  <c r="L223" i="14" s="1"/>
  <c r="M223" i="14" s="1"/>
  <c r="N223" i="14" s="1"/>
  <c r="O223" i="14" s="1"/>
  <c r="P223" i="14" s="1"/>
  <c r="B223" i="14"/>
  <c r="D222" i="14"/>
  <c r="D228" i="14" s="1"/>
  <c r="B222" i="14"/>
  <c r="AG220" i="14"/>
  <c r="AF220" i="14"/>
  <c r="AE220" i="14"/>
  <c r="AD220" i="14"/>
  <c r="AC220" i="14"/>
  <c r="AB220" i="14"/>
  <c r="AA220" i="14"/>
  <c r="Z220" i="14"/>
  <c r="Y220" i="14"/>
  <c r="X220" i="14"/>
  <c r="W220" i="14"/>
  <c r="V220" i="14"/>
  <c r="U220" i="14"/>
  <c r="T220" i="14"/>
  <c r="S220" i="14"/>
  <c r="R220" i="14"/>
  <c r="Q220" i="14"/>
  <c r="P220" i="14"/>
  <c r="O220" i="14"/>
  <c r="N220" i="14"/>
  <c r="M220" i="14"/>
  <c r="L220" i="14"/>
  <c r="K220" i="14"/>
  <c r="J220" i="14"/>
  <c r="I220" i="14"/>
  <c r="H220" i="14"/>
  <c r="G220" i="14"/>
  <c r="F220" i="14"/>
  <c r="E220" i="14"/>
  <c r="D220" i="14"/>
  <c r="C220" i="14"/>
  <c r="B220" i="14"/>
  <c r="AI113" i="14"/>
  <c r="AH113" i="14"/>
  <c r="AI112" i="14"/>
  <c r="AH112" i="14"/>
  <c r="AI111" i="14"/>
  <c r="AH111" i="14"/>
  <c r="AI110" i="14"/>
  <c r="AH110" i="14"/>
  <c r="AI109" i="14"/>
  <c r="AH109" i="14"/>
  <c r="AI108" i="14"/>
  <c r="AH108" i="14"/>
  <c r="AI107" i="14"/>
  <c r="AH107" i="14"/>
  <c r="AI106" i="14"/>
  <c r="AH106" i="14"/>
  <c r="AI105" i="14"/>
  <c r="AH105" i="14"/>
  <c r="AF104" i="14"/>
  <c r="AE104" i="14"/>
  <c r="AD104" i="14"/>
  <c r="AC104" i="14"/>
  <c r="AB104" i="14"/>
  <c r="AA104" i="14"/>
  <c r="Z104" i="14"/>
  <c r="Y104" i="14"/>
  <c r="X104" i="14"/>
  <c r="W104" i="14"/>
  <c r="V104" i="14"/>
  <c r="U104" i="14"/>
  <c r="T104" i="14"/>
  <c r="S104" i="14"/>
  <c r="R104" i="14"/>
  <c r="Q104" i="14"/>
  <c r="D104" i="14"/>
  <c r="C104" i="14"/>
  <c r="B104" i="14"/>
  <c r="AI103" i="14"/>
  <c r="AH103" i="14"/>
  <c r="AI102" i="14"/>
  <c r="AH102" i="14"/>
  <c r="AI101" i="14"/>
  <c r="AH101" i="14"/>
  <c r="AI100" i="14"/>
  <c r="AH100" i="14"/>
  <c r="AI99" i="14"/>
  <c r="AH99" i="14"/>
  <c r="AI98" i="14"/>
  <c r="AH98" i="14"/>
  <c r="AI97" i="14"/>
  <c r="AH97" i="14"/>
  <c r="AI96" i="14"/>
  <c r="AH96" i="14"/>
  <c r="AI95" i="14"/>
  <c r="AH95" i="14"/>
  <c r="AI93" i="14"/>
  <c r="AH93" i="14"/>
  <c r="AI92" i="14"/>
  <c r="AH92" i="14"/>
  <c r="AI91" i="14"/>
  <c r="AH91" i="14"/>
  <c r="AI90" i="14"/>
  <c r="AH90" i="14"/>
  <c r="AI89" i="14"/>
  <c r="AH89" i="14"/>
  <c r="AI88" i="14"/>
  <c r="AH88" i="14"/>
  <c r="AI87" i="14"/>
  <c r="AH87" i="14"/>
  <c r="AI84" i="14"/>
  <c r="AH84" i="14"/>
  <c r="AI82" i="14"/>
  <c r="AH82" i="14"/>
  <c r="AG82" i="14"/>
  <c r="AI81" i="14"/>
  <c r="AH81" i="14"/>
  <c r="AI80" i="14"/>
  <c r="AH80" i="14"/>
  <c r="AI79" i="14"/>
  <c r="AH79" i="14"/>
  <c r="AN78" i="14"/>
  <c r="AG78" i="14"/>
  <c r="AF78" i="14"/>
  <c r="AF94" i="14" s="1"/>
  <c r="AE78" i="14"/>
  <c r="AE94" i="14" s="1"/>
  <c r="AD78" i="14"/>
  <c r="AD94" i="14" s="1"/>
  <c r="AC78" i="14"/>
  <c r="AC94" i="14" s="1"/>
  <c r="AB78" i="14"/>
  <c r="AB94" i="14" s="1"/>
  <c r="AA78" i="14"/>
  <c r="AA94" i="14" s="1"/>
  <c r="Z78" i="14"/>
  <c r="Z94" i="14" s="1"/>
  <c r="Y78" i="14"/>
  <c r="X5" i="14" s="1"/>
  <c r="X78" i="14"/>
  <c r="X94" i="14" s="1"/>
  <c r="W78" i="14"/>
  <c r="W94" i="14" s="1"/>
  <c r="V78" i="14"/>
  <c r="V94" i="14" s="1"/>
  <c r="U78" i="14"/>
  <c r="U94" i="14" s="1"/>
  <c r="T78" i="14"/>
  <c r="T94" i="14" s="1"/>
  <c r="S78" i="14"/>
  <c r="S94" i="14" s="1"/>
  <c r="R78" i="14"/>
  <c r="R94" i="14" s="1"/>
  <c r="Q78" i="14"/>
  <c r="Q94" i="14" s="1"/>
  <c r="P78" i="14"/>
  <c r="P94" i="14" s="1"/>
  <c r="O78" i="14"/>
  <c r="O94" i="14" s="1"/>
  <c r="N78" i="14"/>
  <c r="N94" i="14" s="1"/>
  <c r="M78" i="14"/>
  <c r="M94" i="14" s="1"/>
  <c r="L78" i="14"/>
  <c r="L94" i="14" s="1"/>
  <c r="K78" i="14"/>
  <c r="K94" i="14" s="1"/>
  <c r="J78" i="14"/>
  <c r="J94" i="14" s="1"/>
  <c r="I78" i="14"/>
  <c r="I94" i="14" s="1"/>
  <c r="H78" i="14"/>
  <c r="H94" i="14" s="1"/>
  <c r="G78" i="14"/>
  <c r="G94" i="14" s="1"/>
  <c r="F78" i="14"/>
  <c r="F94" i="14" s="1"/>
  <c r="E78" i="14"/>
  <c r="E94" i="14" s="1"/>
  <c r="D78" i="14"/>
  <c r="D94" i="14" s="1"/>
  <c r="C78" i="14"/>
  <c r="C94" i="14" s="1"/>
  <c r="B78" i="14"/>
  <c r="B94" i="14" s="1"/>
  <c r="AI77" i="14"/>
  <c r="AH77" i="14"/>
  <c r="AN76" i="14"/>
  <c r="AI76" i="14"/>
  <c r="AH76" i="14"/>
  <c r="AN75" i="14"/>
  <c r="AI75" i="14"/>
  <c r="AH75" i="14"/>
  <c r="AI74" i="14"/>
  <c r="AH74" i="14"/>
  <c r="AI73" i="14"/>
  <c r="AH73" i="14"/>
  <c r="AI72" i="14"/>
  <c r="AH72" i="14"/>
  <c r="AI71" i="14"/>
  <c r="AH71" i="14"/>
  <c r="AI70" i="14"/>
  <c r="AH70" i="14"/>
  <c r="AI69" i="14"/>
  <c r="AH69" i="14"/>
  <c r="AI68" i="14"/>
  <c r="AH68" i="14"/>
  <c r="AI67" i="14"/>
  <c r="AH67" i="14"/>
  <c r="AG66" i="14"/>
  <c r="AF66" i="14"/>
  <c r="AE66" i="14"/>
  <c r="AD66" i="14"/>
  <c r="AC66" i="14"/>
  <c r="AB66" i="14"/>
  <c r="AA66" i="14"/>
  <c r="Z66" i="14"/>
  <c r="Y66" i="14"/>
  <c r="X66" i="14"/>
  <c r="W66" i="14"/>
  <c r="V66" i="14"/>
  <c r="U66" i="14"/>
  <c r="T66" i="14"/>
  <c r="R66" i="14"/>
  <c r="Q66" i="14"/>
  <c r="P66" i="14"/>
  <c r="O66" i="14"/>
  <c r="N66" i="14"/>
  <c r="M66" i="14"/>
  <c r="L66" i="14"/>
  <c r="AI65" i="14"/>
  <c r="AH65" i="14"/>
  <c r="AI64" i="14"/>
  <c r="AH64" i="14"/>
  <c r="AI63" i="14"/>
  <c r="AH63" i="14"/>
  <c r="AF62" i="14"/>
  <c r="AE62" i="14"/>
  <c r="AD62" i="14"/>
  <c r="AC62" i="14"/>
  <c r="AB62" i="14"/>
  <c r="AA62" i="14"/>
  <c r="Z62" i="14"/>
  <c r="Y62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I61" i="14"/>
  <c r="AH61" i="14"/>
  <c r="AG61" i="14"/>
  <c r="AG62" i="14" s="1"/>
  <c r="AG3" i="14" s="1"/>
  <c r="AI60" i="14"/>
  <c r="AH60" i="14"/>
  <c r="AI59" i="14"/>
  <c r="AH59" i="14"/>
  <c r="AI58" i="14"/>
  <c r="AH58" i="14"/>
  <c r="AI57" i="14"/>
  <c r="AH57" i="14"/>
  <c r="AI56" i="14"/>
  <c r="AH56" i="14"/>
  <c r="AI55" i="14"/>
  <c r="AH55" i="14"/>
  <c r="AI54" i="14"/>
  <c r="AH54" i="14"/>
  <c r="AI53" i="14"/>
  <c r="AH53" i="14"/>
  <c r="AI52" i="14"/>
  <c r="AH52" i="14"/>
  <c r="AI51" i="14"/>
  <c r="AH51" i="14"/>
  <c r="AI50" i="14"/>
  <c r="AH50" i="14"/>
  <c r="AI49" i="14"/>
  <c r="AH49" i="14"/>
  <c r="AG48" i="14"/>
  <c r="AF48" i="14"/>
  <c r="AE48" i="14"/>
  <c r="AD48" i="14"/>
  <c r="AC48" i="14"/>
  <c r="AB48" i="14"/>
  <c r="AA48" i="14"/>
  <c r="Z48" i="14"/>
  <c r="Y48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I47" i="14"/>
  <c r="AH47" i="14"/>
  <c r="AI46" i="14"/>
  <c r="AH46" i="14"/>
  <c r="AI45" i="14"/>
  <c r="AH45" i="14"/>
  <c r="AG44" i="14"/>
  <c r="AG83" i="14" s="1"/>
  <c r="AF44" i="14"/>
  <c r="AE44" i="14"/>
  <c r="AD44" i="14"/>
  <c r="AB44" i="14"/>
  <c r="AA44" i="14"/>
  <c r="Z44" i="14"/>
  <c r="Y44" i="14"/>
  <c r="X44" i="14"/>
  <c r="W44" i="14"/>
  <c r="V44" i="14"/>
  <c r="V83" i="14" s="1"/>
  <c r="V85" i="14" s="1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I43" i="14"/>
  <c r="AH43" i="14"/>
  <c r="AI42" i="14"/>
  <c r="AH42" i="14"/>
  <c r="AI41" i="14"/>
  <c r="AH41" i="14"/>
  <c r="AI40" i="14"/>
  <c r="AH40" i="14"/>
  <c r="AI39" i="14"/>
  <c r="AH39" i="14"/>
  <c r="AI38" i="14"/>
  <c r="AH38" i="14"/>
  <c r="AI37" i="14"/>
  <c r="AH37" i="14"/>
  <c r="AI36" i="14"/>
  <c r="AH36" i="14"/>
  <c r="AI35" i="14"/>
  <c r="AH35" i="14"/>
  <c r="AI34" i="14"/>
  <c r="AH34" i="14"/>
  <c r="AI33" i="14"/>
  <c r="AH33" i="14"/>
  <c r="AI32" i="14"/>
  <c r="AH32" i="14"/>
  <c r="AI31" i="14"/>
  <c r="AH31" i="14"/>
  <c r="AI30" i="14"/>
  <c r="AH30" i="14"/>
  <c r="AI29" i="14"/>
  <c r="AH29" i="14"/>
  <c r="AI28" i="14"/>
  <c r="AH28" i="14"/>
  <c r="AI27" i="14"/>
  <c r="AH27" i="14"/>
  <c r="AI26" i="14"/>
  <c r="AH26" i="14"/>
  <c r="AI25" i="14"/>
  <c r="AH25" i="14"/>
  <c r="AI24" i="14"/>
  <c r="AH24" i="14"/>
  <c r="AI23" i="14"/>
  <c r="AH23" i="14"/>
  <c r="AI22" i="14"/>
  <c r="AH22" i="14"/>
  <c r="AI21" i="14"/>
  <c r="AH21" i="14"/>
  <c r="AI20" i="14"/>
  <c r="AH20" i="14"/>
  <c r="AI19" i="14"/>
  <c r="AH19" i="14"/>
  <c r="AI18" i="14"/>
  <c r="AH18" i="14"/>
  <c r="AI17" i="14"/>
  <c r="AH17" i="14"/>
  <c r="AI16" i="14"/>
  <c r="AH16" i="14"/>
  <c r="AI15" i="14"/>
  <c r="AH15" i="14"/>
  <c r="AI14" i="14"/>
  <c r="AH14" i="14"/>
  <c r="AI13" i="14"/>
  <c r="AH13" i="14"/>
  <c r="AI12" i="14"/>
  <c r="AH12" i="14"/>
  <c r="AI11" i="14"/>
  <c r="AH11" i="14"/>
  <c r="Z5" i="14"/>
  <c r="S5" i="14"/>
  <c r="M5" i="14"/>
  <c r="AG4" i="14"/>
  <c r="K4" i="14"/>
  <c r="E4" i="14"/>
  <c r="H4" i="14" s="1"/>
  <c r="B4" i="14"/>
  <c r="S239" i="14" s="1"/>
  <c r="AG2" i="14"/>
  <c r="AG6" i="14" s="1"/>
  <c r="AA107" i="13"/>
  <c r="Z107" i="13"/>
  <c r="X107" i="13"/>
  <c r="W107" i="13"/>
  <c r="V107" i="13"/>
  <c r="U107" i="13"/>
  <c r="T107" i="13"/>
  <c r="T104" i="13" s="1"/>
  <c r="P107" i="13"/>
  <c r="Q62" i="13"/>
  <c r="L107" i="13"/>
  <c r="K107" i="13"/>
  <c r="J107" i="13"/>
  <c r="I107" i="13"/>
  <c r="H107" i="13"/>
  <c r="G107" i="13"/>
  <c r="F107" i="13"/>
  <c r="E107" i="13"/>
  <c r="AF267" i="13"/>
  <c r="AE267" i="13"/>
  <c r="AD267" i="13"/>
  <c r="AC267" i="13"/>
  <c r="AB267" i="13"/>
  <c r="AA267" i="13"/>
  <c r="Z267" i="13"/>
  <c r="Y267" i="13"/>
  <c r="X267" i="13"/>
  <c r="W267" i="13"/>
  <c r="V267" i="13"/>
  <c r="U267" i="13"/>
  <c r="T267" i="13"/>
  <c r="S267" i="13"/>
  <c r="R267" i="13"/>
  <c r="Q267" i="13"/>
  <c r="P267" i="13"/>
  <c r="O267" i="13"/>
  <c r="N267" i="13"/>
  <c r="M267" i="13"/>
  <c r="L267" i="13"/>
  <c r="K267" i="13"/>
  <c r="J267" i="13"/>
  <c r="I267" i="13"/>
  <c r="H267" i="13"/>
  <c r="G267" i="13"/>
  <c r="F267" i="13"/>
  <c r="E267" i="13"/>
  <c r="D267" i="13"/>
  <c r="C267" i="13"/>
  <c r="B267" i="13"/>
  <c r="A267" i="13"/>
  <c r="AF266" i="13"/>
  <c r="AE266" i="13"/>
  <c r="AD266" i="13"/>
  <c r="AC266" i="13"/>
  <c r="AB266" i="13"/>
  <c r="AA266" i="13"/>
  <c r="Z266" i="13"/>
  <c r="Y266" i="13"/>
  <c r="X266" i="13"/>
  <c r="W266" i="13"/>
  <c r="V266" i="13"/>
  <c r="U266" i="13"/>
  <c r="T266" i="13"/>
  <c r="S266" i="13"/>
  <c r="R266" i="13"/>
  <c r="Q266" i="13"/>
  <c r="P266" i="13"/>
  <c r="O266" i="13"/>
  <c r="N266" i="13"/>
  <c r="M266" i="13"/>
  <c r="L266" i="13"/>
  <c r="K266" i="13"/>
  <c r="J266" i="13"/>
  <c r="I266" i="13"/>
  <c r="H266" i="13"/>
  <c r="G266" i="13"/>
  <c r="F266" i="13"/>
  <c r="E266" i="13"/>
  <c r="D266" i="13"/>
  <c r="C266" i="13"/>
  <c r="B266" i="13"/>
  <c r="A266" i="13"/>
  <c r="AF265" i="13"/>
  <c r="AE265" i="13"/>
  <c r="AD265" i="13"/>
  <c r="AC265" i="13"/>
  <c r="AB265" i="13"/>
  <c r="AA265" i="13"/>
  <c r="Z265" i="13"/>
  <c r="Y265" i="13"/>
  <c r="X265" i="13"/>
  <c r="W265" i="13"/>
  <c r="V265" i="13"/>
  <c r="U265" i="13"/>
  <c r="T265" i="13"/>
  <c r="S265" i="13"/>
  <c r="R265" i="13"/>
  <c r="Q265" i="13"/>
  <c r="P265" i="13"/>
  <c r="O265" i="13"/>
  <c r="N265" i="13"/>
  <c r="M265" i="13"/>
  <c r="L265" i="13"/>
  <c r="K265" i="13"/>
  <c r="J265" i="13"/>
  <c r="I265" i="13"/>
  <c r="H265" i="13"/>
  <c r="G265" i="13"/>
  <c r="F265" i="13"/>
  <c r="E265" i="13"/>
  <c r="D265" i="13"/>
  <c r="C265" i="13"/>
  <c r="B265" i="13"/>
  <c r="A265" i="13"/>
  <c r="AF264" i="13"/>
  <c r="AE264" i="13"/>
  <c r="AD264" i="13"/>
  <c r="AC264" i="13"/>
  <c r="AB264" i="13"/>
  <c r="AA264" i="13"/>
  <c r="Z264" i="13"/>
  <c r="Y264" i="13"/>
  <c r="X264" i="13"/>
  <c r="W264" i="13"/>
  <c r="V264" i="13"/>
  <c r="U264" i="13"/>
  <c r="T264" i="13"/>
  <c r="S264" i="13"/>
  <c r="R264" i="13"/>
  <c r="Q264" i="13"/>
  <c r="P264" i="13"/>
  <c r="O264" i="13"/>
  <c r="N264" i="13"/>
  <c r="M264" i="13"/>
  <c r="L264" i="13"/>
  <c r="K264" i="13"/>
  <c r="J264" i="13"/>
  <c r="I264" i="13"/>
  <c r="H264" i="13"/>
  <c r="G264" i="13"/>
  <c r="F264" i="13"/>
  <c r="E264" i="13"/>
  <c r="D264" i="13"/>
  <c r="C264" i="13"/>
  <c r="B264" i="13"/>
  <c r="A264" i="13"/>
  <c r="AE263" i="13"/>
  <c r="AD263" i="13"/>
  <c r="AC263" i="13"/>
  <c r="AB263" i="13"/>
  <c r="AA263" i="13"/>
  <c r="Z263" i="13"/>
  <c r="Y263" i="13"/>
  <c r="X263" i="13"/>
  <c r="W263" i="13"/>
  <c r="V263" i="13"/>
  <c r="U263" i="13"/>
  <c r="T263" i="13"/>
  <c r="S263" i="13"/>
  <c r="R263" i="13"/>
  <c r="Q263" i="13"/>
  <c r="P263" i="13"/>
  <c r="B263" i="13"/>
  <c r="S238" i="13"/>
  <c r="AG228" i="13"/>
  <c r="AF228" i="13"/>
  <c r="AE228" i="13"/>
  <c r="AD228" i="13"/>
  <c r="AC228" i="13"/>
  <c r="AB228" i="13"/>
  <c r="AA228" i="13"/>
  <c r="Z228" i="13"/>
  <c r="Y228" i="13"/>
  <c r="X228" i="13"/>
  <c r="W228" i="13"/>
  <c r="V228" i="13"/>
  <c r="U228" i="13"/>
  <c r="T228" i="13"/>
  <c r="S228" i="13"/>
  <c r="R228" i="13"/>
  <c r="Q228" i="13"/>
  <c r="C228" i="13"/>
  <c r="D227" i="13"/>
  <c r="C263" i="13" s="1"/>
  <c r="B227" i="13"/>
  <c r="AF263" i="13" s="1"/>
  <c r="D226" i="13"/>
  <c r="E226" i="13" s="1"/>
  <c r="F226" i="13" s="1"/>
  <c r="G226" i="13" s="1"/>
  <c r="H226" i="13" s="1"/>
  <c r="I226" i="13" s="1"/>
  <c r="J226" i="13" s="1"/>
  <c r="K226" i="13" s="1"/>
  <c r="L226" i="13" s="1"/>
  <c r="M226" i="13" s="1"/>
  <c r="N226" i="13" s="1"/>
  <c r="O226" i="13" s="1"/>
  <c r="P226" i="13" s="1"/>
  <c r="B226" i="13"/>
  <c r="E225" i="13"/>
  <c r="F225" i="13" s="1"/>
  <c r="G225" i="13" s="1"/>
  <c r="H225" i="13" s="1"/>
  <c r="I225" i="13" s="1"/>
  <c r="D225" i="13"/>
  <c r="B225" i="13"/>
  <c r="E224" i="13"/>
  <c r="F224" i="13" s="1"/>
  <c r="G224" i="13" s="1"/>
  <c r="H224" i="13" s="1"/>
  <c r="D224" i="13"/>
  <c r="B224" i="13"/>
  <c r="D223" i="13"/>
  <c r="B223" i="13"/>
  <c r="D222" i="13"/>
  <c r="E222" i="13" s="1"/>
  <c r="F222" i="13" s="1"/>
  <c r="B222" i="13"/>
  <c r="AG220" i="13"/>
  <c r="AF220" i="13"/>
  <c r="AE220" i="13"/>
  <c r="AD220" i="13"/>
  <c r="AC220" i="13"/>
  <c r="AB220" i="13"/>
  <c r="AA220" i="13"/>
  <c r="Z220" i="13"/>
  <c r="Y220" i="13"/>
  <c r="X220" i="13"/>
  <c r="W220" i="13"/>
  <c r="V220" i="13"/>
  <c r="U220" i="13"/>
  <c r="T220" i="13"/>
  <c r="S220" i="13"/>
  <c r="R220" i="13"/>
  <c r="Q220" i="13"/>
  <c r="P220" i="13"/>
  <c r="O220" i="13"/>
  <c r="N220" i="13"/>
  <c r="M220" i="13"/>
  <c r="L220" i="13"/>
  <c r="K220" i="13"/>
  <c r="J220" i="13"/>
  <c r="I220" i="13"/>
  <c r="H220" i="13"/>
  <c r="G220" i="13"/>
  <c r="F220" i="13"/>
  <c r="E220" i="13"/>
  <c r="D220" i="13"/>
  <c r="C220" i="13"/>
  <c r="B220" i="13"/>
  <c r="AI113" i="13"/>
  <c r="AH113" i="13"/>
  <c r="AI112" i="13"/>
  <c r="AH112" i="13"/>
  <c r="AI111" i="13"/>
  <c r="AH111" i="13"/>
  <c r="AI110" i="13"/>
  <c r="AH110" i="13"/>
  <c r="AI109" i="13"/>
  <c r="AH109" i="13"/>
  <c r="AI108" i="13"/>
  <c r="AH108" i="13"/>
  <c r="AI106" i="13"/>
  <c r="AH106" i="13"/>
  <c r="AI105" i="13"/>
  <c r="AH105" i="13"/>
  <c r="AF104" i="13"/>
  <c r="AE104" i="13"/>
  <c r="AD104" i="13"/>
  <c r="AC104" i="13"/>
  <c r="AB104" i="13"/>
  <c r="AA104" i="13"/>
  <c r="Z104" i="13"/>
  <c r="X104" i="13"/>
  <c r="W104" i="13"/>
  <c r="V104" i="13"/>
  <c r="U104" i="13"/>
  <c r="S104" i="13"/>
  <c r="R104" i="13"/>
  <c r="Q104" i="13"/>
  <c r="C104" i="13"/>
  <c r="B104" i="13"/>
  <c r="AI103" i="13"/>
  <c r="AH103" i="13"/>
  <c r="AI102" i="13"/>
  <c r="AH102" i="13"/>
  <c r="AI101" i="13"/>
  <c r="AH101" i="13"/>
  <c r="AI100" i="13"/>
  <c r="AH100" i="13"/>
  <c r="AI99" i="13"/>
  <c r="AH99" i="13"/>
  <c r="AI98" i="13"/>
  <c r="AH98" i="13"/>
  <c r="AI97" i="13"/>
  <c r="AH97" i="13"/>
  <c r="AI96" i="13"/>
  <c r="AH96" i="13"/>
  <c r="AI95" i="13"/>
  <c r="AH95" i="13"/>
  <c r="AI93" i="13"/>
  <c r="AH93" i="13"/>
  <c r="AI92" i="13"/>
  <c r="AH92" i="13"/>
  <c r="AI91" i="13"/>
  <c r="AH91" i="13"/>
  <c r="AI90" i="13"/>
  <c r="AH90" i="13"/>
  <c r="AI89" i="13"/>
  <c r="AH89" i="13"/>
  <c r="AI88" i="13"/>
  <c r="AH88" i="13"/>
  <c r="AI87" i="13"/>
  <c r="AH87" i="13"/>
  <c r="AI84" i="13"/>
  <c r="AH84" i="13"/>
  <c r="AI82" i="13"/>
  <c r="AH82" i="13"/>
  <c r="AG82" i="13"/>
  <c r="AI81" i="13"/>
  <c r="AH81" i="13"/>
  <c r="AI80" i="13"/>
  <c r="AH80" i="13"/>
  <c r="AI79" i="13"/>
  <c r="AH79" i="13"/>
  <c r="AN78" i="13"/>
  <c r="AG78" i="13"/>
  <c r="AF78" i="13"/>
  <c r="AF94" i="13" s="1"/>
  <c r="AE78" i="13"/>
  <c r="AD5" i="13" s="1"/>
  <c r="AD78" i="13"/>
  <c r="AD94" i="13" s="1"/>
  <c r="AC78" i="13"/>
  <c r="AC94" i="13" s="1"/>
  <c r="AB78" i="13"/>
  <c r="AB94" i="13" s="1"/>
  <c r="AA78" i="13"/>
  <c r="AA94" i="13" s="1"/>
  <c r="Z78" i="13"/>
  <c r="Z94" i="13" s="1"/>
  <c r="X78" i="13"/>
  <c r="X94" i="13" s="1"/>
  <c r="W78" i="13"/>
  <c r="V5" i="13" s="1"/>
  <c r="V78" i="13"/>
  <c r="U5" i="13" s="1"/>
  <c r="U78" i="13"/>
  <c r="U94" i="13" s="1"/>
  <c r="T78" i="13"/>
  <c r="T94" i="13" s="1"/>
  <c r="S78" i="13"/>
  <c r="S94" i="13" s="1"/>
  <c r="R78" i="13"/>
  <c r="R94" i="13" s="1"/>
  <c r="Q78" i="13"/>
  <c r="Q94" i="13" s="1"/>
  <c r="P78" i="13"/>
  <c r="P94" i="13" s="1"/>
  <c r="O78" i="13"/>
  <c r="N5" i="13" s="1"/>
  <c r="N78" i="13"/>
  <c r="N94" i="13" s="1"/>
  <c r="M78" i="13"/>
  <c r="M94" i="13" s="1"/>
  <c r="L78" i="13"/>
  <c r="L94" i="13" s="1"/>
  <c r="K78" i="13"/>
  <c r="K94" i="13" s="1"/>
  <c r="J78" i="13"/>
  <c r="J94" i="13" s="1"/>
  <c r="I78" i="13"/>
  <c r="I94" i="13" s="1"/>
  <c r="H78" i="13"/>
  <c r="H94" i="13" s="1"/>
  <c r="G78" i="13"/>
  <c r="F5" i="13" s="1"/>
  <c r="F78" i="13"/>
  <c r="F94" i="13" s="1"/>
  <c r="E78" i="13"/>
  <c r="E94" i="13" s="1"/>
  <c r="D78" i="13"/>
  <c r="D94" i="13" s="1"/>
  <c r="C78" i="13"/>
  <c r="C94" i="13" s="1"/>
  <c r="B78" i="13"/>
  <c r="B94" i="13" s="1"/>
  <c r="AI77" i="13"/>
  <c r="AH77" i="13"/>
  <c r="AN76" i="13"/>
  <c r="AI76" i="13"/>
  <c r="AH76" i="13"/>
  <c r="AN75" i="13"/>
  <c r="AN77" i="13" s="1"/>
  <c r="AI75" i="13"/>
  <c r="AH75" i="13"/>
  <c r="AI74" i="13"/>
  <c r="AH74" i="13"/>
  <c r="AI73" i="13"/>
  <c r="AH73" i="13"/>
  <c r="AI72" i="13"/>
  <c r="AH72" i="13"/>
  <c r="AI71" i="13"/>
  <c r="AH71" i="13"/>
  <c r="AI70" i="13"/>
  <c r="AH70" i="13"/>
  <c r="AI69" i="13"/>
  <c r="AH69" i="13"/>
  <c r="AI68" i="13"/>
  <c r="AH68" i="13"/>
  <c r="AI67" i="13"/>
  <c r="AH67" i="13"/>
  <c r="AG66" i="13"/>
  <c r="AF66" i="13"/>
  <c r="AE66" i="13"/>
  <c r="AD66" i="13"/>
  <c r="AC66" i="13"/>
  <c r="AB66" i="13"/>
  <c r="AA66" i="13"/>
  <c r="Z66" i="13"/>
  <c r="X66" i="13"/>
  <c r="W66" i="13"/>
  <c r="V66" i="13"/>
  <c r="U66" i="13"/>
  <c r="T66" i="13"/>
  <c r="S66" i="13"/>
  <c r="R66" i="13"/>
  <c r="Q66" i="13"/>
  <c r="P66" i="13"/>
  <c r="O66" i="13"/>
  <c r="N66" i="13"/>
  <c r="M66" i="13"/>
  <c r="L66" i="13"/>
  <c r="AI65" i="13"/>
  <c r="AH65" i="13"/>
  <c r="AI64" i="13"/>
  <c r="AH64" i="13"/>
  <c r="AI63" i="13"/>
  <c r="AH63" i="13"/>
  <c r="AF62" i="13"/>
  <c r="AE62" i="13"/>
  <c r="AD62" i="13"/>
  <c r="AC62" i="13"/>
  <c r="AB62" i="13"/>
  <c r="AA62" i="13"/>
  <c r="Z62" i="13"/>
  <c r="X62" i="13"/>
  <c r="W62" i="13"/>
  <c r="V62" i="13"/>
  <c r="U62" i="13"/>
  <c r="T62" i="13"/>
  <c r="S62" i="13"/>
  <c r="R62" i="13"/>
  <c r="P62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AI61" i="13"/>
  <c r="AH61" i="13"/>
  <c r="AG61" i="13"/>
  <c r="AG62" i="13" s="1"/>
  <c r="AG3" i="13" s="1"/>
  <c r="AI60" i="13"/>
  <c r="AH60" i="13"/>
  <c r="AI59" i="13"/>
  <c r="AH59" i="13"/>
  <c r="AI58" i="13"/>
  <c r="AH58" i="13"/>
  <c r="AI57" i="13"/>
  <c r="AH57" i="13"/>
  <c r="AI56" i="13"/>
  <c r="AH56" i="13"/>
  <c r="AI55" i="13"/>
  <c r="AH55" i="13"/>
  <c r="AI54" i="13"/>
  <c r="AH54" i="13"/>
  <c r="AI53" i="13"/>
  <c r="AH53" i="13"/>
  <c r="AI52" i="13"/>
  <c r="AH52" i="13"/>
  <c r="AI51" i="13"/>
  <c r="AH51" i="13"/>
  <c r="AI50" i="13"/>
  <c r="AH50" i="13"/>
  <c r="AI49" i="13"/>
  <c r="AH49" i="13"/>
  <c r="AG48" i="13"/>
  <c r="AF48" i="13"/>
  <c r="AE48" i="13"/>
  <c r="AD48" i="13"/>
  <c r="AC48" i="13"/>
  <c r="AB48" i="13"/>
  <c r="AA48" i="13"/>
  <c r="Z48" i="13"/>
  <c r="X48" i="13"/>
  <c r="W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AI47" i="13"/>
  <c r="AH47" i="13"/>
  <c r="AI46" i="13"/>
  <c r="AH46" i="13"/>
  <c r="AI45" i="13"/>
  <c r="AH45" i="13"/>
  <c r="AG44" i="13"/>
  <c r="AF44" i="13"/>
  <c r="AE44" i="13"/>
  <c r="AD44" i="13"/>
  <c r="AC44" i="13"/>
  <c r="AB44" i="13"/>
  <c r="AA44" i="13"/>
  <c r="Z44" i="13"/>
  <c r="X44" i="13"/>
  <c r="W44" i="13"/>
  <c r="V44" i="13"/>
  <c r="U44" i="13"/>
  <c r="T44" i="13"/>
  <c r="S44" i="13"/>
  <c r="R44" i="13"/>
  <c r="R83" i="13" s="1"/>
  <c r="R85" i="13" s="1"/>
  <c r="R7" i="13" s="1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AI43" i="13"/>
  <c r="AH43" i="13"/>
  <c r="AI42" i="13"/>
  <c r="AH42" i="13"/>
  <c r="AI41" i="13"/>
  <c r="AH41" i="13"/>
  <c r="AI40" i="13"/>
  <c r="AH40" i="13"/>
  <c r="AI39" i="13"/>
  <c r="AH39" i="13"/>
  <c r="AI38" i="13"/>
  <c r="AH38" i="13"/>
  <c r="AI37" i="13"/>
  <c r="AH37" i="13"/>
  <c r="AI36" i="13"/>
  <c r="AH36" i="13"/>
  <c r="AI35" i="13"/>
  <c r="AH35" i="13"/>
  <c r="AI34" i="13"/>
  <c r="AH34" i="13"/>
  <c r="AI33" i="13"/>
  <c r="AH33" i="13"/>
  <c r="AI32" i="13"/>
  <c r="AH32" i="13"/>
  <c r="AI31" i="13"/>
  <c r="AH31" i="13"/>
  <c r="AI30" i="13"/>
  <c r="AH30" i="13"/>
  <c r="AI29" i="13"/>
  <c r="AH29" i="13"/>
  <c r="AI28" i="13"/>
  <c r="AH28" i="13"/>
  <c r="AI27" i="13"/>
  <c r="AH27" i="13"/>
  <c r="AI26" i="13"/>
  <c r="AH26" i="13"/>
  <c r="AI25" i="13"/>
  <c r="AH25" i="13"/>
  <c r="AI24" i="13"/>
  <c r="AH24" i="13"/>
  <c r="AI23" i="13"/>
  <c r="AH23" i="13"/>
  <c r="AI22" i="13"/>
  <c r="AH22" i="13"/>
  <c r="AI21" i="13"/>
  <c r="AH21" i="13"/>
  <c r="AI20" i="13"/>
  <c r="AH20" i="13"/>
  <c r="AI19" i="13"/>
  <c r="AH19" i="13"/>
  <c r="AI18" i="13"/>
  <c r="AH18" i="13"/>
  <c r="AI17" i="13"/>
  <c r="AH17" i="13"/>
  <c r="AI16" i="13"/>
  <c r="AH16" i="13"/>
  <c r="AI15" i="13"/>
  <c r="AH15" i="13"/>
  <c r="AI14" i="13"/>
  <c r="AH14" i="13"/>
  <c r="AI13" i="13"/>
  <c r="AH13" i="13"/>
  <c r="AI12" i="13"/>
  <c r="AH12" i="13"/>
  <c r="AI11" i="13"/>
  <c r="AH11" i="13"/>
  <c r="AE5" i="13"/>
  <c r="Y5" i="13"/>
  <c r="X5" i="13"/>
  <c r="W5" i="13"/>
  <c r="T5" i="13"/>
  <c r="H5" i="13"/>
  <c r="AG4" i="13"/>
  <c r="K4" i="13"/>
  <c r="E4" i="13"/>
  <c r="H4" i="13" s="1"/>
  <c r="B4" i="13"/>
  <c r="S239" i="13" s="1"/>
  <c r="AG2" i="13"/>
  <c r="AG6" i="13" s="1"/>
  <c r="AA107" i="11"/>
  <c r="Z107" i="11"/>
  <c r="Y107" i="11"/>
  <c r="Y104" i="11" s="1"/>
  <c r="V107" i="11"/>
  <c r="R44" i="11"/>
  <c r="R48" i="11"/>
  <c r="R62" i="11"/>
  <c r="R66" i="11"/>
  <c r="O107" i="11"/>
  <c r="N107" i="11"/>
  <c r="M107" i="11"/>
  <c r="G107" i="11"/>
  <c r="D107" i="11"/>
  <c r="D44" i="11"/>
  <c r="D48" i="11"/>
  <c r="D62" i="11"/>
  <c r="C107" i="11"/>
  <c r="B107" i="11"/>
  <c r="B104" i="11"/>
  <c r="B78" i="11"/>
  <c r="B94" i="11" s="1"/>
  <c r="B66" i="11"/>
  <c r="B62" i="11"/>
  <c r="B48" i="11"/>
  <c r="B44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B263" i="11"/>
  <c r="S23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C228" i="11"/>
  <c r="E227" i="11"/>
  <c r="D263" i="11" s="1"/>
  <c r="D227" i="11"/>
  <c r="C263" i="11" s="1"/>
  <c r="B227" i="11"/>
  <c r="AF263" i="11" s="1"/>
  <c r="D226" i="11"/>
  <c r="E226" i="11" s="1"/>
  <c r="F226" i="11" s="1"/>
  <c r="G226" i="11" s="1"/>
  <c r="H226" i="11" s="1"/>
  <c r="I226" i="11" s="1"/>
  <c r="J226" i="11" s="1"/>
  <c r="K226" i="11" s="1"/>
  <c r="L226" i="11" s="1"/>
  <c r="M226" i="11" s="1"/>
  <c r="N226" i="11" s="1"/>
  <c r="O226" i="11" s="1"/>
  <c r="P226" i="11" s="1"/>
  <c r="B226" i="11"/>
  <c r="E225" i="11"/>
  <c r="F225" i="11" s="1"/>
  <c r="G225" i="11" s="1"/>
  <c r="H225" i="11" s="1"/>
  <c r="I225" i="11" s="1"/>
  <c r="D225" i="11"/>
  <c r="B225" i="11"/>
  <c r="D224" i="11"/>
  <c r="E224" i="11" s="1"/>
  <c r="F224" i="11" s="1"/>
  <c r="G224" i="11" s="1"/>
  <c r="H224" i="11" s="1"/>
  <c r="B224" i="11"/>
  <c r="E223" i="11"/>
  <c r="F223" i="11" s="1"/>
  <c r="G223" i="11" s="1"/>
  <c r="H223" i="11" s="1"/>
  <c r="I223" i="11" s="1"/>
  <c r="J223" i="11" s="1"/>
  <c r="K223" i="11" s="1"/>
  <c r="L223" i="11" s="1"/>
  <c r="M223" i="11" s="1"/>
  <c r="N223" i="11" s="1"/>
  <c r="O223" i="11" s="1"/>
  <c r="P223" i="11" s="1"/>
  <c r="D223" i="11"/>
  <c r="B223" i="11"/>
  <c r="D222" i="11"/>
  <c r="D228" i="11" s="1"/>
  <c r="B222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I113" i="11"/>
  <c r="AH113" i="11"/>
  <c r="AI112" i="11"/>
  <c r="AH112" i="11"/>
  <c r="AI111" i="11"/>
  <c r="AH111" i="11"/>
  <c r="AI110" i="11"/>
  <c r="AH110" i="11"/>
  <c r="AI109" i="11"/>
  <c r="AH109" i="11"/>
  <c r="AI108" i="11"/>
  <c r="AH108" i="11"/>
  <c r="AI106" i="11"/>
  <c r="AH106" i="11"/>
  <c r="AI105" i="11"/>
  <c r="AH105" i="11"/>
  <c r="AF104" i="11"/>
  <c r="AE104" i="11"/>
  <c r="AD104" i="11"/>
  <c r="AC104" i="11"/>
  <c r="AB104" i="11"/>
  <c r="AA104" i="11"/>
  <c r="Z104" i="11"/>
  <c r="W104" i="11"/>
  <c r="V104" i="11"/>
  <c r="U104" i="11"/>
  <c r="T104" i="11"/>
  <c r="S104" i="11"/>
  <c r="R104" i="11"/>
  <c r="Q104" i="11"/>
  <c r="C104" i="11"/>
  <c r="AI103" i="11"/>
  <c r="AH103" i="11"/>
  <c r="AI102" i="11"/>
  <c r="AH102" i="11"/>
  <c r="AI101" i="11"/>
  <c r="AH101" i="11"/>
  <c r="AI100" i="11"/>
  <c r="AH100" i="11"/>
  <c r="AI99" i="11"/>
  <c r="AH99" i="11"/>
  <c r="AI98" i="11"/>
  <c r="AH98" i="11"/>
  <c r="AI97" i="11"/>
  <c r="AH97" i="11"/>
  <c r="AI96" i="11"/>
  <c r="AH96" i="11"/>
  <c r="AI95" i="11"/>
  <c r="AH95" i="11"/>
  <c r="AI93" i="11"/>
  <c r="AH93" i="11"/>
  <c r="AI92" i="11"/>
  <c r="AH92" i="11"/>
  <c r="AI91" i="11"/>
  <c r="AH91" i="11"/>
  <c r="AI90" i="11"/>
  <c r="AH90" i="11"/>
  <c r="AI89" i="11"/>
  <c r="AH89" i="11"/>
  <c r="AI88" i="11"/>
  <c r="AH88" i="11"/>
  <c r="AI87" i="11"/>
  <c r="AH87" i="11"/>
  <c r="AI84" i="11"/>
  <c r="AH84" i="11"/>
  <c r="AI82" i="11"/>
  <c r="AH82" i="11"/>
  <c r="AG82" i="11"/>
  <c r="AI81" i="11"/>
  <c r="AH81" i="11"/>
  <c r="AI80" i="11"/>
  <c r="AH80" i="11"/>
  <c r="AI79" i="11"/>
  <c r="AH79" i="11"/>
  <c r="AN78" i="11"/>
  <c r="AG78" i="11"/>
  <c r="AF78" i="11"/>
  <c r="AF94" i="11" s="1"/>
  <c r="AE78" i="11"/>
  <c r="AE94" i="11" s="1"/>
  <c r="AD78" i="11"/>
  <c r="AD94" i="11" s="1"/>
  <c r="AC78" i="11"/>
  <c r="AC94" i="11" s="1"/>
  <c r="AB78" i="11"/>
  <c r="AB94" i="11" s="1"/>
  <c r="AA78" i="11"/>
  <c r="AA94" i="11" s="1"/>
  <c r="Z78" i="11"/>
  <c r="Z94" i="11" s="1"/>
  <c r="Y78" i="11"/>
  <c r="Y94" i="11" s="1"/>
  <c r="W78" i="11"/>
  <c r="W94" i="11" s="1"/>
  <c r="V78" i="11"/>
  <c r="V94" i="11" s="1"/>
  <c r="U78" i="11"/>
  <c r="U94" i="11" s="1"/>
  <c r="T78" i="11"/>
  <c r="T94" i="11" s="1"/>
  <c r="S78" i="11"/>
  <c r="S94" i="11" s="1"/>
  <c r="R78" i="11"/>
  <c r="R94" i="11" s="1"/>
  <c r="Q78" i="11"/>
  <c r="Q94" i="11" s="1"/>
  <c r="P78" i="11"/>
  <c r="P94" i="11" s="1"/>
  <c r="O78" i="11"/>
  <c r="O94" i="11" s="1"/>
  <c r="N78" i="11"/>
  <c r="N94" i="11" s="1"/>
  <c r="M78" i="11"/>
  <c r="M94" i="11" s="1"/>
  <c r="L78" i="11"/>
  <c r="L94" i="11" s="1"/>
  <c r="K78" i="11"/>
  <c r="K94" i="11" s="1"/>
  <c r="J78" i="11"/>
  <c r="J94" i="11" s="1"/>
  <c r="I78" i="11"/>
  <c r="I94" i="11" s="1"/>
  <c r="H78" i="11"/>
  <c r="H94" i="11" s="1"/>
  <c r="G78" i="11"/>
  <c r="G94" i="11" s="1"/>
  <c r="F78" i="11"/>
  <c r="F94" i="11" s="1"/>
  <c r="E78" i="11"/>
  <c r="E94" i="11" s="1"/>
  <c r="D78" i="11"/>
  <c r="D94" i="11" s="1"/>
  <c r="C78" i="11"/>
  <c r="C94" i="11" s="1"/>
  <c r="AI77" i="11"/>
  <c r="AH77" i="11"/>
  <c r="AN76" i="11"/>
  <c r="AI76" i="11"/>
  <c r="AH76" i="11"/>
  <c r="AN75" i="11"/>
  <c r="AN77" i="11" s="1"/>
  <c r="AI75" i="11"/>
  <c r="AH75" i="11"/>
  <c r="AI74" i="11"/>
  <c r="AH74" i="11"/>
  <c r="AI73" i="11"/>
  <c r="AH73" i="11"/>
  <c r="AI72" i="11"/>
  <c r="AH72" i="11"/>
  <c r="AI71" i="11"/>
  <c r="AH71" i="11"/>
  <c r="AI70" i="11"/>
  <c r="AH70" i="11"/>
  <c r="AI69" i="11"/>
  <c r="AH69" i="11"/>
  <c r="AI68" i="11"/>
  <c r="AH68" i="11"/>
  <c r="AI67" i="11"/>
  <c r="AH67" i="11"/>
  <c r="AG66" i="11"/>
  <c r="AF66" i="11"/>
  <c r="AE66" i="11"/>
  <c r="AD66" i="11"/>
  <c r="AC66" i="11"/>
  <c r="AB66" i="11"/>
  <c r="AA66" i="11"/>
  <c r="Z66" i="11"/>
  <c r="Y66" i="11"/>
  <c r="W66" i="11"/>
  <c r="V66" i="11"/>
  <c r="U66" i="11"/>
  <c r="T66" i="11"/>
  <c r="S66" i="11"/>
  <c r="Q66" i="11"/>
  <c r="P66" i="11"/>
  <c r="O66" i="11"/>
  <c r="N66" i="11"/>
  <c r="M66" i="11"/>
  <c r="L66" i="11"/>
  <c r="AI65" i="11"/>
  <c r="AH65" i="11"/>
  <c r="AI64" i="11"/>
  <c r="AH64" i="11"/>
  <c r="AI63" i="11"/>
  <c r="AH63" i="11"/>
  <c r="AF62" i="11"/>
  <c r="AE62" i="11"/>
  <c r="AD62" i="11"/>
  <c r="AC62" i="11"/>
  <c r="AB62" i="11"/>
  <c r="AA62" i="11"/>
  <c r="Z62" i="11"/>
  <c r="Y62" i="11"/>
  <c r="W62" i="11"/>
  <c r="V62" i="11"/>
  <c r="U62" i="11"/>
  <c r="T62" i="11"/>
  <c r="S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C62" i="11"/>
  <c r="AI61" i="11"/>
  <c r="AH61" i="11"/>
  <c r="AG61" i="11"/>
  <c r="AG62" i="11" s="1"/>
  <c r="AG3" i="11" s="1"/>
  <c r="AI60" i="11"/>
  <c r="AH60" i="11"/>
  <c r="AI59" i="11"/>
  <c r="AH59" i="11"/>
  <c r="AI58" i="11"/>
  <c r="AH58" i="11"/>
  <c r="AI57" i="11"/>
  <c r="AH57" i="11"/>
  <c r="AI56" i="11"/>
  <c r="AH56" i="11"/>
  <c r="AI55" i="11"/>
  <c r="AH55" i="11"/>
  <c r="AI54" i="11"/>
  <c r="AH54" i="11"/>
  <c r="AI53" i="11"/>
  <c r="AH53" i="11"/>
  <c r="AI52" i="11"/>
  <c r="AH52" i="11"/>
  <c r="AI51" i="11"/>
  <c r="AH51" i="11"/>
  <c r="AI50" i="11"/>
  <c r="AH50" i="11"/>
  <c r="AI49" i="11"/>
  <c r="AH49" i="11"/>
  <c r="AG48" i="11"/>
  <c r="AF48" i="11"/>
  <c r="AE48" i="11"/>
  <c r="AD48" i="11"/>
  <c r="AC48" i="11"/>
  <c r="AB48" i="11"/>
  <c r="AA48" i="11"/>
  <c r="Z48" i="11"/>
  <c r="Y48" i="11"/>
  <c r="W48" i="11"/>
  <c r="V48" i="11"/>
  <c r="U48" i="11"/>
  <c r="T48" i="11"/>
  <c r="S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C48" i="11"/>
  <c r="AI47" i="11"/>
  <c r="AH47" i="11"/>
  <c r="AI46" i="11"/>
  <c r="AH46" i="11"/>
  <c r="AI45" i="11"/>
  <c r="AH45" i="11"/>
  <c r="AG44" i="11"/>
  <c r="AF44" i="11"/>
  <c r="AE44" i="11"/>
  <c r="AD44" i="11"/>
  <c r="AC44" i="11"/>
  <c r="AB44" i="11"/>
  <c r="AA44" i="11"/>
  <c r="Z44" i="11"/>
  <c r="Y44" i="11"/>
  <c r="W44" i="11"/>
  <c r="V44" i="11"/>
  <c r="U44" i="11"/>
  <c r="T44" i="11"/>
  <c r="S44" i="11"/>
  <c r="R83" i="11"/>
  <c r="R85" i="11" s="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C44" i="11"/>
  <c r="AI43" i="11"/>
  <c r="AH43" i="11"/>
  <c r="AI42" i="11"/>
  <c r="AH42" i="11"/>
  <c r="AI41" i="11"/>
  <c r="AH41" i="11"/>
  <c r="AI40" i="11"/>
  <c r="AH40" i="11"/>
  <c r="AI39" i="11"/>
  <c r="AH39" i="11"/>
  <c r="AI38" i="11"/>
  <c r="AH38" i="11"/>
  <c r="AI37" i="11"/>
  <c r="AH37" i="11"/>
  <c r="AI36" i="11"/>
  <c r="AH36" i="11"/>
  <c r="AI35" i="11"/>
  <c r="AH35" i="11"/>
  <c r="AI34" i="11"/>
  <c r="AH34" i="11"/>
  <c r="AI33" i="11"/>
  <c r="AH33" i="11"/>
  <c r="AI32" i="11"/>
  <c r="AH32" i="11"/>
  <c r="AI31" i="11"/>
  <c r="AH31" i="11"/>
  <c r="AI30" i="11"/>
  <c r="AH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AI21" i="11"/>
  <c r="AH21" i="11"/>
  <c r="AI20" i="11"/>
  <c r="AH20" i="11"/>
  <c r="AI19" i="11"/>
  <c r="AH19" i="11"/>
  <c r="AI18" i="11"/>
  <c r="AH18" i="11"/>
  <c r="AI17" i="11"/>
  <c r="AH17" i="11"/>
  <c r="AI16" i="11"/>
  <c r="AH16" i="11"/>
  <c r="AI15" i="11"/>
  <c r="AH15" i="11"/>
  <c r="AI14" i="11"/>
  <c r="AH14" i="11"/>
  <c r="AI13" i="11"/>
  <c r="AH13" i="11"/>
  <c r="AI12" i="11"/>
  <c r="AH12" i="11"/>
  <c r="AI11" i="11"/>
  <c r="AH11" i="11"/>
  <c r="AB5" i="11"/>
  <c r="W5" i="11"/>
  <c r="N5" i="11"/>
  <c r="AG4" i="11"/>
  <c r="K4" i="11"/>
  <c r="E4" i="11"/>
  <c r="H4" i="11" s="1"/>
  <c r="B4" i="11"/>
  <c r="S239" i="11" s="1"/>
  <c r="AG2" i="11"/>
  <c r="AG6" i="11" s="1"/>
  <c r="AF107" i="10"/>
  <c r="AF44" i="10"/>
  <c r="AE107" i="10"/>
  <c r="X104" i="3"/>
  <c r="X94" i="3"/>
  <c r="X78" i="3"/>
  <c r="X66" i="3"/>
  <c r="X62" i="3"/>
  <c r="X48" i="3"/>
  <c r="X44" i="3"/>
  <c r="X83" i="3" s="1"/>
  <c r="X85" i="3" s="1"/>
  <c r="X86" i="3" s="1"/>
  <c r="X78" i="10"/>
  <c r="X66" i="10"/>
  <c r="X62" i="10"/>
  <c r="X48" i="10"/>
  <c r="X44" i="10"/>
  <c r="X83" i="10" l="1"/>
  <c r="X85" i="10" s="1"/>
  <c r="X86" i="10" s="1"/>
  <c r="B228" i="13"/>
  <c r="AG85" i="11"/>
  <c r="AG85" i="13"/>
  <c r="AG85" i="14"/>
  <c r="B228" i="14"/>
  <c r="E227" i="14"/>
  <c r="V94" i="13"/>
  <c r="D228" i="13"/>
  <c r="AN77" i="14"/>
  <c r="D104" i="11"/>
  <c r="E222" i="14"/>
  <c r="F222" i="14" s="1"/>
  <c r="G222" i="14" s="1"/>
  <c r="O227" i="17"/>
  <c r="M263" i="17"/>
  <c r="M5" i="11"/>
  <c r="N104" i="17"/>
  <c r="O222" i="17"/>
  <c r="O222" i="16"/>
  <c r="N104" i="16"/>
  <c r="M263" i="16"/>
  <c r="O227" i="16"/>
  <c r="O223" i="15"/>
  <c r="M263" i="15"/>
  <c r="O227" i="15"/>
  <c r="N104" i="15"/>
  <c r="AE5" i="14"/>
  <c r="AF83" i="14"/>
  <c r="AF85" i="14" s="1"/>
  <c r="AF86" i="14" s="1"/>
  <c r="AD5" i="14"/>
  <c r="AE83" i="14"/>
  <c r="AE85" i="14" s="1"/>
  <c r="AC5" i="14"/>
  <c r="AD83" i="14"/>
  <c r="AD85" i="14" s="1"/>
  <c r="AD7" i="14" s="1"/>
  <c r="AB5" i="14"/>
  <c r="AC83" i="14"/>
  <c r="AC85" i="14" s="1"/>
  <c r="AC7" i="14" s="1"/>
  <c r="AA5" i="14"/>
  <c r="AB83" i="14"/>
  <c r="AB85" i="14" s="1"/>
  <c r="AT242" i="14" s="1"/>
  <c r="AA83" i="14"/>
  <c r="AA85" i="14" s="1"/>
  <c r="AA7" i="14" s="1"/>
  <c r="Y5" i="14"/>
  <c r="Z83" i="14"/>
  <c r="Z85" i="14" s="1"/>
  <c r="Y94" i="14"/>
  <c r="Y83" i="14"/>
  <c r="Y85" i="14" s="1"/>
  <c r="AQ242" i="14" s="1"/>
  <c r="W5" i="14"/>
  <c r="X83" i="14"/>
  <c r="X85" i="14" s="1"/>
  <c r="V5" i="14"/>
  <c r="W83" i="14"/>
  <c r="W85" i="14" s="1"/>
  <c r="W7" i="14" s="1"/>
  <c r="U5" i="14"/>
  <c r="T5" i="14"/>
  <c r="U83" i="14"/>
  <c r="U85" i="14" s="1"/>
  <c r="T83" i="14"/>
  <c r="T85" i="14" s="1"/>
  <c r="T86" i="14" s="1"/>
  <c r="R5" i="14"/>
  <c r="AI66" i="14"/>
  <c r="S83" i="14"/>
  <c r="S85" i="14" s="1"/>
  <c r="S86" i="14" s="1"/>
  <c r="Q5" i="14"/>
  <c r="R83" i="14"/>
  <c r="R85" i="14" s="1"/>
  <c r="R7" i="14" s="1"/>
  <c r="P5" i="14"/>
  <c r="Q83" i="14"/>
  <c r="Q85" i="14" s="1"/>
  <c r="Q7" i="14" s="1"/>
  <c r="O5" i="14"/>
  <c r="P83" i="14"/>
  <c r="P85" i="14" s="1"/>
  <c r="AH242" i="14" s="1"/>
  <c r="N5" i="14"/>
  <c r="O83" i="14"/>
  <c r="O85" i="14" s="1"/>
  <c r="O86" i="14" s="1"/>
  <c r="N83" i="14"/>
  <c r="N85" i="14" s="1"/>
  <c r="AF242" i="14" s="1"/>
  <c r="L5" i="14"/>
  <c r="M83" i="14"/>
  <c r="M85" i="14" s="1"/>
  <c r="M86" i="14" s="1"/>
  <c r="K5" i="14"/>
  <c r="H5" i="14"/>
  <c r="I83" i="14"/>
  <c r="I85" i="14" s="1"/>
  <c r="I86" i="14" s="1"/>
  <c r="G5" i="14"/>
  <c r="F5" i="14"/>
  <c r="E5" i="14"/>
  <c r="F83" i="14"/>
  <c r="F85" i="14" s="1"/>
  <c r="X242" i="14" s="1"/>
  <c r="I5" i="14"/>
  <c r="J5" i="14"/>
  <c r="J83" i="14"/>
  <c r="J85" i="14" s="1"/>
  <c r="J7" i="14" s="1"/>
  <c r="D5" i="14"/>
  <c r="G83" i="14"/>
  <c r="G85" i="14" s="1"/>
  <c r="G7" i="14" s="1"/>
  <c r="K83" i="14"/>
  <c r="K85" i="14" s="1"/>
  <c r="K86" i="14" s="1"/>
  <c r="L83" i="14"/>
  <c r="L85" i="14" s="1"/>
  <c r="L86" i="14" s="1"/>
  <c r="H83" i="14"/>
  <c r="H85" i="14" s="1"/>
  <c r="H86" i="14" s="1"/>
  <c r="C5" i="14"/>
  <c r="B5" i="14"/>
  <c r="AH62" i="14"/>
  <c r="E83" i="14"/>
  <c r="E85" i="14" s="1"/>
  <c r="E7" i="14" s="1"/>
  <c r="C83" i="14"/>
  <c r="C85" i="14" s="1"/>
  <c r="U242" i="14" s="1"/>
  <c r="D83" i="14"/>
  <c r="D85" i="14" s="1"/>
  <c r="D7" i="14" s="1"/>
  <c r="AI48" i="14"/>
  <c r="B83" i="14"/>
  <c r="AF5" i="14"/>
  <c r="AI62" i="14"/>
  <c r="Q86" i="14"/>
  <c r="C86" i="14"/>
  <c r="AK242" i="14"/>
  <c r="AA86" i="14"/>
  <c r="AS242" i="14"/>
  <c r="AB86" i="14"/>
  <c r="AB7" i="14"/>
  <c r="J225" i="14"/>
  <c r="K225" i="14" s="1"/>
  <c r="L225" i="14" s="1"/>
  <c r="M225" i="14" s="1"/>
  <c r="N225" i="14" s="1"/>
  <c r="O225" i="14" s="1"/>
  <c r="P225" i="14" s="1"/>
  <c r="Z86" i="14"/>
  <c r="Z7" i="14"/>
  <c r="AR242" i="14"/>
  <c r="M7" i="14"/>
  <c r="U7" i="14"/>
  <c r="AM242" i="14"/>
  <c r="U86" i="14"/>
  <c r="AU242" i="14"/>
  <c r="AC86" i="14"/>
  <c r="N86" i="14"/>
  <c r="N7" i="14"/>
  <c r="AN242" i="14"/>
  <c r="V86" i="14"/>
  <c r="V7" i="14"/>
  <c r="AV242" i="14"/>
  <c r="AD86" i="14"/>
  <c r="AI94" i="14"/>
  <c r="AH94" i="14"/>
  <c r="AG242" i="14"/>
  <c r="AO242" i="14"/>
  <c r="W86" i="14"/>
  <c r="AW242" i="14"/>
  <c r="AE86" i="14"/>
  <c r="AE7" i="14"/>
  <c r="R86" i="14"/>
  <c r="AJ242" i="14"/>
  <c r="P86" i="14"/>
  <c r="P7" i="14"/>
  <c r="X86" i="14"/>
  <c r="X7" i="14"/>
  <c r="AP242" i="14"/>
  <c r="AF7" i="14"/>
  <c r="AX242" i="14"/>
  <c r="AH66" i="14"/>
  <c r="E228" i="14"/>
  <c r="D239" i="14"/>
  <c r="E104" i="14"/>
  <c r="AH78" i="14"/>
  <c r="AI78" i="14"/>
  <c r="AH44" i="14"/>
  <c r="AH48" i="14"/>
  <c r="AI44" i="14"/>
  <c r="AF83" i="13"/>
  <c r="AF85" i="13" s="1"/>
  <c r="AE83" i="13"/>
  <c r="AE85" i="13" s="1"/>
  <c r="AE86" i="13" s="1"/>
  <c r="AC5" i="13"/>
  <c r="AD83" i="13"/>
  <c r="AD85" i="13" s="1"/>
  <c r="AD7" i="13" s="1"/>
  <c r="AB5" i="13"/>
  <c r="AC83" i="13"/>
  <c r="AC85" i="13" s="1"/>
  <c r="AC7" i="13" s="1"/>
  <c r="AA5" i="13"/>
  <c r="AB83" i="13"/>
  <c r="AB85" i="13" s="1"/>
  <c r="AT242" i="13" s="1"/>
  <c r="Z5" i="13"/>
  <c r="AA83" i="13"/>
  <c r="AA85" i="13" s="1"/>
  <c r="AA86" i="13" s="1"/>
  <c r="Z83" i="13"/>
  <c r="Z85" i="13" s="1"/>
  <c r="Z86" i="13" s="1"/>
  <c r="X83" i="13"/>
  <c r="X85" i="13" s="1"/>
  <c r="X7" i="13" s="1"/>
  <c r="W83" i="13"/>
  <c r="W85" i="13" s="1"/>
  <c r="V83" i="13"/>
  <c r="V85" i="13" s="1"/>
  <c r="AN242" i="13" s="1"/>
  <c r="U83" i="13"/>
  <c r="U85" i="13" s="1"/>
  <c r="AI107" i="13"/>
  <c r="T83" i="13"/>
  <c r="T85" i="13" s="1"/>
  <c r="S5" i="13"/>
  <c r="R5" i="13"/>
  <c r="S83" i="13"/>
  <c r="S85" i="13" s="1"/>
  <c r="Q5" i="13"/>
  <c r="P83" i="13"/>
  <c r="P85" i="13" s="1"/>
  <c r="P86" i="13" s="1"/>
  <c r="O5" i="13"/>
  <c r="P5" i="13"/>
  <c r="Q83" i="13"/>
  <c r="Q85" i="13" s="1"/>
  <c r="Q86" i="13" s="1"/>
  <c r="O83" i="13"/>
  <c r="O85" i="13" s="1"/>
  <c r="M5" i="13"/>
  <c r="AI66" i="13"/>
  <c r="N83" i="13"/>
  <c r="N85" i="13" s="1"/>
  <c r="L5" i="13"/>
  <c r="M83" i="13"/>
  <c r="M85" i="13" s="1"/>
  <c r="M86" i="13" s="1"/>
  <c r="L83" i="13"/>
  <c r="L85" i="13" s="1"/>
  <c r="L86" i="13" s="1"/>
  <c r="K5" i="13"/>
  <c r="AH66" i="13"/>
  <c r="AH107" i="13"/>
  <c r="J5" i="13"/>
  <c r="K83" i="13"/>
  <c r="K85" i="13" s="1"/>
  <c r="K86" i="13" s="1"/>
  <c r="I5" i="13"/>
  <c r="J83" i="13"/>
  <c r="J85" i="13" s="1"/>
  <c r="J86" i="13" s="1"/>
  <c r="I83" i="13"/>
  <c r="I85" i="13" s="1"/>
  <c r="AA242" i="13" s="1"/>
  <c r="G5" i="13"/>
  <c r="AI62" i="13"/>
  <c r="H83" i="13"/>
  <c r="H85" i="13" s="1"/>
  <c r="G83" i="13"/>
  <c r="G85" i="13" s="1"/>
  <c r="G86" i="13" s="1"/>
  <c r="E5" i="13"/>
  <c r="F83" i="13"/>
  <c r="F85" i="13" s="1"/>
  <c r="X242" i="13" s="1"/>
  <c r="D5" i="13"/>
  <c r="E83" i="13"/>
  <c r="E85" i="13" s="1"/>
  <c r="E7" i="13" s="1"/>
  <c r="AI48" i="13"/>
  <c r="C5" i="13"/>
  <c r="D83" i="13"/>
  <c r="D85" i="13" s="1"/>
  <c r="D7" i="13" s="1"/>
  <c r="B5" i="13"/>
  <c r="C83" i="13"/>
  <c r="C85" i="13" s="1"/>
  <c r="U242" i="13" s="1"/>
  <c r="AF5" i="13"/>
  <c r="B83" i="13"/>
  <c r="D239" i="13"/>
  <c r="AD242" i="13"/>
  <c r="E86" i="13"/>
  <c r="U7" i="13"/>
  <c r="AM242" i="13"/>
  <c r="U86" i="13"/>
  <c r="AC86" i="13"/>
  <c r="T86" i="13"/>
  <c r="T7" i="13"/>
  <c r="AL242" i="13"/>
  <c r="AF242" i="13"/>
  <c r="N7" i="13"/>
  <c r="N86" i="13"/>
  <c r="V86" i="13"/>
  <c r="AV242" i="13"/>
  <c r="AD86" i="13"/>
  <c r="AB86" i="13"/>
  <c r="AB7" i="13"/>
  <c r="AG242" i="13"/>
  <c r="O86" i="13"/>
  <c r="O7" i="13"/>
  <c r="AO242" i="13"/>
  <c r="W86" i="13"/>
  <c r="W7" i="13"/>
  <c r="AW242" i="13"/>
  <c r="AE7" i="13"/>
  <c r="X86" i="13"/>
  <c r="AP242" i="13"/>
  <c r="AF86" i="13"/>
  <c r="AF7" i="13"/>
  <c r="AX242" i="13"/>
  <c r="G222" i="13"/>
  <c r="I86" i="13"/>
  <c r="I7" i="13"/>
  <c r="AI242" i="13"/>
  <c r="Y7" i="13"/>
  <c r="AQ242" i="13"/>
  <c r="AG83" i="13"/>
  <c r="K7" i="13"/>
  <c r="AC242" i="13"/>
  <c r="J225" i="13"/>
  <c r="K225" i="13" s="1"/>
  <c r="L225" i="13" s="1"/>
  <c r="M225" i="13" s="1"/>
  <c r="N225" i="13" s="1"/>
  <c r="O225" i="13" s="1"/>
  <c r="P225" i="13" s="1"/>
  <c r="B85" i="13"/>
  <c r="R86" i="13"/>
  <c r="AJ242" i="13"/>
  <c r="S86" i="13"/>
  <c r="S7" i="13"/>
  <c r="AK242" i="13"/>
  <c r="AA7" i="13"/>
  <c r="AS242" i="13"/>
  <c r="G94" i="13"/>
  <c r="O94" i="13"/>
  <c r="W94" i="13"/>
  <c r="AE94" i="13"/>
  <c r="D104" i="13"/>
  <c r="E223" i="13"/>
  <c r="E227" i="13"/>
  <c r="AH62" i="13"/>
  <c r="AH78" i="13"/>
  <c r="AI78" i="13"/>
  <c r="AH44" i="13"/>
  <c r="AH48" i="13"/>
  <c r="AI44" i="13"/>
  <c r="AE5" i="11"/>
  <c r="AF83" i="11"/>
  <c r="AF85" i="11" s="1"/>
  <c r="AF86" i="11" s="1"/>
  <c r="AD5" i="11"/>
  <c r="AE83" i="11"/>
  <c r="AE85" i="11" s="1"/>
  <c r="AC5" i="11"/>
  <c r="AD83" i="11"/>
  <c r="AD85" i="11" s="1"/>
  <c r="AV242" i="11" s="1"/>
  <c r="AC83" i="11"/>
  <c r="AC85" i="11" s="1"/>
  <c r="AC7" i="11" s="1"/>
  <c r="AA5" i="11"/>
  <c r="AB83" i="11"/>
  <c r="AB85" i="11" s="1"/>
  <c r="Z5" i="11"/>
  <c r="AA83" i="11"/>
  <c r="AA85" i="11" s="1"/>
  <c r="AS242" i="11" s="1"/>
  <c r="Y5" i="11"/>
  <c r="Z83" i="11"/>
  <c r="Z85" i="11" s="1"/>
  <c r="X5" i="11"/>
  <c r="V5" i="11"/>
  <c r="W83" i="11"/>
  <c r="W85" i="11" s="1"/>
  <c r="W7" i="11" s="1"/>
  <c r="V83" i="11"/>
  <c r="V85" i="11" s="1"/>
  <c r="U5" i="11"/>
  <c r="U83" i="11"/>
  <c r="U85" i="11" s="1"/>
  <c r="AM242" i="11" s="1"/>
  <c r="T5" i="11"/>
  <c r="Y83" i="11"/>
  <c r="Y85" i="11" s="1"/>
  <c r="Y86" i="11" s="1"/>
  <c r="S5" i="11"/>
  <c r="T83" i="11"/>
  <c r="T85" i="11" s="1"/>
  <c r="T86" i="11" s="1"/>
  <c r="R5" i="11"/>
  <c r="S83" i="11"/>
  <c r="S85" i="11" s="1"/>
  <c r="Q5" i="11"/>
  <c r="P5" i="11"/>
  <c r="Q83" i="11"/>
  <c r="Q85" i="11" s="1"/>
  <c r="O5" i="11"/>
  <c r="P83" i="11"/>
  <c r="P85" i="11" s="1"/>
  <c r="O83" i="11"/>
  <c r="O85" i="11" s="1"/>
  <c r="AG242" i="11" s="1"/>
  <c r="N83" i="11"/>
  <c r="N85" i="11" s="1"/>
  <c r="AF242" i="11" s="1"/>
  <c r="L5" i="11"/>
  <c r="M83" i="11"/>
  <c r="M85" i="11" s="1"/>
  <c r="M86" i="11" s="1"/>
  <c r="K5" i="11"/>
  <c r="K83" i="11"/>
  <c r="K85" i="11" s="1"/>
  <c r="K86" i="11" s="1"/>
  <c r="L83" i="11"/>
  <c r="L85" i="11" s="1"/>
  <c r="L86" i="11" s="1"/>
  <c r="I5" i="11"/>
  <c r="J83" i="11"/>
  <c r="J85" i="11" s="1"/>
  <c r="J7" i="11" s="1"/>
  <c r="H5" i="11"/>
  <c r="I83" i="11"/>
  <c r="I85" i="11" s="1"/>
  <c r="I86" i="11" s="1"/>
  <c r="J5" i="11"/>
  <c r="G5" i="11"/>
  <c r="H83" i="11"/>
  <c r="H85" i="11" s="1"/>
  <c r="Z242" i="11" s="1"/>
  <c r="F5" i="11"/>
  <c r="G83" i="11"/>
  <c r="G85" i="11" s="1"/>
  <c r="G7" i="11" s="1"/>
  <c r="E5" i="11"/>
  <c r="F83" i="11"/>
  <c r="F85" i="11" s="1"/>
  <c r="X242" i="11" s="1"/>
  <c r="D5" i="11"/>
  <c r="AI62" i="11"/>
  <c r="E83" i="11"/>
  <c r="E85" i="11" s="1"/>
  <c r="E86" i="11" s="1"/>
  <c r="AH107" i="11"/>
  <c r="AI107" i="11"/>
  <c r="D83" i="11"/>
  <c r="D85" i="11" s="1"/>
  <c r="D86" i="11" s="1"/>
  <c r="C5" i="11"/>
  <c r="AF5" i="11"/>
  <c r="B5" i="11"/>
  <c r="AI48" i="11"/>
  <c r="C83" i="11"/>
  <c r="C85" i="11" s="1"/>
  <c r="U242" i="11" s="1"/>
  <c r="B83" i="11"/>
  <c r="B85" i="11" s="1"/>
  <c r="B86" i="11" s="1"/>
  <c r="AI66" i="11"/>
  <c r="AA7" i="11"/>
  <c r="C86" i="11"/>
  <c r="S86" i="11"/>
  <c r="S7" i="11"/>
  <c r="AK242" i="11"/>
  <c r="V242" i="11"/>
  <c r="AB86" i="11"/>
  <c r="AB7" i="11"/>
  <c r="AT242" i="11"/>
  <c r="AD86" i="11"/>
  <c r="AD7" i="11"/>
  <c r="U7" i="11"/>
  <c r="AO242" i="11"/>
  <c r="W86" i="11"/>
  <c r="AW242" i="11"/>
  <c r="AE86" i="11"/>
  <c r="AE7" i="11"/>
  <c r="AI94" i="11"/>
  <c r="AH94" i="11"/>
  <c r="AE242" i="11"/>
  <c r="AN242" i="11"/>
  <c r="V86" i="11"/>
  <c r="V7" i="11"/>
  <c r="P86" i="11"/>
  <c r="P7" i="11"/>
  <c r="AH242" i="11"/>
  <c r="X7" i="11"/>
  <c r="AP242" i="11"/>
  <c r="J225" i="11"/>
  <c r="K225" i="11" s="1"/>
  <c r="L225" i="11" s="1"/>
  <c r="M225" i="11" s="1"/>
  <c r="N225" i="11" s="1"/>
  <c r="O225" i="11" s="1"/>
  <c r="P225" i="11" s="1"/>
  <c r="F86" i="11"/>
  <c r="F7" i="11"/>
  <c r="AA242" i="11"/>
  <c r="Q86" i="11"/>
  <c r="Q7" i="11"/>
  <c r="AI242" i="11"/>
  <c r="AG83" i="11"/>
  <c r="Y242" i="11"/>
  <c r="R86" i="11"/>
  <c r="R7" i="11"/>
  <c r="AJ242" i="11"/>
  <c r="Z86" i="11"/>
  <c r="Z7" i="11"/>
  <c r="AR242" i="11"/>
  <c r="AH66" i="11"/>
  <c r="D239" i="11"/>
  <c r="AH62" i="11"/>
  <c r="F227" i="11"/>
  <c r="AH78" i="11"/>
  <c r="E222" i="11"/>
  <c r="AI78" i="11"/>
  <c r="AH44" i="11"/>
  <c r="AH48" i="11"/>
  <c r="B228" i="11"/>
  <c r="AI44" i="11"/>
  <c r="O107" i="10"/>
  <c r="O44" i="10"/>
  <c r="O48" i="10"/>
  <c r="AH11" i="9"/>
  <c r="AH12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H25" i="9"/>
  <c r="AH26" i="9"/>
  <c r="AH27" i="9"/>
  <c r="AH28" i="9"/>
  <c r="AH29" i="9"/>
  <c r="AH30" i="9"/>
  <c r="AH31" i="9"/>
  <c r="AH32" i="9"/>
  <c r="AH33" i="9"/>
  <c r="AH34" i="9"/>
  <c r="AH35" i="9"/>
  <c r="AH36" i="9"/>
  <c r="AH37" i="9"/>
  <c r="AH38" i="9"/>
  <c r="AH39" i="9"/>
  <c r="AH40" i="9"/>
  <c r="AH41" i="9"/>
  <c r="AH42" i="9"/>
  <c r="AH43" i="9"/>
  <c r="AH45" i="9"/>
  <c r="AH46" i="9"/>
  <c r="AH47" i="9"/>
  <c r="AH49" i="9"/>
  <c r="AH50" i="9"/>
  <c r="AH51" i="9"/>
  <c r="AH52" i="9"/>
  <c r="AH53" i="9"/>
  <c r="AH54" i="9"/>
  <c r="AH55" i="9"/>
  <c r="AH56" i="9"/>
  <c r="AH57" i="9"/>
  <c r="AH58" i="9"/>
  <c r="AH59" i="9"/>
  <c r="AH60" i="9"/>
  <c r="AH61" i="9"/>
  <c r="AH63" i="9"/>
  <c r="AH64" i="9"/>
  <c r="AH65" i="9"/>
  <c r="AH67" i="9"/>
  <c r="AH68" i="9"/>
  <c r="AH69" i="9"/>
  <c r="AH70" i="9"/>
  <c r="AH71" i="9"/>
  <c r="AH72" i="9"/>
  <c r="AH73" i="9"/>
  <c r="AH74" i="9"/>
  <c r="AH75" i="9"/>
  <c r="AH76" i="9"/>
  <c r="AH77" i="9"/>
  <c r="AH79" i="9"/>
  <c r="AH80" i="9"/>
  <c r="AH81" i="9"/>
  <c r="AH82" i="9"/>
  <c r="AH84" i="9"/>
  <c r="AH87" i="9"/>
  <c r="AH88" i="9"/>
  <c r="AH89" i="9"/>
  <c r="AH90" i="9"/>
  <c r="AH91" i="9"/>
  <c r="AH92" i="9"/>
  <c r="AH93" i="9"/>
  <c r="AH95" i="9"/>
  <c r="AH96" i="9"/>
  <c r="AH97" i="9"/>
  <c r="AH98" i="9"/>
  <c r="AH99" i="9"/>
  <c r="AH100" i="9"/>
  <c r="AH101" i="9"/>
  <c r="AH102" i="9"/>
  <c r="AH103" i="9"/>
  <c r="AH105" i="9"/>
  <c r="AH106" i="9"/>
  <c r="AH108" i="9"/>
  <c r="AH109" i="9"/>
  <c r="AH110" i="9"/>
  <c r="AH111" i="9"/>
  <c r="AH112" i="9"/>
  <c r="AH113" i="9"/>
  <c r="N107" i="10"/>
  <c r="K107" i="10"/>
  <c r="J107" i="10"/>
  <c r="AI107" i="10" s="1"/>
  <c r="I107" i="10"/>
  <c r="G44" i="10"/>
  <c r="H44" i="10"/>
  <c r="G48" i="10"/>
  <c r="H48" i="10"/>
  <c r="G62" i="10"/>
  <c r="H62" i="10"/>
  <c r="G78" i="10"/>
  <c r="G94" i="10" s="1"/>
  <c r="H78" i="10"/>
  <c r="H94" i="10" s="1"/>
  <c r="G107" i="10"/>
  <c r="H107" i="10"/>
  <c r="F107" i="10"/>
  <c r="E10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B263" i="10"/>
  <c r="AP242" i="10"/>
  <c r="S23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C228" i="10"/>
  <c r="E227" i="10"/>
  <c r="F227" i="10" s="1"/>
  <c r="D227" i="10"/>
  <c r="C263" i="10" s="1"/>
  <c r="B227" i="10"/>
  <c r="AF263" i="10" s="1"/>
  <c r="D226" i="10"/>
  <c r="E226" i="10" s="1"/>
  <c r="F226" i="10" s="1"/>
  <c r="G226" i="10" s="1"/>
  <c r="H226" i="10" s="1"/>
  <c r="I226" i="10" s="1"/>
  <c r="J226" i="10" s="1"/>
  <c r="K226" i="10" s="1"/>
  <c r="L226" i="10" s="1"/>
  <c r="M226" i="10" s="1"/>
  <c r="N226" i="10" s="1"/>
  <c r="O226" i="10" s="1"/>
  <c r="P226" i="10" s="1"/>
  <c r="B226" i="10"/>
  <c r="D225" i="10"/>
  <c r="E225" i="10" s="1"/>
  <c r="F225" i="10" s="1"/>
  <c r="G225" i="10" s="1"/>
  <c r="H225" i="10" s="1"/>
  <c r="I225" i="10" s="1"/>
  <c r="B225" i="10"/>
  <c r="D224" i="10"/>
  <c r="E224" i="10" s="1"/>
  <c r="F224" i="10" s="1"/>
  <c r="G224" i="10" s="1"/>
  <c r="H224" i="10" s="1"/>
  <c r="B224" i="10"/>
  <c r="D223" i="10"/>
  <c r="E223" i="10" s="1"/>
  <c r="F223" i="10" s="1"/>
  <c r="G223" i="10" s="1"/>
  <c r="H223" i="10" s="1"/>
  <c r="I223" i="10" s="1"/>
  <c r="J223" i="10" s="1"/>
  <c r="K223" i="10" s="1"/>
  <c r="L223" i="10" s="1"/>
  <c r="M223" i="10" s="1"/>
  <c r="N223" i="10" s="1"/>
  <c r="O223" i="10" s="1"/>
  <c r="P223" i="10" s="1"/>
  <c r="B223" i="10"/>
  <c r="D222" i="10"/>
  <c r="D104" i="10" s="1"/>
  <c r="B222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I113" i="10"/>
  <c r="AH113" i="10"/>
  <c r="AI112" i="10"/>
  <c r="AH112" i="10"/>
  <c r="AI111" i="10"/>
  <c r="AH111" i="10"/>
  <c r="AI110" i="10"/>
  <c r="AH110" i="10"/>
  <c r="AI109" i="10"/>
  <c r="AH109" i="10"/>
  <c r="AI108" i="10"/>
  <c r="AH108" i="10"/>
  <c r="AH107" i="10"/>
  <c r="AI106" i="10"/>
  <c r="AH106" i="10"/>
  <c r="AI105" i="10"/>
  <c r="AH105" i="10"/>
  <c r="AF104" i="10"/>
  <c r="AE104" i="10"/>
  <c r="AD104" i="10"/>
  <c r="AC104" i="10"/>
  <c r="AB104" i="10"/>
  <c r="AA104" i="10"/>
  <c r="Z104" i="10"/>
  <c r="Y104" i="10"/>
  <c r="W104" i="10"/>
  <c r="V104" i="10"/>
  <c r="U104" i="10"/>
  <c r="T104" i="10"/>
  <c r="S104" i="10"/>
  <c r="R104" i="10"/>
  <c r="Q104" i="10"/>
  <c r="C104" i="10"/>
  <c r="AI103" i="10"/>
  <c r="AH103" i="10"/>
  <c r="AI102" i="10"/>
  <c r="AH102" i="10"/>
  <c r="AI101" i="10"/>
  <c r="AH101" i="10"/>
  <c r="AI100" i="10"/>
  <c r="AH100" i="10"/>
  <c r="AI99" i="10"/>
  <c r="AH99" i="10"/>
  <c r="AI98" i="10"/>
  <c r="AH98" i="10"/>
  <c r="AI97" i="10"/>
  <c r="AH97" i="10"/>
  <c r="AI96" i="10"/>
  <c r="AH96" i="10"/>
  <c r="AI95" i="10"/>
  <c r="AH95" i="10"/>
  <c r="AI93" i="10"/>
  <c r="AH93" i="10"/>
  <c r="AI92" i="10"/>
  <c r="AH92" i="10"/>
  <c r="AI91" i="10"/>
  <c r="AH91" i="10"/>
  <c r="AI90" i="10"/>
  <c r="AH90" i="10"/>
  <c r="AI89" i="10"/>
  <c r="AH89" i="10"/>
  <c r="AI88" i="10"/>
  <c r="AH88" i="10"/>
  <c r="AI87" i="10"/>
  <c r="AH87" i="10"/>
  <c r="AI84" i="10"/>
  <c r="AH84" i="10"/>
  <c r="AI82" i="10"/>
  <c r="AH82" i="10"/>
  <c r="AG82" i="10"/>
  <c r="AI81" i="10"/>
  <c r="AH81" i="10"/>
  <c r="AI80" i="10"/>
  <c r="AH80" i="10"/>
  <c r="AI79" i="10"/>
  <c r="AH79" i="10"/>
  <c r="AN78" i="10"/>
  <c r="AG78" i="10"/>
  <c r="AF78" i="10"/>
  <c r="AF94" i="10" s="1"/>
  <c r="AE78" i="10"/>
  <c r="AE94" i="10" s="1"/>
  <c r="AD78" i="10"/>
  <c r="AD94" i="10" s="1"/>
  <c r="AC78" i="10"/>
  <c r="AB5" i="10" s="1"/>
  <c r="AB78" i="10"/>
  <c r="AB94" i="10" s="1"/>
  <c r="AA78" i="10"/>
  <c r="AA94" i="10" s="1"/>
  <c r="Z78" i="10"/>
  <c r="Z94" i="10" s="1"/>
  <c r="Y78" i="10"/>
  <c r="Y94" i="10" s="1"/>
  <c r="W78" i="10"/>
  <c r="W94" i="10" s="1"/>
  <c r="V78" i="10"/>
  <c r="V94" i="10" s="1"/>
  <c r="U78" i="10"/>
  <c r="U94" i="10" s="1"/>
  <c r="T78" i="10"/>
  <c r="S5" i="10" s="1"/>
  <c r="S78" i="10"/>
  <c r="S94" i="10" s="1"/>
  <c r="R78" i="10"/>
  <c r="R94" i="10" s="1"/>
  <c r="Q78" i="10"/>
  <c r="Q94" i="10" s="1"/>
  <c r="P78" i="10"/>
  <c r="P94" i="10" s="1"/>
  <c r="O78" i="10"/>
  <c r="O94" i="10" s="1"/>
  <c r="N78" i="10"/>
  <c r="N94" i="10" s="1"/>
  <c r="M78" i="10"/>
  <c r="M94" i="10" s="1"/>
  <c r="L78" i="10"/>
  <c r="K5" i="10" s="1"/>
  <c r="K78" i="10"/>
  <c r="K94" i="10" s="1"/>
  <c r="J78" i="10"/>
  <c r="J94" i="10" s="1"/>
  <c r="I78" i="10"/>
  <c r="I94" i="10" s="1"/>
  <c r="F78" i="10"/>
  <c r="F94" i="10" s="1"/>
  <c r="E78" i="10"/>
  <c r="E94" i="10" s="1"/>
  <c r="D78" i="10"/>
  <c r="C5" i="10" s="1"/>
  <c r="C78" i="10"/>
  <c r="C94" i="10" s="1"/>
  <c r="B78" i="10"/>
  <c r="B94" i="10" s="1"/>
  <c r="AI77" i="10"/>
  <c r="AH77" i="10"/>
  <c r="AN76" i="10"/>
  <c r="AI76" i="10"/>
  <c r="AH76" i="10"/>
  <c r="AN75" i="10"/>
  <c r="AI75" i="10"/>
  <c r="AH75" i="10"/>
  <c r="AI74" i="10"/>
  <c r="AH74" i="10"/>
  <c r="AI73" i="10"/>
  <c r="AH73" i="10"/>
  <c r="AI72" i="10"/>
  <c r="AH72" i="10"/>
  <c r="AI71" i="10"/>
  <c r="AH71" i="10"/>
  <c r="AI70" i="10"/>
  <c r="AH70" i="10"/>
  <c r="AI69" i="10"/>
  <c r="AH69" i="10"/>
  <c r="AI68" i="10"/>
  <c r="AH68" i="10"/>
  <c r="AI67" i="10"/>
  <c r="AH67" i="10"/>
  <c r="AG66" i="10"/>
  <c r="AG4" i="10" s="1"/>
  <c r="AF66" i="10"/>
  <c r="AE66" i="10"/>
  <c r="AD66" i="10"/>
  <c r="AC66" i="10"/>
  <c r="AB66" i="10"/>
  <c r="AA66" i="10"/>
  <c r="Z66" i="10"/>
  <c r="Y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AI65" i="10"/>
  <c r="AH65" i="10"/>
  <c r="AI64" i="10"/>
  <c r="AH64" i="10"/>
  <c r="AI63" i="10"/>
  <c r="AH63" i="10"/>
  <c r="AF62" i="10"/>
  <c r="AE62" i="10"/>
  <c r="AD62" i="10"/>
  <c r="AC62" i="10"/>
  <c r="AB62" i="10"/>
  <c r="AA62" i="10"/>
  <c r="Z62" i="10"/>
  <c r="Y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F62" i="10"/>
  <c r="E62" i="10"/>
  <c r="D62" i="10"/>
  <c r="C62" i="10"/>
  <c r="B62" i="10"/>
  <c r="AI61" i="10"/>
  <c r="AH61" i="10"/>
  <c r="AG61" i="10"/>
  <c r="AG62" i="10" s="1"/>
  <c r="AG3" i="10" s="1"/>
  <c r="AI60" i="10"/>
  <c r="AH60" i="10"/>
  <c r="AI59" i="10"/>
  <c r="AH59" i="10"/>
  <c r="AI58" i="10"/>
  <c r="AH58" i="10"/>
  <c r="AI57" i="10"/>
  <c r="AH57" i="10"/>
  <c r="AI56" i="10"/>
  <c r="AH56" i="10"/>
  <c r="AI55" i="10"/>
  <c r="AH55" i="10"/>
  <c r="AI54" i="10"/>
  <c r="AH54" i="10"/>
  <c r="AI53" i="10"/>
  <c r="AH53" i="10"/>
  <c r="AI52" i="10"/>
  <c r="AH52" i="10"/>
  <c r="AI51" i="10"/>
  <c r="AH51" i="10"/>
  <c r="AI50" i="10"/>
  <c r="AH50" i="10"/>
  <c r="AI49" i="10"/>
  <c r="AH49" i="10"/>
  <c r="AG48" i="10"/>
  <c r="AF48" i="10"/>
  <c r="AF83" i="10" s="1"/>
  <c r="AF85" i="10" s="1"/>
  <c r="AE48" i="10"/>
  <c r="AD48" i="10"/>
  <c r="AC48" i="10"/>
  <c r="AB48" i="10"/>
  <c r="AA48" i="10"/>
  <c r="Z48" i="10"/>
  <c r="Y48" i="10"/>
  <c r="W48" i="10"/>
  <c r="V48" i="10"/>
  <c r="U48" i="10"/>
  <c r="T48" i="10"/>
  <c r="S48" i="10"/>
  <c r="R48" i="10"/>
  <c r="Q48" i="10"/>
  <c r="P48" i="10"/>
  <c r="N48" i="10"/>
  <c r="M48" i="10"/>
  <c r="L48" i="10"/>
  <c r="K48" i="10"/>
  <c r="J48" i="10"/>
  <c r="I48" i="10"/>
  <c r="F48" i="10"/>
  <c r="E48" i="10"/>
  <c r="D48" i="10"/>
  <c r="C48" i="10"/>
  <c r="B48" i="10"/>
  <c r="AI47" i="10"/>
  <c r="AH47" i="10"/>
  <c r="AI46" i="10"/>
  <c r="AH46" i="10"/>
  <c r="AI45" i="10"/>
  <c r="AH45" i="10"/>
  <c r="AG44" i="10"/>
  <c r="AE44" i="10"/>
  <c r="AD44" i="10"/>
  <c r="AC44" i="10"/>
  <c r="AB44" i="10"/>
  <c r="AA44" i="10"/>
  <c r="Z44" i="10"/>
  <c r="Y44" i="10"/>
  <c r="W44" i="10"/>
  <c r="V44" i="10"/>
  <c r="U44" i="10"/>
  <c r="T44" i="10"/>
  <c r="S44" i="10"/>
  <c r="R44" i="10"/>
  <c r="Q44" i="10"/>
  <c r="P44" i="10"/>
  <c r="O83" i="10"/>
  <c r="O85" i="10" s="1"/>
  <c r="N44" i="10"/>
  <c r="M44" i="10"/>
  <c r="L44" i="10"/>
  <c r="K44" i="10"/>
  <c r="J44" i="10"/>
  <c r="I44" i="10"/>
  <c r="F44" i="10"/>
  <c r="E44" i="10"/>
  <c r="D44" i="10"/>
  <c r="C44" i="10"/>
  <c r="B44" i="10"/>
  <c r="AI43" i="10"/>
  <c r="AH43" i="10"/>
  <c r="AI42" i="10"/>
  <c r="AH42" i="10"/>
  <c r="AI41" i="10"/>
  <c r="AH41" i="10"/>
  <c r="AI40" i="10"/>
  <c r="AH40" i="10"/>
  <c r="AI39" i="10"/>
  <c r="AH39" i="10"/>
  <c r="AI38" i="10"/>
  <c r="AH38" i="10"/>
  <c r="AI37" i="10"/>
  <c r="AH37" i="10"/>
  <c r="AI36" i="10"/>
  <c r="AH36" i="10"/>
  <c r="AI35" i="10"/>
  <c r="AH35" i="10"/>
  <c r="AI34" i="10"/>
  <c r="AH34" i="10"/>
  <c r="AI33" i="10"/>
  <c r="AH33" i="10"/>
  <c r="AI32" i="10"/>
  <c r="AH32" i="10"/>
  <c r="AI31" i="10"/>
  <c r="AH31" i="10"/>
  <c r="AI30" i="10"/>
  <c r="AH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AI23" i="10"/>
  <c r="AH23" i="10"/>
  <c r="AI22" i="10"/>
  <c r="AH22" i="10"/>
  <c r="AI21" i="10"/>
  <c r="AH21" i="10"/>
  <c r="AI20" i="10"/>
  <c r="AH20" i="10"/>
  <c r="AI19" i="10"/>
  <c r="AH19" i="10"/>
  <c r="AI18" i="10"/>
  <c r="AH18" i="10"/>
  <c r="AI17" i="10"/>
  <c r="AH17" i="10"/>
  <c r="AI16" i="10"/>
  <c r="AH16" i="10"/>
  <c r="AI15" i="10"/>
  <c r="AH15" i="10"/>
  <c r="AI14" i="10"/>
  <c r="AH14" i="10"/>
  <c r="AI13" i="10"/>
  <c r="AH13" i="10"/>
  <c r="AI12" i="10"/>
  <c r="AH12" i="10"/>
  <c r="AI11" i="10"/>
  <c r="AH11" i="10"/>
  <c r="X7" i="10"/>
  <c r="AE5" i="10"/>
  <c r="AD5" i="10"/>
  <c r="AC5" i="10"/>
  <c r="W5" i="10"/>
  <c r="U5" i="10"/>
  <c r="T5" i="10"/>
  <c r="R5" i="10"/>
  <c r="N5" i="10"/>
  <c r="G5" i="10"/>
  <c r="E5" i="10"/>
  <c r="K4" i="10"/>
  <c r="E4" i="10"/>
  <c r="H4" i="10" s="1"/>
  <c r="B4" i="10"/>
  <c r="S239" i="10" s="1"/>
  <c r="AG2" i="10"/>
  <c r="AB107" i="9"/>
  <c r="AB104" i="9" s="1"/>
  <c r="X78" i="9"/>
  <c r="W5" i="9" s="1"/>
  <c r="X66" i="9"/>
  <c r="X62" i="9"/>
  <c r="X48" i="9"/>
  <c r="X83" i="9" s="1"/>
  <c r="X85" i="9" s="1"/>
  <c r="X44" i="9"/>
  <c r="S66" i="9"/>
  <c r="AF267" i="9"/>
  <c r="AE267" i="9"/>
  <c r="AD267" i="9"/>
  <c r="AC267" i="9"/>
  <c r="AB267" i="9"/>
  <c r="AA267" i="9"/>
  <c r="Z267" i="9"/>
  <c r="Y267" i="9"/>
  <c r="X267" i="9"/>
  <c r="W267" i="9"/>
  <c r="V267" i="9"/>
  <c r="U267" i="9"/>
  <c r="T267" i="9"/>
  <c r="S267" i="9"/>
  <c r="R267" i="9"/>
  <c r="Q267" i="9"/>
  <c r="P267" i="9"/>
  <c r="O267" i="9"/>
  <c r="N267" i="9"/>
  <c r="M267" i="9"/>
  <c r="L267" i="9"/>
  <c r="K267" i="9"/>
  <c r="J267" i="9"/>
  <c r="I267" i="9"/>
  <c r="H267" i="9"/>
  <c r="G267" i="9"/>
  <c r="F267" i="9"/>
  <c r="E267" i="9"/>
  <c r="D267" i="9"/>
  <c r="C267" i="9"/>
  <c r="B267" i="9"/>
  <c r="A267" i="9"/>
  <c r="AF266" i="9"/>
  <c r="AE266" i="9"/>
  <c r="AD266" i="9"/>
  <c r="AC266" i="9"/>
  <c r="AB266" i="9"/>
  <c r="AA266" i="9"/>
  <c r="Z266" i="9"/>
  <c r="Y266" i="9"/>
  <c r="X266" i="9"/>
  <c r="W266" i="9"/>
  <c r="V266" i="9"/>
  <c r="U266" i="9"/>
  <c r="T266" i="9"/>
  <c r="S266" i="9"/>
  <c r="R266" i="9"/>
  <c r="Q266" i="9"/>
  <c r="P266" i="9"/>
  <c r="O266" i="9"/>
  <c r="N266" i="9"/>
  <c r="M266" i="9"/>
  <c r="L266" i="9"/>
  <c r="K266" i="9"/>
  <c r="J266" i="9"/>
  <c r="I266" i="9"/>
  <c r="H266" i="9"/>
  <c r="G266" i="9"/>
  <c r="F266" i="9"/>
  <c r="E266" i="9"/>
  <c r="D266" i="9"/>
  <c r="C266" i="9"/>
  <c r="B266" i="9"/>
  <c r="A266" i="9"/>
  <c r="AF265" i="9"/>
  <c r="AE265" i="9"/>
  <c r="AD265" i="9"/>
  <c r="AC265" i="9"/>
  <c r="AB265" i="9"/>
  <c r="AA265" i="9"/>
  <c r="Z265" i="9"/>
  <c r="Y265" i="9"/>
  <c r="X265" i="9"/>
  <c r="W265" i="9"/>
  <c r="V265" i="9"/>
  <c r="U265" i="9"/>
  <c r="T265" i="9"/>
  <c r="S265" i="9"/>
  <c r="R265" i="9"/>
  <c r="Q265" i="9"/>
  <c r="P265" i="9"/>
  <c r="O265" i="9"/>
  <c r="N265" i="9"/>
  <c r="M265" i="9"/>
  <c r="L265" i="9"/>
  <c r="K265" i="9"/>
  <c r="J265" i="9"/>
  <c r="I265" i="9"/>
  <c r="H265" i="9"/>
  <c r="G265" i="9"/>
  <c r="F265" i="9"/>
  <c r="E265" i="9"/>
  <c r="D265" i="9"/>
  <c r="C265" i="9"/>
  <c r="B265" i="9"/>
  <c r="A265" i="9"/>
  <c r="AF264" i="9"/>
  <c r="AE264" i="9"/>
  <c r="AD264" i="9"/>
  <c r="AC264" i="9"/>
  <c r="AB264" i="9"/>
  <c r="AA264" i="9"/>
  <c r="Z264" i="9"/>
  <c r="Y264" i="9"/>
  <c r="X264" i="9"/>
  <c r="W264" i="9"/>
  <c r="V264" i="9"/>
  <c r="U264" i="9"/>
  <c r="T264" i="9"/>
  <c r="S264" i="9"/>
  <c r="R264" i="9"/>
  <c r="Q264" i="9"/>
  <c r="P264" i="9"/>
  <c r="O264" i="9"/>
  <c r="N264" i="9"/>
  <c r="M264" i="9"/>
  <c r="L264" i="9"/>
  <c r="K264" i="9"/>
  <c r="J264" i="9"/>
  <c r="I264" i="9"/>
  <c r="H264" i="9"/>
  <c r="G264" i="9"/>
  <c r="F264" i="9"/>
  <c r="E264" i="9"/>
  <c r="D264" i="9"/>
  <c r="C264" i="9"/>
  <c r="B264" i="9"/>
  <c r="A264" i="9"/>
  <c r="AE263" i="9"/>
  <c r="AD263" i="9"/>
  <c r="AC263" i="9"/>
  <c r="AB263" i="9"/>
  <c r="AA263" i="9"/>
  <c r="Z263" i="9"/>
  <c r="Y263" i="9"/>
  <c r="X263" i="9"/>
  <c r="W263" i="9"/>
  <c r="V263" i="9"/>
  <c r="U263" i="9"/>
  <c r="T263" i="9"/>
  <c r="S263" i="9"/>
  <c r="R263" i="9"/>
  <c r="Q263" i="9"/>
  <c r="P263" i="9"/>
  <c r="B263" i="9"/>
  <c r="S238" i="9"/>
  <c r="AG228" i="9"/>
  <c r="AF228" i="9"/>
  <c r="AE228" i="9"/>
  <c r="AD228" i="9"/>
  <c r="AC228" i="9"/>
  <c r="AB228" i="9"/>
  <c r="AA228" i="9"/>
  <c r="Z228" i="9"/>
  <c r="Y228" i="9"/>
  <c r="X228" i="9"/>
  <c r="W228" i="9"/>
  <c r="V228" i="9"/>
  <c r="U228" i="9"/>
  <c r="T228" i="9"/>
  <c r="S228" i="9"/>
  <c r="R228" i="9"/>
  <c r="Q228" i="9"/>
  <c r="C228" i="9"/>
  <c r="D227" i="9"/>
  <c r="C263" i="9" s="1"/>
  <c r="B227" i="9"/>
  <c r="AF263" i="9" s="1"/>
  <c r="D226" i="9"/>
  <c r="E226" i="9" s="1"/>
  <c r="F226" i="9" s="1"/>
  <c r="G226" i="9" s="1"/>
  <c r="H226" i="9" s="1"/>
  <c r="I226" i="9" s="1"/>
  <c r="J226" i="9" s="1"/>
  <c r="K226" i="9" s="1"/>
  <c r="L226" i="9" s="1"/>
  <c r="M226" i="9" s="1"/>
  <c r="N226" i="9" s="1"/>
  <c r="O226" i="9" s="1"/>
  <c r="P226" i="9" s="1"/>
  <c r="B226" i="9"/>
  <c r="E225" i="9"/>
  <c r="F225" i="9" s="1"/>
  <c r="G225" i="9" s="1"/>
  <c r="H225" i="9" s="1"/>
  <c r="I225" i="9" s="1"/>
  <c r="D225" i="9"/>
  <c r="B225" i="9"/>
  <c r="D224" i="9"/>
  <c r="E224" i="9" s="1"/>
  <c r="F224" i="9" s="1"/>
  <c r="G224" i="9" s="1"/>
  <c r="H224" i="9" s="1"/>
  <c r="B224" i="9"/>
  <c r="D223" i="9"/>
  <c r="B223" i="9"/>
  <c r="E222" i="9"/>
  <c r="F222" i="9" s="1"/>
  <c r="D222" i="9"/>
  <c r="B222" i="9"/>
  <c r="B228" i="9" s="1"/>
  <c r="AG220" i="9"/>
  <c r="AF220" i="9"/>
  <c r="AE220" i="9"/>
  <c r="AD220" i="9"/>
  <c r="AC220" i="9"/>
  <c r="AB220" i="9"/>
  <c r="AA220" i="9"/>
  <c r="Z220" i="9"/>
  <c r="Y220" i="9"/>
  <c r="X220" i="9"/>
  <c r="W220" i="9"/>
  <c r="V220" i="9"/>
  <c r="U220" i="9"/>
  <c r="T220" i="9"/>
  <c r="S220" i="9"/>
  <c r="R220" i="9"/>
  <c r="Q220" i="9"/>
  <c r="P220" i="9"/>
  <c r="O220" i="9"/>
  <c r="N220" i="9"/>
  <c r="M220" i="9"/>
  <c r="L220" i="9"/>
  <c r="K220" i="9"/>
  <c r="J220" i="9"/>
  <c r="I220" i="9"/>
  <c r="H220" i="9"/>
  <c r="G220" i="9"/>
  <c r="F220" i="9"/>
  <c r="E220" i="9"/>
  <c r="D220" i="9"/>
  <c r="C220" i="9"/>
  <c r="B220" i="9"/>
  <c r="AI113" i="9"/>
  <c r="AI112" i="9"/>
  <c r="AI111" i="9"/>
  <c r="AI110" i="9"/>
  <c r="AI109" i="9"/>
  <c r="AI108" i="9"/>
  <c r="AI106" i="9"/>
  <c r="AI105" i="9"/>
  <c r="AF104" i="9"/>
  <c r="AE104" i="9"/>
  <c r="AD104" i="9"/>
  <c r="AC104" i="9"/>
  <c r="AA104" i="9"/>
  <c r="Z104" i="9"/>
  <c r="Y104" i="9"/>
  <c r="W104" i="9"/>
  <c r="V104" i="9"/>
  <c r="U104" i="9"/>
  <c r="T104" i="9"/>
  <c r="S104" i="9"/>
  <c r="R104" i="9"/>
  <c r="Q104" i="9"/>
  <c r="C104" i="9"/>
  <c r="AI103" i="9"/>
  <c r="AI102" i="9"/>
  <c r="AI101" i="9"/>
  <c r="AI100" i="9"/>
  <c r="AI99" i="9"/>
  <c r="AI98" i="9"/>
  <c r="AI97" i="9"/>
  <c r="AI96" i="9"/>
  <c r="AI95" i="9"/>
  <c r="AI93" i="9"/>
  <c r="AI92" i="9"/>
  <c r="AI91" i="9"/>
  <c r="AI90" i="9"/>
  <c r="AI89" i="9"/>
  <c r="AI88" i="9"/>
  <c r="AI87" i="9"/>
  <c r="AI84" i="9"/>
  <c r="AI82" i="9"/>
  <c r="AG82" i="9"/>
  <c r="AI81" i="9"/>
  <c r="AI80" i="9"/>
  <c r="AI79" i="9"/>
  <c r="AN78" i="9"/>
  <c r="AG78" i="9"/>
  <c r="AF78" i="9"/>
  <c r="AF94" i="9" s="1"/>
  <c r="AE78" i="9"/>
  <c r="AE94" i="9" s="1"/>
  <c r="AD78" i="9"/>
  <c r="AD94" i="9" s="1"/>
  <c r="AC78" i="9"/>
  <c r="AB5" i="9" s="1"/>
  <c r="AB78" i="9"/>
  <c r="AB94" i="9" s="1"/>
  <c r="AA78" i="9"/>
  <c r="AA94" i="9" s="1"/>
  <c r="Z78" i="9"/>
  <c r="Z94" i="9" s="1"/>
  <c r="Y78" i="9"/>
  <c r="Y94" i="9" s="1"/>
  <c r="W78" i="9"/>
  <c r="W94" i="9" s="1"/>
  <c r="V78" i="9"/>
  <c r="V94" i="9" s="1"/>
  <c r="U78" i="9"/>
  <c r="U94" i="9" s="1"/>
  <c r="T78" i="9"/>
  <c r="T94" i="9" s="1"/>
  <c r="S78" i="9"/>
  <c r="S94" i="9" s="1"/>
  <c r="R78" i="9"/>
  <c r="R94" i="9" s="1"/>
  <c r="Q78" i="9"/>
  <c r="Q94" i="9" s="1"/>
  <c r="P78" i="9"/>
  <c r="P94" i="9" s="1"/>
  <c r="O78" i="9"/>
  <c r="O94" i="9" s="1"/>
  <c r="N78" i="9"/>
  <c r="N94" i="9" s="1"/>
  <c r="M78" i="9"/>
  <c r="M94" i="9" s="1"/>
  <c r="L78" i="9"/>
  <c r="K5" i="9" s="1"/>
  <c r="K78" i="9"/>
  <c r="K94" i="9" s="1"/>
  <c r="J78" i="9"/>
  <c r="J94" i="9" s="1"/>
  <c r="I78" i="9"/>
  <c r="I94" i="9" s="1"/>
  <c r="H78" i="9"/>
  <c r="H94" i="9" s="1"/>
  <c r="G78" i="9"/>
  <c r="G94" i="9" s="1"/>
  <c r="F78" i="9"/>
  <c r="F94" i="9" s="1"/>
  <c r="E78" i="9"/>
  <c r="E94" i="9" s="1"/>
  <c r="D78" i="9"/>
  <c r="D94" i="9" s="1"/>
  <c r="C78" i="9"/>
  <c r="C94" i="9" s="1"/>
  <c r="B78" i="9"/>
  <c r="B94" i="9" s="1"/>
  <c r="AI77" i="9"/>
  <c r="AN76" i="9"/>
  <c r="AI76" i="9"/>
  <c r="AN75" i="9"/>
  <c r="AN77" i="9" s="1"/>
  <c r="AI75" i="9"/>
  <c r="AI74" i="9"/>
  <c r="AI73" i="9"/>
  <c r="AI72" i="9"/>
  <c r="AI71" i="9"/>
  <c r="AI70" i="9"/>
  <c r="AI69" i="9"/>
  <c r="AI68" i="9"/>
  <c r="AI67" i="9"/>
  <c r="AG66" i="9"/>
  <c r="AF66" i="9"/>
  <c r="AE66" i="9"/>
  <c r="AD66" i="9"/>
  <c r="AC66" i="9"/>
  <c r="AB66" i="9"/>
  <c r="AA66" i="9"/>
  <c r="Z66" i="9"/>
  <c r="Y66" i="9"/>
  <c r="W66" i="9"/>
  <c r="V66" i="9"/>
  <c r="U66" i="9"/>
  <c r="T66" i="9"/>
  <c r="R66" i="9"/>
  <c r="Q66" i="9"/>
  <c r="P66" i="9"/>
  <c r="O66" i="9"/>
  <c r="N66" i="9"/>
  <c r="M66" i="9"/>
  <c r="L66" i="9"/>
  <c r="AH66" i="9" s="1"/>
  <c r="AI65" i="9"/>
  <c r="AI64" i="9"/>
  <c r="AI63" i="9"/>
  <c r="AF62" i="9"/>
  <c r="AE62" i="9"/>
  <c r="AD62" i="9"/>
  <c r="AC62" i="9"/>
  <c r="AB62" i="9"/>
  <c r="AA62" i="9"/>
  <c r="Z62" i="9"/>
  <c r="Y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AH62" i="9" s="1"/>
  <c r="AI61" i="9"/>
  <c r="AG61" i="9"/>
  <c r="AG62" i="9" s="1"/>
  <c r="AG3" i="9" s="1"/>
  <c r="AI60" i="9"/>
  <c r="AI59" i="9"/>
  <c r="AI58" i="9"/>
  <c r="AI57" i="9"/>
  <c r="AI56" i="9"/>
  <c r="AI55" i="9"/>
  <c r="AI54" i="9"/>
  <c r="AI53" i="9"/>
  <c r="AI52" i="9"/>
  <c r="AI51" i="9"/>
  <c r="AI50" i="9"/>
  <c r="AI49" i="9"/>
  <c r="AG48" i="9"/>
  <c r="AF48" i="9"/>
  <c r="AE48" i="9"/>
  <c r="AD48" i="9"/>
  <c r="AC48" i="9"/>
  <c r="AB48" i="9"/>
  <c r="AA48" i="9"/>
  <c r="Z48" i="9"/>
  <c r="Y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AH48" i="9" s="1"/>
  <c r="AI47" i="9"/>
  <c r="AI46" i="9"/>
  <c r="AI45" i="9"/>
  <c r="AG44" i="9"/>
  <c r="AF44" i="9"/>
  <c r="AE44" i="9"/>
  <c r="AD44" i="9"/>
  <c r="AC44" i="9"/>
  <c r="AB44" i="9"/>
  <c r="AA44" i="9"/>
  <c r="Z44" i="9"/>
  <c r="Y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AH44" i="9" s="1"/>
  <c r="D44" i="9"/>
  <c r="C44" i="9"/>
  <c r="B44" i="9"/>
  <c r="AI43" i="9"/>
  <c r="AI42" i="9"/>
  <c r="AI41" i="9"/>
  <c r="AI40" i="9"/>
  <c r="AI39" i="9"/>
  <c r="AI38" i="9"/>
  <c r="AI37" i="9"/>
  <c r="AI36" i="9"/>
  <c r="AI35" i="9"/>
  <c r="AI34" i="9"/>
  <c r="AI33" i="9"/>
  <c r="AI32" i="9"/>
  <c r="AI31" i="9"/>
  <c r="AI30" i="9"/>
  <c r="AI29" i="9"/>
  <c r="AI28" i="9"/>
  <c r="AI27" i="9"/>
  <c r="AI26" i="9"/>
  <c r="AI25" i="9"/>
  <c r="AI24" i="9"/>
  <c r="AI23" i="9"/>
  <c r="AI22" i="9"/>
  <c r="AI21" i="9"/>
  <c r="AI20" i="9"/>
  <c r="AI19" i="9"/>
  <c r="AI18" i="9"/>
  <c r="AI17" i="9"/>
  <c r="AI16" i="9"/>
  <c r="AI15" i="9"/>
  <c r="AI14" i="9"/>
  <c r="AI13" i="9"/>
  <c r="AI12" i="9"/>
  <c r="AI11" i="9"/>
  <c r="M5" i="9"/>
  <c r="AG4" i="9"/>
  <c r="K4" i="9"/>
  <c r="E4" i="9"/>
  <c r="H4" i="9" s="1"/>
  <c r="B4" i="9"/>
  <c r="S239" i="9" s="1"/>
  <c r="AC107" i="7"/>
  <c r="AB107" i="7"/>
  <c r="AA78" i="7"/>
  <c r="Z78" i="7"/>
  <c r="AA66" i="7"/>
  <c r="Z66" i="7"/>
  <c r="AA62" i="7"/>
  <c r="Z62" i="7"/>
  <c r="Z48" i="7"/>
  <c r="Z44" i="7"/>
  <c r="AA107" i="7"/>
  <c r="Z85" i="7"/>
  <c r="Z7" i="7" s="1"/>
  <c r="Y85" i="7"/>
  <c r="Y7" i="7"/>
  <c r="X7" i="7"/>
  <c r="Y78" i="7"/>
  <c r="Y66" i="7"/>
  <c r="Y62" i="7"/>
  <c r="Y48" i="7"/>
  <c r="Y44" i="7"/>
  <c r="W48" i="7"/>
  <c r="Z107" i="7"/>
  <c r="Y107" i="7"/>
  <c r="W107" i="7"/>
  <c r="W44" i="7"/>
  <c r="V107" i="7"/>
  <c r="V48" i="7"/>
  <c r="X86" i="9" l="1"/>
  <c r="AP242" i="9"/>
  <c r="X7" i="9"/>
  <c r="AI107" i="9"/>
  <c r="AH107" i="9"/>
  <c r="E7" i="11"/>
  <c r="U86" i="11"/>
  <c r="AA86" i="11"/>
  <c r="V242" i="13"/>
  <c r="AU242" i="13"/>
  <c r="Y7" i="14"/>
  <c r="O7" i="14"/>
  <c r="S7" i="14"/>
  <c r="F227" i="14"/>
  <c r="D263" i="14"/>
  <c r="Z5" i="9"/>
  <c r="AF83" i="9"/>
  <c r="AF85" i="9" s="1"/>
  <c r="G83" i="10"/>
  <c r="G85" i="10" s="1"/>
  <c r="G86" i="10" s="1"/>
  <c r="AX242" i="11"/>
  <c r="O7" i="11"/>
  <c r="AL242" i="11"/>
  <c r="AR242" i="13"/>
  <c r="D86" i="13"/>
  <c r="F86" i="13"/>
  <c r="L7" i="13"/>
  <c r="Y86" i="14"/>
  <c r="AL242" i="14"/>
  <c r="AG83" i="9"/>
  <c r="AG85" i="9"/>
  <c r="AF7" i="11"/>
  <c r="O86" i="11"/>
  <c r="T7" i="11"/>
  <c r="Z7" i="13"/>
  <c r="F7" i="13"/>
  <c r="T7" i="14"/>
  <c r="N263" i="17"/>
  <c r="P227" i="17"/>
  <c r="O263" i="17" s="1"/>
  <c r="AG2" i="9"/>
  <c r="AG6" i="9" s="1"/>
  <c r="D228" i="9"/>
  <c r="C83" i="10"/>
  <c r="C85" i="10" s="1"/>
  <c r="AD83" i="10"/>
  <c r="AD85" i="10" s="1"/>
  <c r="AC86" i="11"/>
  <c r="AH242" i="13"/>
  <c r="V7" i="13"/>
  <c r="AN77" i="10"/>
  <c r="AU242" i="11"/>
  <c r="B104" i="9"/>
  <c r="F5" i="10"/>
  <c r="AH78" i="9"/>
  <c r="AB242" i="11"/>
  <c r="D7" i="11"/>
  <c r="AE242" i="13"/>
  <c r="AE242" i="14"/>
  <c r="AI242" i="14"/>
  <c r="J86" i="11"/>
  <c r="J7" i="13"/>
  <c r="M7" i="13"/>
  <c r="F86" i="14"/>
  <c r="P222" i="17"/>
  <c r="O104" i="17"/>
  <c r="N263" i="16"/>
  <c r="P227" i="16"/>
  <c r="O263" i="16" s="1"/>
  <c r="P222" i="16"/>
  <c r="O104" i="16"/>
  <c r="N263" i="15"/>
  <c r="P227" i="15"/>
  <c r="O263" i="15" s="1"/>
  <c r="O104" i="15"/>
  <c r="P223" i="15"/>
  <c r="AB242" i="14"/>
  <c r="J86" i="14"/>
  <c r="AA242" i="14"/>
  <c r="I7" i="14"/>
  <c r="H7" i="14"/>
  <c r="Z242" i="14"/>
  <c r="F7" i="14"/>
  <c r="K7" i="14"/>
  <c r="G86" i="14"/>
  <c r="B237" i="14"/>
  <c r="E86" i="14"/>
  <c r="Y242" i="14"/>
  <c r="AD242" i="14"/>
  <c r="L7" i="14"/>
  <c r="AC242" i="14"/>
  <c r="C237" i="14"/>
  <c r="W242" i="14"/>
  <c r="C7" i="14"/>
  <c r="V242" i="14"/>
  <c r="D86" i="14"/>
  <c r="AH83" i="14"/>
  <c r="AI83" i="14"/>
  <c r="B85" i="14"/>
  <c r="T242" i="14" s="1"/>
  <c r="B86" i="14"/>
  <c r="AI85" i="14"/>
  <c r="AH85" i="14"/>
  <c r="H222" i="14"/>
  <c r="M7" i="11"/>
  <c r="P7" i="13"/>
  <c r="Q7" i="13"/>
  <c r="AI94" i="13"/>
  <c r="AB242" i="13"/>
  <c r="B237" i="13"/>
  <c r="Z242" i="13"/>
  <c r="H7" i="13"/>
  <c r="H86" i="13"/>
  <c r="C237" i="13"/>
  <c r="AH94" i="13"/>
  <c r="Y242" i="13"/>
  <c r="G7" i="13"/>
  <c r="W242" i="13"/>
  <c r="AI83" i="13"/>
  <c r="C7" i="13"/>
  <c r="C86" i="13"/>
  <c r="AH83" i="13"/>
  <c r="D263" i="13"/>
  <c r="F227" i="13"/>
  <c r="E104" i="13"/>
  <c r="B86" i="13"/>
  <c r="AI85" i="13"/>
  <c r="B7" i="13"/>
  <c r="AH85" i="13"/>
  <c r="T242" i="13"/>
  <c r="F223" i="13"/>
  <c r="E228" i="13"/>
  <c r="H222" i="13"/>
  <c r="AQ242" i="11"/>
  <c r="Y7" i="11"/>
  <c r="N7" i="11"/>
  <c r="N86" i="11"/>
  <c r="AC242" i="11"/>
  <c r="K7" i="11"/>
  <c r="AD242" i="11"/>
  <c r="L7" i="11"/>
  <c r="I7" i="11"/>
  <c r="C237" i="11"/>
  <c r="H7" i="11"/>
  <c r="H86" i="11"/>
  <c r="G86" i="11"/>
  <c r="B237" i="11"/>
  <c r="AI83" i="11"/>
  <c r="W242" i="11"/>
  <c r="AH83" i="11"/>
  <c r="C7" i="11"/>
  <c r="F222" i="11"/>
  <c r="E104" i="11"/>
  <c r="E228" i="11"/>
  <c r="AI85" i="11"/>
  <c r="B7" i="11"/>
  <c r="AH85" i="11"/>
  <c r="T242" i="11"/>
  <c r="E263" i="11"/>
  <c r="G227" i="11"/>
  <c r="AE83" i="10"/>
  <c r="AE85" i="10" s="1"/>
  <c r="AE86" i="10" s="1"/>
  <c r="AA5" i="10"/>
  <c r="AB83" i="10"/>
  <c r="AB85" i="10" s="1"/>
  <c r="AT242" i="10" s="1"/>
  <c r="Z5" i="10"/>
  <c r="Y5" i="10"/>
  <c r="Z83" i="10"/>
  <c r="Z85" i="10" s="1"/>
  <c r="X5" i="10"/>
  <c r="V5" i="10"/>
  <c r="W83" i="10"/>
  <c r="W85" i="10" s="1"/>
  <c r="W7" i="10" s="1"/>
  <c r="V83" i="10"/>
  <c r="V85" i="10" s="1"/>
  <c r="AN242" i="10" s="1"/>
  <c r="U83" i="10"/>
  <c r="U85" i="10" s="1"/>
  <c r="AM242" i="10" s="1"/>
  <c r="S83" i="10"/>
  <c r="S85" i="10" s="1"/>
  <c r="AK242" i="10" s="1"/>
  <c r="Q5" i="10"/>
  <c r="P5" i="10"/>
  <c r="Q83" i="10"/>
  <c r="Q85" i="10" s="1"/>
  <c r="Q7" i="10" s="1"/>
  <c r="O5" i="10"/>
  <c r="M5" i="10"/>
  <c r="N83" i="10"/>
  <c r="N85" i="10" s="1"/>
  <c r="N7" i="10" s="1"/>
  <c r="L5" i="10"/>
  <c r="M83" i="10"/>
  <c r="M85" i="10" s="1"/>
  <c r="M86" i="10" s="1"/>
  <c r="J5" i="10"/>
  <c r="K83" i="10"/>
  <c r="K85" i="10" s="1"/>
  <c r="K7" i="10" s="1"/>
  <c r="I5" i="10"/>
  <c r="I83" i="10"/>
  <c r="I85" i="10" s="1"/>
  <c r="I7" i="10" s="1"/>
  <c r="H83" i="10"/>
  <c r="H85" i="10" s="1"/>
  <c r="H86" i="10" s="1"/>
  <c r="D5" i="10"/>
  <c r="AI62" i="10"/>
  <c r="E83" i="10"/>
  <c r="E85" i="10" s="1"/>
  <c r="E7" i="10" s="1"/>
  <c r="F83" i="10"/>
  <c r="F85" i="10" s="1"/>
  <c r="X242" i="10" s="1"/>
  <c r="H5" i="10"/>
  <c r="J83" i="10"/>
  <c r="J85" i="10" s="1"/>
  <c r="J7" i="10" s="1"/>
  <c r="R83" i="10"/>
  <c r="R85" i="10" s="1"/>
  <c r="AJ242" i="10" s="1"/>
  <c r="AA83" i="10"/>
  <c r="AA85" i="10" s="1"/>
  <c r="AA7" i="10" s="1"/>
  <c r="E222" i="10"/>
  <c r="E228" i="10" s="1"/>
  <c r="D228" i="10"/>
  <c r="L83" i="10"/>
  <c r="L85" i="10" s="1"/>
  <c r="AD242" i="10" s="1"/>
  <c r="T83" i="10"/>
  <c r="T85" i="10" s="1"/>
  <c r="AL242" i="10" s="1"/>
  <c r="AC83" i="10"/>
  <c r="AC85" i="10" s="1"/>
  <c r="AU242" i="10" s="1"/>
  <c r="AI66" i="10"/>
  <c r="AG6" i="10"/>
  <c r="P83" i="10"/>
  <c r="P85" i="10" s="1"/>
  <c r="P86" i="10" s="1"/>
  <c r="Y83" i="10"/>
  <c r="Y85" i="10" s="1"/>
  <c r="Y7" i="10" s="1"/>
  <c r="B228" i="10"/>
  <c r="D263" i="10"/>
  <c r="D83" i="10"/>
  <c r="D85" i="10" s="1"/>
  <c r="V242" i="10" s="1"/>
  <c r="AI48" i="10"/>
  <c r="B5" i="10"/>
  <c r="AI44" i="10"/>
  <c r="AF5" i="10"/>
  <c r="C7" i="10"/>
  <c r="U242" i="10"/>
  <c r="C86" i="10"/>
  <c r="S7" i="10"/>
  <c r="S86" i="10"/>
  <c r="AB86" i="10"/>
  <c r="AB7" i="10"/>
  <c r="I86" i="10"/>
  <c r="J225" i="10"/>
  <c r="K225" i="10" s="1"/>
  <c r="L225" i="10" s="1"/>
  <c r="M225" i="10" s="1"/>
  <c r="N225" i="10" s="1"/>
  <c r="O225" i="10" s="1"/>
  <c r="P225" i="10" s="1"/>
  <c r="Q86" i="10"/>
  <c r="AI242" i="10"/>
  <c r="U86" i="10"/>
  <c r="U7" i="10"/>
  <c r="AV242" i="10"/>
  <c r="AD86" i="10"/>
  <c r="AD7" i="10"/>
  <c r="Z86" i="10"/>
  <c r="Z7" i="10"/>
  <c r="AR242" i="10"/>
  <c r="N86" i="10"/>
  <c r="AW242" i="10"/>
  <c r="AE7" i="10"/>
  <c r="Y242" i="10"/>
  <c r="G7" i="10"/>
  <c r="AG242" i="10"/>
  <c r="O86" i="10"/>
  <c r="O7" i="10"/>
  <c r="AO242" i="10"/>
  <c r="W86" i="10"/>
  <c r="AF86" i="10"/>
  <c r="AF7" i="10"/>
  <c r="AX242" i="10"/>
  <c r="AG83" i="10"/>
  <c r="AG85" i="10"/>
  <c r="E263" i="10"/>
  <c r="G227" i="10"/>
  <c r="AH78" i="10"/>
  <c r="D94" i="10"/>
  <c r="L94" i="10"/>
  <c r="T94" i="10"/>
  <c r="AC94" i="10"/>
  <c r="B104" i="10"/>
  <c r="D239" i="10"/>
  <c r="AH62" i="10"/>
  <c r="AI78" i="10"/>
  <c r="B83" i="10"/>
  <c r="AH48" i="10"/>
  <c r="AH44" i="10"/>
  <c r="AH66" i="10"/>
  <c r="AE5" i="9"/>
  <c r="AD5" i="9"/>
  <c r="AE83" i="9"/>
  <c r="AE85" i="9" s="1"/>
  <c r="AW242" i="9" s="1"/>
  <c r="AC5" i="9"/>
  <c r="AD83" i="9"/>
  <c r="AD85" i="9" s="1"/>
  <c r="AC94" i="9"/>
  <c r="AC83" i="9"/>
  <c r="AC85" i="9" s="1"/>
  <c r="AA5" i="9"/>
  <c r="AB83" i="9"/>
  <c r="AB85" i="9" s="1"/>
  <c r="AB7" i="9" s="1"/>
  <c r="AA83" i="9"/>
  <c r="AA85" i="9" s="1"/>
  <c r="AA7" i="9" s="1"/>
  <c r="Z83" i="9"/>
  <c r="Z85" i="9" s="1"/>
  <c r="Z86" i="9" s="1"/>
  <c r="X5" i="9"/>
  <c r="Y83" i="9"/>
  <c r="Y85" i="9" s="1"/>
  <c r="Y86" i="9" s="1"/>
  <c r="V5" i="9"/>
  <c r="W83" i="9"/>
  <c r="W85" i="9" s="1"/>
  <c r="U5" i="9"/>
  <c r="V83" i="9"/>
  <c r="V85" i="9" s="1"/>
  <c r="V86" i="9" s="1"/>
  <c r="T5" i="9"/>
  <c r="U83" i="9"/>
  <c r="U85" i="9" s="1"/>
  <c r="AM242" i="9" s="1"/>
  <c r="S5" i="9"/>
  <c r="T83" i="9"/>
  <c r="T85" i="9" s="1"/>
  <c r="R5" i="9"/>
  <c r="S83" i="9"/>
  <c r="S85" i="9" s="1"/>
  <c r="Q5" i="9"/>
  <c r="R83" i="9"/>
  <c r="R85" i="9" s="1"/>
  <c r="Q83" i="9"/>
  <c r="Q85" i="9" s="1"/>
  <c r="Q86" i="9" s="1"/>
  <c r="O5" i="9"/>
  <c r="P83" i="9"/>
  <c r="P85" i="9" s="1"/>
  <c r="P86" i="9" s="1"/>
  <c r="N5" i="9"/>
  <c r="AI66" i="9"/>
  <c r="O83" i="9"/>
  <c r="O85" i="9" s="1"/>
  <c r="N83" i="9"/>
  <c r="N85" i="9" s="1"/>
  <c r="N86" i="9" s="1"/>
  <c r="L5" i="9"/>
  <c r="M83" i="9"/>
  <c r="M85" i="9" s="1"/>
  <c r="AE242" i="9" s="1"/>
  <c r="L94" i="9"/>
  <c r="AH94" i="9" s="1"/>
  <c r="L83" i="9"/>
  <c r="L85" i="9" s="1"/>
  <c r="L86" i="9" s="1"/>
  <c r="J5" i="9"/>
  <c r="K83" i="9"/>
  <c r="K85" i="9" s="1"/>
  <c r="K7" i="9" s="1"/>
  <c r="I5" i="9"/>
  <c r="J83" i="9"/>
  <c r="J85" i="9" s="1"/>
  <c r="I83" i="9"/>
  <c r="I85" i="9" s="1"/>
  <c r="G5" i="9"/>
  <c r="F5" i="9"/>
  <c r="H83" i="9"/>
  <c r="H85" i="9" s="1"/>
  <c r="G83" i="9"/>
  <c r="G85" i="9" s="1"/>
  <c r="G86" i="9" s="1"/>
  <c r="E5" i="9"/>
  <c r="F83" i="9"/>
  <c r="F85" i="9" s="1"/>
  <c r="F86" i="9" s="1"/>
  <c r="D5" i="9"/>
  <c r="E83" i="9"/>
  <c r="E85" i="9" s="1"/>
  <c r="C5" i="9"/>
  <c r="D83" i="9"/>
  <c r="D85" i="9" s="1"/>
  <c r="V242" i="9" s="1"/>
  <c r="B5" i="9"/>
  <c r="AI62" i="9"/>
  <c r="C83" i="9"/>
  <c r="C85" i="9" s="1"/>
  <c r="U242" i="9" s="1"/>
  <c r="AI48" i="9"/>
  <c r="AI44" i="9"/>
  <c r="AF5" i="9"/>
  <c r="D239" i="9"/>
  <c r="J7" i="9"/>
  <c r="R7" i="9"/>
  <c r="R86" i="9"/>
  <c r="AJ242" i="9"/>
  <c r="K86" i="9"/>
  <c r="S7" i="9"/>
  <c r="AK242" i="9"/>
  <c r="S86" i="9"/>
  <c r="AT242" i="9"/>
  <c r="AB86" i="9"/>
  <c r="AL242" i="9"/>
  <c r="T86" i="9"/>
  <c r="T7" i="9"/>
  <c r="AU242" i="9"/>
  <c r="AC86" i="9"/>
  <c r="AC7" i="9"/>
  <c r="G222" i="9"/>
  <c r="Q7" i="9"/>
  <c r="AI242" i="9"/>
  <c r="W242" i="9"/>
  <c r="E86" i="9"/>
  <c r="E7" i="9"/>
  <c r="X242" i="9"/>
  <c r="J225" i="9"/>
  <c r="K225" i="9" s="1"/>
  <c r="L225" i="9" s="1"/>
  <c r="M225" i="9" s="1"/>
  <c r="N225" i="9" s="1"/>
  <c r="O225" i="9" s="1"/>
  <c r="P225" i="9" s="1"/>
  <c r="AV242" i="9"/>
  <c r="AD86" i="9"/>
  <c r="AD7" i="9"/>
  <c r="AF242" i="9"/>
  <c r="N7" i="9"/>
  <c r="AO242" i="9"/>
  <c r="W86" i="9"/>
  <c r="W7" i="9"/>
  <c r="AX242" i="9"/>
  <c r="AF86" i="9"/>
  <c r="AF7" i="9"/>
  <c r="AN242" i="9"/>
  <c r="V7" i="9"/>
  <c r="I86" i="9"/>
  <c r="I7" i="9"/>
  <c r="AA242" i="9"/>
  <c r="AG242" i="9"/>
  <c r="O86" i="9"/>
  <c r="O7" i="9"/>
  <c r="P7" i="9"/>
  <c r="Y7" i="9"/>
  <c r="AQ242" i="9"/>
  <c r="AI78" i="9"/>
  <c r="E223" i="9"/>
  <c r="E227" i="9"/>
  <c r="H5" i="9"/>
  <c r="P5" i="9"/>
  <c r="D104" i="9"/>
  <c r="Y5" i="9"/>
  <c r="B83" i="9"/>
  <c r="AF242" i="10" l="1"/>
  <c r="E263" i="14"/>
  <c r="F104" i="14"/>
  <c r="G227" i="14"/>
  <c r="F228" i="14"/>
  <c r="AH242" i="9"/>
  <c r="U7" i="9"/>
  <c r="AS242" i="9"/>
  <c r="A7" i="13"/>
  <c r="L7" i="9"/>
  <c r="AA86" i="9"/>
  <c r="U86" i="9"/>
  <c r="AH83" i="9"/>
  <c r="AE7" i="9"/>
  <c r="Y242" i="9"/>
  <c r="AD242" i="9"/>
  <c r="AI94" i="9"/>
  <c r="V7" i="10"/>
  <c r="AE86" i="9"/>
  <c r="AR242" i="9"/>
  <c r="Y86" i="10"/>
  <c r="V86" i="10"/>
  <c r="Z7" i="9"/>
  <c r="B7" i="14"/>
  <c r="A7" i="14" s="1"/>
  <c r="D7" i="9"/>
  <c r="AH104" i="17"/>
  <c r="AI104" i="17"/>
  <c r="AI104" i="16"/>
  <c r="AH104" i="16"/>
  <c r="AH104" i="15"/>
  <c r="AI104" i="15"/>
  <c r="K6" i="14"/>
  <c r="AI86" i="14"/>
  <c r="AH86" i="14"/>
  <c r="I222" i="14"/>
  <c r="K6" i="13"/>
  <c r="AI86" i="13"/>
  <c r="AH86" i="13"/>
  <c r="I222" i="13"/>
  <c r="E263" i="13"/>
  <c r="G227" i="13"/>
  <c r="F104" i="13"/>
  <c r="G223" i="13"/>
  <c r="F228" i="13"/>
  <c r="K6" i="11"/>
  <c r="A7" i="11"/>
  <c r="AI86" i="11"/>
  <c r="AH86" i="11"/>
  <c r="F263" i="11"/>
  <c r="H227" i="11"/>
  <c r="G222" i="11"/>
  <c r="F104" i="11"/>
  <c r="F228" i="11"/>
  <c r="AC7" i="10"/>
  <c r="AC86" i="10"/>
  <c r="AA86" i="10"/>
  <c r="AS242" i="10"/>
  <c r="AQ242" i="10"/>
  <c r="R86" i="10"/>
  <c r="R7" i="10"/>
  <c r="AA242" i="10"/>
  <c r="D7" i="10"/>
  <c r="E86" i="10"/>
  <c r="P7" i="10"/>
  <c r="AH242" i="10"/>
  <c r="M7" i="10"/>
  <c r="AE242" i="10"/>
  <c r="K86" i="10"/>
  <c r="AC242" i="10"/>
  <c r="J86" i="10"/>
  <c r="AB242" i="10"/>
  <c r="C237" i="10"/>
  <c r="Z242" i="10"/>
  <c r="H7" i="10"/>
  <c r="F7" i="10"/>
  <c r="F86" i="10"/>
  <c r="W242" i="10"/>
  <c r="AI94" i="10"/>
  <c r="D86" i="10"/>
  <c r="T7" i="10"/>
  <c r="B237" i="10"/>
  <c r="T86" i="10"/>
  <c r="F222" i="10"/>
  <c r="E104" i="10"/>
  <c r="L7" i="10"/>
  <c r="L86" i="10"/>
  <c r="B85" i="10"/>
  <c r="AI83" i="10"/>
  <c r="AH83" i="10"/>
  <c r="F263" i="10"/>
  <c r="H227" i="10"/>
  <c r="AH94" i="10"/>
  <c r="M7" i="9"/>
  <c r="M86" i="9"/>
  <c r="B237" i="9"/>
  <c r="AC242" i="9"/>
  <c r="C237" i="9"/>
  <c r="J86" i="9"/>
  <c r="AB242" i="9"/>
  <c r="H7" i="9"/>
  <c r="H86" i="9"/>
  <c r="Z242" i="9"/>
  <c r="G7" i="9"/>
  <c r="F7" i="9"/>
  <c r="D86" i="9"/>
  <c r="C86" i="9"/>
  <c r="C7" i="9"/>
  <c r="D263" i="9"/>
  <c r="E104" i="9"/>
  <c r="F227" i="9"/>
  <c r="H222" i="9"/>
  <c r="E228" i="9"/>
  <c r="F223" i="9"/>
  <c r="B85" i="9"/>
  <c r="AH85" i="9" s="1"/>
  <c r="AI83" i="9"/>
  <c r="G104" i="14" l="1"/>
  <c r="F263" i="14"/>
  <c r="G228" i="14"/>
  <c r="H227" i="14"/>
  <c r="J222" i="14"/>
  <c r="F263" i="13"/>
  <c r="H227" i="13"/>
  <c r="G104" i="13"/>
  <c r="J222" i="13"/>
  <c r="H223" i="13"/>
  <c r="G228" i="13"/>
  <c r="H222" i="11"/>
  <c r="G104" i="11"/>
  <c r="G228" i="11"/>
  <c r="G263" i="11"/>
  <c r="I227" i="11"/>
  <c r="K6" i="10"/>
  <c r="F104" i="10"/>
  <c r="F228" i="10"/>
  <c r="G222" i="10"/>
  <c r="G104" i="10" s="1"/>
  <c r="G263" i="10"/>
  <c r="I227" i="10"/>
  <c r="AI85" i="10"/>
  <c r="AH85" i="10"/>
  <c r="B7" i="10"/>
  <c r="A7" i="10" s="1"/>
  <c r="T242" i="10"/>
  <c r="B86" i="10"/>
  <c r="K6" i="9"/>
  <c r="G223" i="9"/>
  <c r="F228" i="9"/>
  <c r="I222" i="9"/>
  <c r="E263" i="9"/>
  <c r="G227" i="9"/>
  <c r="F104" i="9"/>
  <c r="AI85" i="9"/>
  <c r="B7" i="9"/>
  <c r="A7" i="9" s="1"/>
  <c r="T242" i="9"/>
  <c r="B86" i="9"/>
  <c r="AH86" i="9" s="1"/>
  <c r="H228" i="14" l="1"/>
  <c r="G263" i="14"/>
  <c r="H104" i="14"/>
  <c r="I227" i="14"/>
  <c r="K222" i="14"/>
  <c r="I223" i="13"/>
  <c r="H228" i="13"/>
  <c r="K222" i="13"/>
  <c r="G263" i="13"/>
  <c r="I227" i="13"/>
  <c r="H104" i="13"/>
  <c r="H263" i="11"/>
  <c r="J227" i="11"/>
  <c r="I222" i="11"/>
  <c r="H104" i="11"/>
  <c r="H228" i="11"/>
  <c r="G228" i="10"/>
  <c r="H222" i="10"/>
  <c r="H104" i="10" s="1"/>
  <c r="H263" i="10"/>
  <c r="J227" i="10"/>
  <c r="AI86" i="10"/>
  <c r="AH86" i="10"/>
  <c r="AI86" i="9"/>
  <c r="F263" i="9"/>
  <c r="H227" i="9"/>
  <c r="G104" i="9"/>
  <c r="J222" i="9"/>
  <c r="H223" i="9"/>
  <c r="G228" i="9"/>
  <c r="J227" i="14" l="1"/>
  <c r="I104" i="14"/>
  <c r="H263" i="14"/>
  <c r="L222" i="14"/>
  <c r="H263" i="13"/>
  <c r="J227" i="13"/>
  <c r="I104" i="13"/>
  <c r="L222" i="13"/>
  <c r="J223" i="13"/>
  <c r="I104" i="11"/>
  <c r="J222" i="11"/>
  <c r="K227" i="11"/>
  <c r="I263" i="11"/>
  <c r="I222" i="10"/>
  <c r="H228" i="10"/>
  <c r="K227" i="10"/>
  <c r="I263" i="10"/>
  <c r="K222" i="9"/>
  <c r="G263" i="9"/>
  <c r="I227" i="9"/>
  <c r="H104" i="9"/>
  <c r="I223" i="9"/>
  <c r="H228" i="9"/>
  <c r="J104" i="14" l="1"/>
  <c r="K227" i="14"/>
  <c r="I263" i="14"/>
  <c r="M222" i="14"/>
  <c r="K223" i="13"/>
  <c r="M222" i="13"/>
  <c r="K227" i="13"/>
  <c r="I263" i="13"/>
  <c r="J104" i="13"/>
  <c r="J263" i="11"/>
  <c r="L227" i="11"/>
  <c r="J104" i="11"/>
  <c r="K222" i="11"/>
  <c r="J222" i="10"/>
  <c r="I104" i="10"/>
  <c r="J263" i="10"/>
  <c r="L227" i="10"/>
  <c r="H263" i="9"/>
  <c r="J227" i="9"/>
  <c r="I104" i="9"/>
  <c r="L222" i="9"/>
  <c r="J223" i="9"/>
  <c r="K104" i="14" l="1"/>
  <c r="J263" i="14"/>
  <c r="L227" i="14"/>
  <c r="N222" i="14"/>
  <c r="L227" i="13"/>
  <c r="J263" i="13"/>
  <c r="K104" i="13"/>
  <c r="N222" i="13"/>
  <c r="L223" i="13"/>
  <c r="L222" i="11"/>
  <c r="K104" i="11"/>
  <c r="K263" i="11"/>
  <c r="M227" i="11"/>
  <c r="K222" i="10"/>
  <c r="J104" i="10"/>
  <c r="K263" i="10"/>
  <c r="M227" i="10"/>
  <c r="K223" i="9"/>
  <c r="M222" i="9"/>
  <c r="K227" i="9"/>
  <c r="I263" i="9"/>
  <c r="J104" i="9"/>
  <c r="K263" i="14" l="1"/>
  <c r="M227" i="14"/>
  <c r="L104" i="14"/>
  <c r="O222" i="14"/>
  <c r="M223" i="13"/>
  <c r="O222" i="13"/>
  <c r="K263" i="13"/>
  <c r="M227" i="13"/>
  <c r="L104" i="13"/>
  <c r="L263" i="11"/>
  <c r="N227" i="11"/>
  <c r="M222" i="11"/>
  <c r="L104" i="11"/>
  <c r="L222" i="10"/>
  <c r="K104" i="10"/>
  <c r="L263" i="10"/>
  <c r="N227" i="10"/>
  <c r="L227" i="9"/>
  <c r="J263" i="9"/>
  <c r="K104" i="9"/>
  <c r="N222" i="9"/>
  <c r="L223" i="9"/>
  <c r="M104" i="14" l="1"/>
  <c r="L263" i="14"/>
  <c r="N227" i="14"/>
  <c r="P222" i="14"/>
  <c r="L263" i="13"/>
  <c r="N227" i="13"/>
  <c r="M104" i="13"/>
  <c r="P222" i="13"/>
  <c r="N223" i="13"/>
  <c r="N222" i="11"/>
  <c r="M104" i="11"/>
  <c r="M263" i="11"/>
  <c r="O227" i="11"/>
  <c r="M222" i="10"/>
  <c r="L104" i="10"/>
  <c r="M263" i="10"/>
  <c r="O227" i="10"/>
  <c r="O222" i="9"/>
  <c r="M223" i="9"/>
  <c r="K263" i="9"/>
  <c r="M227" i="9"/>
  <c r="L104" i="9"/>
  <c r="M263" i="14" l="1"/>
  <c r="O227" i="14"/>
  <c r="N104" i="14"/>
  <c r="M263" i="13"/>
  <c r="O227" i="13"/>
  <c r="N104" i="13"/>
  <c r="O223" i="13"/>
  <c r="N263" i="11"/>
  <c r="P227" i="11"/>
  <c r="O263" i="11" s="1"/>
  <c r="O222" i="11"/>
  <c r="N104" i="11"/>
  <c r="N222" i="10"/>
  <c r="M104" i="10"/>
  <c r="N263" i="10"/>
  <c r="P227" i="10"/>
  <c r="O263" i="10" s="1"/>
  <c r="L263" i="9"/>
  <c r="N227" i="9"/>
  <c r="M104" i="9"/>
  <c r="N223" i="9"/>
  <c r="P222" i="9"/>
  <c r="O104" i="14" l="1"/>
  <c r="AH104" i="14" s="1"/>
  <c r="N263" i="14"/>
  <c r="P227" i="14"/>
  <c r="O263" i="14" s="1"/>
  <c r="P223" i="13"/>
  <c r="N263" i="13"/>
  <c r="P227" i="13"/>
  <c r="O263" i="13" s="1"/>
  <c r="O104" i="13"/>
  <c r="P222" i="11"/>
  <c r="O104" i="11"/>
  <c r="N104" i="10"/>
  <c r="O222" i="10"/>
  <c r="O223" i="9"/>
  <c r="M263" i="9"/>
  <c r="O227" i="9"/>
  <c r="N104" i="9"/>
  <c r="AI104" i="14" l="1"/>
  <c r="AI104" i="13"/>
  <c r="AH104" i="13"/>
  <c r="AI104" i="11"/>
  <c r="AH104" i="11"/>
  <c r="P222" i="10"/>
  <c r="O104" i="10"/>
  <c r="N263" i="9"/>
  <c r="P227" i="9"/>
  <c r="O263" i="9" s="1"/>
  <c r="O104" i="9"/>
  <c r="AH104" i="9" s="1"/>
  <c r="P223" i="9"/>
  <c r="AI104" i="10" l="1"/>
  <c r="AH104" i="10"/>
  <c r="AI104" i="9"/>
  <c r="AF267" i="7" l="1"/>
  <c r="AE267" i="7"/>
  <c r="AD267" i="7"/>
  <c r="AC267" i="7"/>
  <c r="AB267" i="7"/>
  <c r="AA267" i="7"/>
  <c r="Z267" i="7"/>
  <c r="Y267" i="7"/>
  <c r="X267" i="7"/>
  <c r="W267" i="7"/>
  <c r="V267" i="7"/>
  <c r="U267" i="7"/>
  <c r="T267" i="7"/>
  <c r="S267" i="7"/>
  <c r="R267" i="7"/>
  <c r="Q267" i="7"/>
  <c r="P267" i="7"/>
  <c r="O267" i="7"/>
  <c r="N267" i="7"/>
  <c r="M267" i="7"/>
  <c r="L267" i="7"/>
  <c r="K267" i="7"/>
  <c r="J267" i="7"/>
  <c r="I267" i="7"/>
  <c r="H267" i="7"/>
  <c r="G267" i="7"/>
  <c r="F267" i="7"/>
  <c r="E267" i="7"/>
  <c r="D267" i="7"/>
  <c r="C267" i="7"/>
  <c r="B267" i="7"/>
  <c r="A267" i="7"/>
  <c r="AF266" i="7"/>
  <c r="AE266" i="7"/>
  <c r="AD266" i="7"/>
  <c r="AC266" i="7"/>
  <c r="AB266" i="7"/>
  <c r="AA266" i="7"/>
  <c r="Z266" i="7"/>
  <c r="Y266" i="7"/>
  <c r="X266" i="7"/>
  <c r="W266" i="7"/>
  <c r="V266" i="7"/>
  <c r="U266" i="7"/>
  <c r="T266" i="7"/>
  <c r="S266" i="7"/>
  <c r="R266" i="7"/>
  <c r="Q266" i="7"/>
  <c r="P266" i="7"/>
  <c r="O266" i="7"/>
  <c r="N266" i="7"/>
  <c r="M266" i="7"/>
  <c r="L266" i="7"/>
  <c r="K266" i="7"/>
  <c r="J266" i="7"/>
  <c r="I266" i="7"/>
  <c r="H266" i="7"/>
  <c r="G266" i="7"/>
  <c r="F266" i="7"/>
  <c r="E266" i="7"/>
  <c r="D266" i="7"/>
  <c r="C266" i="7"/>
  <c r="B266" i="7"/>
  <c r="A266" i="7"/>
  <c r="AF265" i="7"/>
  <c r="AE265" i="7"/>
  <c r="AD265" i="7"/>
  <c r="AC265" i="7"/>
  <c r="AB265" i="7"/>
  <c r="AA265" i="7"/>
  <c r="Z265" i="7"/>
  <c r="Y265" i="7"/>
  <c r="X265" i="7"/>
  <c r="W265" i="7"/>
  <c r="V265" i="7"/>
  <c r="U265" i="7"/>
  <c r="T265" i="7"/>
  <c r="S265" i="7"/>
  <c r="R265" i="7"/>
  <c r="Q265" i="7"/>
  <c r="P265" i="7"/>
  <c r="O265" i="7"/>
  <c r="N265" i="7"/>
  <c r="M265" i="7"/>
  <c r="L265" i="7"/>
  <c r="K265" i="7"/>
  <c r="J265" i="7"/>
  <c r="I265" i="7"/>
  <c r="H265" i="7"/>
  <c r="G265" i="7"/>
  <c r="F265" i="7"/>
  <c r="E265" i="7"/>
  <c r="D265" i="7"/>
  <c r="C265" i="7"/>
  <c r="B265" i="7"/>
  <c r="A265" i="7"/>
  <c r="AF264" i="7"/>
  <c r="AE264" i="7"/>
  <c r="AD264" i="7"/>
  <c r="AC264" i="7"/>
  <c r="AB264" i="7"/>
  <c r="AA264" i="7"/>
  <c r="Z264" i="7"/>
  <c r="Y264" i="7"/>
  <c r="X264" i="7"/>
  <c r="W264" i="7"/>
  <c r="V264" i="7"/>
  <c r="U264" i="7"/>
  <c r="T264" i="7"/>
  <c r="S264" i="7"/>
  <c r="R264" i="7"/>
  <c r="Q264" i="7"/>
  <c r="P264" i="7"/>
  <c r="O264" i="7"/>
  <c r="N264" i="7"/>
  <c r="M264" i="7"/>
  <c r="L264" i="7"/>
  <c r="K264" i="7"/>
  <c r="J264" i="7"/>
  <c r="I264" i="7"/>
  <c r="H264" i="7"/>
  <c r="G264" i="7"/>
  <c r="F264" i="7"/>
  <c r="E264" i="7"/>
  <c r="D264" i="7"/>
  <c r="C264" i="7"/>
  <c r="B264" i="7"/>
  <c r="A264" i="7"/>
  <c r="AE263" i="7"/>
  <c r="AD263" i="7"/>
  <c r="AC263" i="7"/>
  <c r="AB263" i="7"/>
  <c r="AA263" i="7"/>
  <c r="Z263" i="7"/>
  <c r="Y263" i="7"/>
  <c r="X263" i="7"/>
  <c r="W263" i="7"/>
  <c r="V263" i="7"/>
  <c r="U263" i="7"/>
  <c r="T263" i="7"/>
  <c r="S263" i="7"/>
  <c r="R263" i="7"/>
  <c r="Q263" i="7"/>
  <c r="P263" i="7"/>
  <c r="B263" i="7"/>
  <c r="AP242" i="7"/>
  <c r="S238" i="7"/>
  <c r="AG228" i="7"/>
  <c r="AG61" i="7" s="1"/>
  <c r="AG62" i="7" s="1"/>
  <c r="AG3" i="7" s="1"/>
  <c r="AF228" i="7"/>
  <c r="AE228" i="7"/>
  <c r="AD228" i="7"/>
  <c r="AC228" i="7"/>
  <c r="AB228" i="7"/>
  <c r="AA228" i="7"/>
  <c r="Z228" i="7"/>
  <c r="Y228" i="7"/>
  <c r="X228" i="7"/>
  <c r="W228" i="7"/>
  <c r="V228" i="7"/>
  <c r="U228" i="7"/>
  <c r="T228" i="7"/>
  <c r="S228" i="7"/>
  <c r="R228" i="7"/>
  <c r="Q228" i="7"/>
  <c r="C228" i="7"/>
  <c r="D227" i="7"/>
  <c r="E227" i="7" s="1"/>
  <c r="B227" i="7"/>
  <c r="AF263" i="7" s="1"/>
  <c r="D226" i="7"/>
  <c r="E226" i="7" s="1"/>
  <c r="F226" i="7" s="1"/>
  <c r="G226" i="7" s="1"/>
  <c r="H226" i="7" s="1"/>
  <c r="I226" i="7" s="1"/>
  <c r="J226" i="7" s="1"/>
  <c r="K226" i="7" s="1"/>
  <c r="L226" i="7" s="1"/>
  <c r="M226" i="7" s="1"/>
  <c r="N226" i="7" s="1"/>
  <c r="O226" i="7" s="1"/>
  <c r="P226" i="7" s="1"/>
  <c r="B226" i="7"/>
  <c r="D225" i="7"/>
  <c r="E225" i="7" s="1"/>
  <c r="F225" i="7" s="1"/>
  <c r="G225" i="7" s="1"/>
  <c r="H225" i="7" s="1"/>
  <c r="I225" i="7" s="1"/>
  <c r="B225" i="7"/>
  <c r="E224" i="7"/>
  <c r="F224" i="7" s="1"/>
  <c r="G224" i="7" s="1"/>
  <c r="H224" i="7" s="1"/>
  <c r="D224" i="7"/>
  <c r="B224" i="7"/>
  <c r="D223" i="7"/>
  <c r="E223" i="7" s="1"/>
  <c r="F223" i="7" s="1"/>
  <c r="G223" i="7" s="1"/>
  <c r="H223" i="7" s="1"/>
  <c r="I223" i="7" s="1"/>
  <c r="J223" i="7" s="1"/>
  <c r="K223" i="7" s="1"/>
  <c r="L223" i="7" s="1"/>
  <c r="M223" i="7" s="1"/>
  <c r="N223" i="7" s="1"/>
  <c r="O223" i="7" s="1"/>
  <c r="P223" i="7" s="1"/>
  <c r="B223" i="7"/>
  <c r="D222" i="7"/>
  <c r="D228" i="7" s="1"/>
  <c r="B222" i="7"/>
  <c r="B104" i="7" s="1"/>
  <c r="AG220" i="7"/>
  <c r="AF220" i="7"/>
  <c r="AE220" i="7"/>
  <c r="AD220" i="7"/>
  <c r="AC220" i="7"/>
  <c r="AB220" i="7"/>
  <c r="AA220" i="7"/>
  <c r="Z220" i="7"/>
  <c r="Y220" i="7"/>
  <c r="X220" i="7"/>
  <c r="W220" i="7"/>
  <c r="V220" i="7"/>
  <c r="U220" i="7"/>
  <c r="T220" i="7"/>
  <c r="S220" i="7"/>
  <c r="R220" i="7"/>
  <c r="Q220" i="7"/>
  <c r="P220" i="7"/>
  <c r="O220" i="7"/>
  <c r="N220" i="7"/>
  <c r="M220" i="7"/>
  <c r="L220" i="7"/>
  <c r="K220" i="7"/>
  <c r="J220" i="7"/>
  <c r="I220" i="7"/>
  <c r="H220" i="7"/>
  <c r="G220" i="7"/>
  <c r="F220" i="7"/>
  <c r="E220" i="7"/>
  <c r="D220" i="7"/>
  <c r="C220" i="7"/>
  <c r="B220" i="7"/>
  <c r="AI113" i="7"/>
  <c r="AH113" i="7"/>
  <c r="AI112" i="7"/>
  <c r="AH112" i="7"/>
  <c r="AI111" i="7"/>
  <c r="AH111" i="7"/>
  <c r="AI110" i="7"/>
  <c r="AH110" i="7"/>
  <c r="AI109" i="7"/>
  <c r="AH109" i="7"/>
  <c r="AI108" i="7"/>
  <c r="AH108" i="7"/>
  <c r="AI107" i="7"/>
  <c r="AH107" i="7"/>
  <c r="AI106" i="7"/>
  <c r="AH106" i="7"/>
  <c r="AI105" i="7"/>
  <c r="AH105" i="7"/>
  <c r="AF104" i="7"/>
  <c r="AE104" i="7"/>
  <c r="AD104" i="7"/>
  <c r="AC104" i="7"/>
  <c r="AB104" i="7"/>
  <c r="W104" i="7"/>
  <c r="V104" i="7"/>
  <c r="U104" i="7"/>
  <c r="T104" i="7"/>
  <c r="S104" i="7"/>
  <c r="R104" i="7"/>
  <c r="Q104" i="7"/>
  <c r="D104" i="7"/>
  <c r="C104" i="7"/>
  <c r="AI103" i="7"/>
  <c r="AH103" i="7"/>
  <c r="AI102" i="7"/>
  <c r="AH102" i="7"/>
  <c r="AI101" i="7"/>
  <c r="AH101" i="7"/>
  <c r="AI100" i="7"/>
  <c r="AH100" i="7"/>
  <c r="AI99" i="7"/>
  <c r="AH99" i="7"/>
  <c r="AI98" i="7"/>
  <c r="AH98" i="7"/>
  <c r="AI97" i="7"/>
  <c r="AH97" i="7"/>
  <c r="AI96" i="7"/>
  <c r="AH96" i="7"/>
  <c r="AI95" i="7"/>
  <c r="AH95" i="7"/>
  <c r="AI93" i="7"/>
  <c r="AH93" i="7"/>
  <c r="AI92" i="7"/>
  <c r="AH92" i="7"/>
  <c r="AI91" i="7"/>
  <c r="AH91" i="7"/>
  <c r="AI90" i="7"/>
  <c r="AH90" i="7"/>
  <c r="AI89" i="7"/>
  <c r="AH89" i="7"/>
  <c r="AI88" i="7"/>
  <c r="AH88" i="7"/>
  <c r="AI87" i="7"/>
  <c r="AH87" i="7"/>
  <c r="AI84" i="7"/>
  <c r="AH84" i="7"/>
  <c r="AA85" i="7"/>
  <c r="AI82" i="7"/>
  <c r="AH82" i="7"/>
  <c r="AG82" i="7"/>
  <c r="AI81" i="7"/>
  <c r="AH81" i="7"/>
  <c r="AI80" i="7"/>
  <c r="AH80" i="7"/>
  <c r="AI79" i="7"/>
  <c r="AH79" i="7"/>
  <c r="AN78" i="7"/>
  <c r="AG78" i="7"/>
  <c r="AF78" i="7"/>
  <c r="AE5" i="7" s="1"/>
  <c r="AE78" i="7"/>
  <c r="AD5" i="7" s="1"/>
  <c r="AD78" i="7"/>
  <c r="AC5" i="7" s="1"/>
  <c r="AC78" i="7"/>
  <c r="AB5" i="7" s="1"/>
  <c r="AB78" i="7"/>
  <c r="AB94" i="7" s="1"/>
  <c r="W78" i="7"/>
  <c r="W94" i="7" s="1"/>
  <c r="V78" i="7"/>
  <c r="U5" i="7" s="1"/>
  <c r="U78" i="7"/>
  <c r="T5" i="7" s="1"/>
  <c r="T78" i="7"/>
  <c r="T94" i="7" s="1"/>
  <c r="S78" i="7"/>
  <c r="S94" i="7" s="1"/>
  <c r="R78" i="7"/>
  <c r="R94" i="7" s="1"/>
  <c r="Q78" i="7"/>
  <c r="P5" i="7" s="1"/>
  <c r="P78" i="7"/>
  <c r="P94" i="7" s="1"/>
  <c r="O78" i="7"/>
  <c r="O94" i="7" s="1"/>
  <c r="N78" i="7"/>
  <c r="M5" i="7" s="1"/>
  <c r="M78" i="7"/>
  <c r="L5" i="7" s="1"/>
  <c r="L78" i="7"/>
  <c r="L94" i="7" s="1"/>
  <c r="K78" i="7"/>
  <c r="K94" i="7" s="1"/>
  <c r="J78" i="7"/>
  <c r="J94" i="7" s="1"/>
  <c r="I78" i="7"/>
  <c r="I94" i="7" s="1"/>
  <c r="H78" i="7"/>
  <c r="H94" i="7" s="1"/>
  <c r="G78" i="7"/>
  <c r="G94" i="7" s="1"/>
  <c r="F78" i="7"/>
  <c r="E5" i="7" s="1"/>
  <c r="E78" i="7"/>
  <c r="D5" i="7" s="1"/>
  <c r="D78" i="7"/>
  <c r="D94" i="7" s="1"/>
  <c r="C78" i="7"/>
  <c r="C94" i="7" s="1"/>
  <c r="B78" i="7"/>
  <c r="B94" i="7" s="1"/>
  <c r="AI77" i="7"/>
  <c r="AH77" i="7"/>
  <c r="AN76" i="7"/>
  <c r="AI76" i="7"/>
  <c r="AH76" i="7"/>
  <c r="AN75" i="7"/>
  <c r="AN77" i="7" s="1"/>
  <c r="AI75" i="7"/>
  <c r="AH75" i="7"/>
  <c r="AI74" i="7"/>
  <c r="AH74" i="7"/>
  <c r="AI73" i="7"/>
  <c r="AH73" i="7"/>
  <c r="AI72" i="7"/>
  <c r="AH72" i="7"/>
  <c r="AI71" i="7"/>
  <c r="AH71" i="7"/>
  <c r="AI70" i="7"/>
  <c r="AH70" i="7"/>
  <c r="AI69" i="7"/>
  <c r="AH69" i="7"/>
  <c r="AI68" i="7"/>
  <c r="AH68" i="7"/>
  <c r="AI67" i="7"/>
  <c r="AH67" i="7"/>
  <c r="AG66" i="7"/>
  <c r="AF66" i="7"/>
  <c r="AE66" i="7"/>
  <c r="AD66" i="7"/>
  <c r="AC66" i="7"/>
  <c r="AB66" i="7"/>
  <c r="W66" i="7"/>
  <c r="V66" i="7"/>
  <c r="U66" i="7"/>
  <c r="T66" i="7"/>
  <c r="S66" i="7"/>
  <c r="R66" i="7"/>
  <c r="Q66" i="7"/>
  <c r="P66" i="7"/>
  <c r="O66" i="7"/>
  <c r="N66" i="7"/>
  <c r="M66" i="7"/>
  <c r="L66" i="7"/>
  <c r="AI65" i="7"/>
  <c r="AH65" i="7"/>
  <c r="AI64" i="7"/>
  <c r="AH64" i="7"/>
  <c r="AI63" i="7"/>
  <c r="AH63" i="7"/>
  <c r="AF62" i="7"/>
  <c r="AE62" i="7"/>
  <c r="AD62" i="7"/>
  <c r="AC62" i="7"/>
  <c r="AB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B62" i="7"/>
  <c r="AI61" i="7"/>
  <c r="AH61" i="7"/>
  <c r="AI60" i="7"/>
  <c r="AH60" i="7"/>
  <c r="AI59" i="7"/>
  <c r="AH59" i="7"/>
  <c r="AI58" i="7"/>
  <c r="AH58" i="7"/>
  <c r="AI57" i="7"/>
  <c r="AH57" i="7"/>
  <c r="AI56" i="7"/>
  <c r="AH56" i="7"/>
  <c r="AI55" i="7"/>
  <c r="AH55" i="7"/>
  <c r="AI54" i="7"/>
  <c r="AH54" i="7"/>
  <c r="AI53" i="7"/>
  <c r="AH53" i="7"/>
  <c r="AI52" i="7"/>
  <c r="AH52" i="7"/>
  <c r="AI51" i="7"/>
  <c r="AH51" i="7"/>
  <c r="AI50" i="7"/>
  <c r="AH50" i="7"/>
  <c r="AI49" i="7"/>
  <c r="AH49" i="7"/>
  <c r="AG48" i="7"/>
  <c r="AF48" i="7"/>
  <c r="AE48" i="7"/>
  <c r="AD48" i="7"/>
  <c r="AC48" i="7"/>
  <c r="AB48" i="7"/>
  <c r="AA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I47" i="7"/>
  <c r="AH47" i="7"/>
  <c r="AI46" i="7"/>
  <c r="AH46" i="7"/>
  <c r="AI45" i="7"/>
  <c r="AH45" i="7"/>
  <c r="AG44" i="7"/>
  <c r="AF44" i="7"/>
  <c r="AE44" i="7"/>
  <c r="AD44" i="7"/>
  <c r="AC44" i="7"/>
  <c r="AB44" i="7"/>
  <c r="AA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AI43" i="7"/>
  <c r="AH43" i="7"/>
  <c r="AI42" i="7"/>
  <c r="AH42" i="7"/>
  <c r="AI41" i="7"/>
  <c r="AH41" i="7"/>
  <c r="AI40" i="7"/>
  <c r="AH40" i="7"/>
  <c r="AI39" i="7"/>
  <c r="AH39" i="7"/>
  <c r="AI38" i="7"/>
  <c r="AH38" i="7"/>
  <c r="AI37" i="7"/>
  <c r="AH37" i="7"/>
  <c r="AI36" i="7"/>
  <c r="AH36" i="7"/>
  <c r="AI35" i="7"/>
  <c r="AH35" i="7"/>
  <c r="AI34" i="7"/>
  <c r="AH34" i="7"/>
  <c r="AI33" i="7"/>
  <c r="AH33" i="7"/>
  <c r="AI32" i="7"/>
  <c r="AH32" i="7"/>
  <c r="AI31" i="7"/>
  <c r="AH31" i="7"/>
  <c r="AI30" i="7"/>
  <c r="AH30" i="7"/>
  <c r="AI29" i="7"/>
  <c r="AH29" i="7"/>
  <c r="AI28" i="7"/>
  <c r="AH28" i="7"/>
  <c r="AI27" i="7"/>
  <c r="AH27" i="7"/>
  <c r="AI26" i="7"/>
  <c r="AH26" i="7"/>
  <c r="AI25" i="7"/>
  <c r="AH25" i="7"/>
  <c r="AI24" i="7"/>
  <c r="AH24" i="7"/>
  <c r="AI23" i="7"/>
  <c r="AH23" i="7"/>
  <c r="AI22" i="7"/>
  <c r="AH22" i="7"/>
  <c r="AI21" i="7"/>
  <c r="AH21" i="7"/>
  <c r="AI20" i="7"/>
  <c r="AH20" i="7"/>
  <c r="AI19" i="7"/>
  <c r="AH19" i="7"/>
  <c r="AI18" i="7"/>
  <c r="AH18" i="7"/>
  <c r="AI17" i="7"/>
  <c r="AH17" i="7"/>
  <c r="AI16" i="7"/>
  <c r="AH16" i="7"/>
  <c r="AI15" i="7"/>
  <c r="AH15" i="7"/>
  <c r="AI14" i="7"/>
  <c r="AH14" i="7"/>
  <c r="AI13" i="7"/>
  <c r="AH13" i="7"/>
  <c r="AI12" i="7"/>
  <c r="AH12" i="7"/>
  <c r="AI11" i="7"/>
  <c r="AH11" i="7"/>
  <c r="Y5" i="7"/>
  <c r="X5" i="7"/>
  <c r="W5" i="7"/>
  <c r="O5" i="7"/>
  <c r="I5" i="7"/>
  <c r="H5" i="7"/>
  <c r="K4" i="7"/>
  <c r="E4" i="7"/>
  <c r="H4" i="7" s="1"/>
  <c r="B4" i="7"/>
  <c r="S239" i="7" s="1"/>
  <c r="AG2" i="7"/>
  <c r="AA107" i="6"/>
  <c r="Z107" i="6"/>
  <c r="Y78" i="6"/>
  <c r="Y83" i="6" s="1"/>
  <c r="Y85" i="6" s="1"/>
  <c r="Y7" i="6" s="1"/>
  <c r="X78" i="6"/>
  <c r="X83" i="6" s="1"/>
  <c r="X85" i="6" s="1"/>
  <c r="X7" i="6" s="1"/>
  <c r="X104" i="6"/>
  <c r="Y107" i="6"/>
  <c r="Y104" i="6" s="1"/>
  <c r="F227" i="7" l="1"/>
  <c r="D263" i="7"/>
  <c r="B228" i="7"/>
  <c r="C263" i="7"/>
  <c r="AG83" i="7"/>
  <c r="AF94" i="7"/>
  <c r="AF83" i="7"/>
  <c r="AF85" i="7" s="1"/>
  <c r="AE94" i="7"/>
  <c r="AE83" i="7"/>
  <c r="AE85" i="7" s="1"/>
  <c r="AE86" i="7" s="1"/>
  <c r="AD83" i="7"/>
  <c r="AD85" i="7" s="1"/>
  <c r="AC83" i="7"/>
  <c r="AC85" i="7" s="1"/>
  <c r="Z5" i="7"/>
  <c r="W83" i="7"/>
  <c r="W85" i="7" s="1"/>
  <c r="V5" i="7"/>
  <c r="V94" i="7"/>
  <c r="V83" i="7"/>
  <c r="V85" i="7" s="1"/>
  <c r="AN242" i="7" s="1"/>
  <c r="U83" i="7"/>
  <c r="U85" i="7" s="1"/>
  <c r="S5" i="7"/>
  <c r="T83" i="7"/>
  <c r="T85" i="7" s="1"/>
  <c r="T86" i="7" s="1"/>
  <c r="R5" i="7"/>
  <c r="Q94" i="7"/>
  <c r="R83" i="7"/>
  <c r="R85" i="7" s="1"/>
  <c r="R7" i="7" s="1"/>
  <c r="Q5" i="7"/>
  <c r="Q83" i="7"/>
  <c r="Q85" i="7" s="1"/>
  <c r="Q86" i="7" s="1"/>
  <c r="P83" i="7"/>
  <c r="P85" i="7" s="1"/>
  <c r="P86" i="7" s="1"/>
  <c r="N5" i="7"/>
  <c r="O83" i="7"/>
  <c r="O85" i="7" s="1"/>
  <c r="AG242" i="7" s="1"/>
  <c r="N94" i="7"/>
  <c r="AI66" i="7"/>
  <c r="N83" i="7"/>
  <c r="N85" i="7" s="1"/>
  <c r="N7" i="7" s="1"/>
  <c r="M83" i="7"/>
  <c r="M85" i="7" s="1"/>
  <c r="AE242" i="7" s="1"/>
  <c r="J5" i="7"/>
  <c r="I83" i="7"/>
  <c r="I85" i="7" s="1"/>
  <c r="AA242" i="7" s="1"/>
  <c r="F5" i="7"/>
  <c r="AH48" i="7"/>
  <c r="F83" i="7"/>
  <c r="F85" i="7" s="1"/>
  <c r="F86" i="7" s="1"/>
  <c r="K5" i="7"/>
  <c r="J83" i="7"/>
  <c r="J85" i="7" s="1"/>
  <c r="J7" i="7" s="1"/>
  <c r="H83" i="7"/>
  <c r="H85" i="7" s="1"/>
  <c r="Z242" i="7" s="1"/>
  <c r="F94" i="7"/>
  <c r="G5" i="7"/>
  <c r="L83" i="7"/>
  <c r="L85" i="7" s="1"/>
  <c r="L86" i="7" s="1"/>
  <c r="G83" i="7"/>
  <c r="G85" i="7" s="1"/>
  <c r="Y242" i="7" s="1"/>
  <c r="E83" i="7"/>
  <c r="E85" i="7" s="1"/>
  <c r="E86" i="7" s="1"/>
  <c r="C5" i="7"/>
  <c r="D83" i="7"/>
  <c r="D85" i="7" s="1"/>
  <c r="D7" i="7" s="1"/>
  <c r="AI48" i="7"/>
  <c r="B5" i="7"/>
  <c r="AI62" i="7"/>
  <c r="AI44" i="7"/>
  <c r="AF5" i="7"/>
  <c r="B83" i="7"/>
  <c r="B85" i="7" s="1"/>
  <c r="B7" i="7" s="1"/>
  <c r="AM242" i="7"/>
  <c r="U86" i="7"/>
  <c r="U7" i="7"/>
  <c r="J86" i="7"/>
  <c r="J225" i="7"/>
  <c r="K225" i="7" s="1"/>
  <c r="L225" i="7" s="1"/>
  <c r="M225" i="7" s="1"/>
  <c r="N225" i="7" s="1"/>
  <c r="O225" i="7" s="1"/>
  <c r="P225" i="7" s="1"/>
  <c r="AC86" i="7"/>
  <c r="AC7" i="7"/>
  <c r="AU242" i="7"/>
  <c r="AV242" i="7"/>
  <c r="AD86" i="7"/>
  <c r="AD7" i="7"/>
  <c r="X242" i="7"/>
  <c r="F7" i="7"/>
  <c r="AW242" i="7"/>
  <c r="I86" i="7"/>
  <c r="I7" i="7"/>
  <c r="AR242" i="7"/>
  <c r="AQ242" i="7"/>
  <c r="O86" i="7"/>
  <c r="O7" i="7"/>
  <c r="D86" i="7"/>
  <c r="AF86" i="7"/>
  <c r="AX242" i="7"/>
  <c r="AF7" i="7"/>
  <c r="AG85" i="7"/>
  <c r="M86" i="7"/>
  <c r="M7" i="7"/>
  <c r="AA7" i="7"/>
  <c r="AS242" i="7"/>
  <c r="AA86" i="7"/>
  <c r="N86" i="7"/>
  <c r="AO242" i="7"/>
  <c r="W86" i="7"/>
  <c r="W7" i="7"/>
  <c r="K83" i="7"/>
  <c r="K85" i="7" s="1"/>
  <c r="AH78" i="7"/>
  <c r="AC94" i="7"/>
  <c r="D239" i="7"/>
  <c r="AB83" i="7"/>
  <c r="AB85" i="7" s="1"/>
  <c r="AH62" i="7"/>
  <c r="AI78" i="7"/>
  <c r="E94" i="7"/>
  <c r="M94" i="7"/>
  <c r="U94" i="7"/>
  <c r="AD94" i="7"/>
  <c r="AG4" i="7"/>
  <c r="AG6" i="7" s="1"/>
  <c r="E222" i="7"/>
  <c r="AA5" i="7"/>
  <c r="S83" i="7"/>
  <c r="S85" i="7" s="1"/>
  <c r="AH44" i="7"/>
  <c r="AH66" i="7"/>
  <c r="C83" i="7"/>
  <c r="C85" i="7" s="1"/>
  <c r="Y94" i="6"/>
  <c r="X94" i="6"/>
  <c r="V242" i="7" l="1"/>
  <c r="V86" i="7"/>
  <c r="V7" i="7"/>
  <c r="G227" i="7"/>
  <c r="E263" i="7"/>
  <c r="AE7" i="7"/>
  <c r="AL242" i="7"/>
  <c r="T7" i="7"/>
  <c r="R86" i="7"/>
  <c r="AJ242" i="7"/>
  <c r="AI242" i="7"/>
  <c r="Q7" i="7"/>
  <c r="AH242" i="7"/>
  <c r="P7" i="7"/>
  <c r="AF242" i="7"/>
  <c r="H86" i="7"/>
  <c r="AH94" i="7"/>
  <c r="AB242" i="7"/>
  <c r="H7" i="7"/>
  <c r="G7" i="7"/>
  <c r="G86" i="7"/>
  <c r="AD242" i="7"/>
  <c r="L7" i="7"/>
  <c r="AI94" i="7"/>
  <c r="W242" i="7"/>
  <c r="E7" i="7"/>
  <c r="B86" i="7"/>
  <c r="AI85" i="7"/>
  <c r="T242" i="7"/>
  <c r="K7" i="7"/>
  <c r="AC242" i="7"/>
  <c r="K86" i="7"/>
  <c r="AI83" i="7"/>
  <c r="E104" i="7"/>
  <c r="F222" i="7"/>
  <c r="E228" i="7"/>
  <c r="B237" i="7"/>
  <c r="C7" i="7"/>
  <c r="U242" i="7"/>
  <c r="C86" i="7"/>
  <c r="S7" i="7"/>
  <c r="AK242" i="7"/>
  <c r="S86" i="7"/>
  <c r="AH85" i="7"/>
  <c r="AH83" i="7"/>
  <c r="AB86" i="7"/>
  <c r="AB7" i="7"/>
  <c r="AT242" i="7"/>
  <c r="C237" i="7"/>
  <c r="H227" i="7" l="1"/>
  <c r="F263" i="7"/>
  <c r="AI86" i="7"/>
  <c r="K6" i="7"/>
  <c r="A7" i="7"/>
  <c r="F104" i="7"/>
  <c r="G222" i="7"/>
  <c r="F228" i="7"/>
  <c r="AH86" i="7"/>
  <c r="G263" i="7" l="1"/>
  <c r="I227" i="7"/>
  <c r="G104" i="7"/>
  <c r="H222" i="7"/>
  <c r="G228" i="7"/>
  <c r="H263" i="7" l="1"/>
  <c r="J227" i="7"/>
  <c r="I222" i="7"/>
  <c r="H104" i="7"/>
  <c r="H228" i="7"/>
  <c r="K227" i="7" l="1"/>
  <c r="I263" i="7"/>
  <c r="I104" i="7"/>
  <c r="J222" i="7"/>
  <c r="L227" i="7" l="1"/>
  <c r="J263" i="7"/>
  <c r="K222" i="7"/>
  <c r="J104" i="7"/>
  <c r="K263" i="7" l="1"/>
  <c r="M227" i="7"/>
  <c r="L222" i="7"/>
  <c r="K104" i="7"/>
  <c r="L263" i="7" l="1"/>
  <c r="N227" i="7"/>
  <c r="M222" i="7"/>
  <c r="L104" i="7"/>
  <c r="O227" i="7" l="1"/>
  <c r="M263" i="7"/>
  <c r="N222" i="7"/>
  <c r="M104" i="7"/>
  <c r="N263" i="7" l="1"/>
  <c r="P227" i="7"/>
  <c r="O263" i="7" s="1"/>
  <c r="O222" i="7"/>
  <c r="N104" i="7"/>
  <c r="P222" i="7" l="1"/>
  <c r="O104" i="7"/>
  <c r="AI104" i="7" l="1"/>
  <c r="AH104" i="7"/>
  <c r="W107" i="6" l="1"/>
  <c r="V107" i="6"/>
  <c r="U107" i="6"/>
  <c r="T107" i="6"/>
  <c r="O112" i="6" l="1"/>
  <c r="N112" i="6"/>
  <c r="M107" i="6" l="1"/>
  <c r="D107" i="6"/>
  <c r="D78" i="6"/>
  <c r="C5" i="6" s="1"/>
  <c r="D44" i="6"/>
  <c r="C107" i="6"/>
  <c r="C104" i="6" s="1"/>
  <c r="B107" i="6"/>
  <c r="B78" i="6"/>
  <c r="B94" i="6" s="1"/>
  <c r="B66" i="6"/>
  <c r="B62" i="6"/>
  <c r="B48" i="6"/>
  <c r="B44" i="6"/>
  <c r="AF267" i="6"/>
  <c r="AE267" i="6"/>
  <c r="AD267" i="6"/>
  <c r="AC267" i="6"/>
  <c r="AB267" i="6"/>
  <c r="AA267" i="6"/>
  <c r="Z267" i="6"/>
  <c r="Y267" i="6"/>
  <c r="X267" i="6"/>
  <c r="W267" i="6"/>
  <c r="V267" i="6"/>
  <c r="U267" i="6"/>
  <c r="T267" i="6"/>
  <c r="S267" i="6"/>
  <c r="R267" i="6"/>
  <c r="Q267" i="6"/>
  <c r="P267" i="6"/>
  <c r="O267" i="6"/>
  <c r="N267" i="6"/>
  <c r="M267" i="6"/>
  <c r="L267" i="6"/>
  <c r="K267" i="6"/>
  <c r="J267" i="6"/>
  <c r="I267" i="6"/>
  <c r="H267" i="6"/>
  <c r="G267" i="6"/>
  <c r="F267" i="6"/>
  <c r="E267" i="6"/>
  <c r="D267" i="6"/>
  <c r="C267" i="6"/>
  <c r="B267" i="6"/>
  <c r="A267" i="6"/>
  <c r="AF266" i="6"/>
  <c r="AE266" i="6"/>
  <c r="AD266" i="6"/>
  <c r="AC266" i="6"/>
  <c r="AB266" i="6"/>
  <c r="AA266" i="6"/>
  <c r="Z266" i="6"/>
  <c r="Y266" i="6"/>
  <c r="X266" i="6"/>
  <c r="W266" i="6"/>
  <c r="V266" i="6"/>
  <c r="U266" i="6"/>
  <c r="T266" i="6"/>
  <c r="S266" i="6"/>
  <c r="R266" i="6"/>
  <c r="Q266" i="6"/>
  <c r="P266" i="6"/>
  <c r="O266" i="6"/>
  <c r="N266" i="6"/>
  <c r="M266" i="6"/>
  <c r="L266" i="6"/>
  <c r="K266" i="6"/>
  <c r="J266" i="6"/>
  <c r="I266" i="6"/>
  <c r="H266" i="6"/>
  <c r="G266" i="6"/>
  <c r="F266" i="6"/>
  <c r="E266" i="6"/>
  <c r="D266" i="6"/>
  <c r="C266" i="6"/>
  <c r="B266" i="6"/>
  <c r="A266" i="6"/>
  <c r="AF265" i="6"/>
  <c r="AE265" i="6"/>
  <c r="AD265" i="6"/>
  <c r="AC265" i="6"/>
  <c r="AB265" i="6"/>
  <c r="AA265" i="6"/>
  <c r="Z265" i="6"/>
  <c r="Y265" i="6"/>
  <c r="X265" i="6"/>
  <c r="W265" i="6"/>
  <c r="V265" i="6"/>
  <c r="U265" i="6"/>
  <c r="T265" i="6"/>
  <c r="S265" i="6"/>
  <c r="R265" i="6"/>
  <c r="Q265" i="6"/>
  <c r="P265" i="6"/>
  <c r="O265" i="6"/>
  <c r="N265" i="6"/>
  <c r="M265" i="6"/>
  <c r="L265" i="6"/>
  <c r="K265" i="6"/>
  <c r="J265" i="6"/>
  <c r="I265" i="6"/>
  <c r="H265" i="6"/>
  <c r="G265" i="6"/>
  <c r="F265" i="6"/>
  <c r="E265" i="6"/>
  <c r="D265" i="6"/>
  <c r="C265" i="6"/>
  <c r="B265" i="6"/>
  <c r="A265" i="6"/>
  <c r="AF264" i="6"/>
  <c r="AE264" i="6"/>
  <c r="AD264" i="6"/>
  <c r="AC264" i="6"/>
  <c r="AB264" i="6"/>
  <c r="AA264" i="6"/>
  <c r="Z264" i="6"/>
  <c r="Y264" i="6"/>
  <c r="X264" i="6"/>
  <c r="W264" i="6"/>
  <c r="V264" i="6"/>
  <c r="U264" i="6"/>
  <c r="T264" i="6"/>
  <c r="S264" i="6"/>
  <c r="R264" i="6"/>
  <c r="Q264" i="6"/>
  <c r="P264" i="6"/>
  <c r="O264" i="6"/>
  <c r="N264" i="6"/>
  <c r="M264" i="6"/>
  <c r="L264" i="6"/>
  <c r="K264" i="6"/>
  <c r="J264" i="6"/>
  <c r="I264" i="6"/>
  <c r="H264" i="6"/>
  <c r="G264" i="6"/>
  <c r="F264" i="6"/>
  <c r="E264" i="6"/>
  <c r="D264" i="6"/>
  <c r="C264" i="6"/>
  <c r="B264" i="6"/>
  <c r="A264" i="6"/>
  <c r="AE263" i="6"/>
  <c r="AD263" i="6"/>
  <c r="AC263" i="6"/>
  <c r="AB263" i="6"/>
  <c r="AA263" i="6"/>
  <c r="Z263" i="6"/>
  <c r="Y263" i="6"/>
  <c r="X263" i="6"/>
  <c r="W263" i="6"/>
  <c r="V263" i="6"/>
  <c r="U263" i="6"/>
  <c r="T263" i="6"/>
  <c r="S263" i="6"/>
  <c r="R263" i="6"/>
  <c r="Q263" i="6"/>
  <c r="P263" i="6"/>
  <c r="B263" i="6"/>
  <c r="AP242" i="6"/>
  <c r="S238" i="6"/>
  <c r="AG228" i="6"/>
  <c r="AG61" i="6" s="1"/>
  <c r="AG62" i="6" s="1"/>
  <c r="AF228" i="6"/>
  <c r="AE228" i="6"/>
  <c r="AD228" i="6"/>
  <c r="AC228" i="6"/>
  <c r="AB228" i="6"/>
  <c r="AA228" i="6"/>
  <c r="Z228" i="6"/>
  <c r="Y228" i="6"/>
  <c r="X228" i="6"/>
  <c r="W228" i="6"/>
  <c r="V228" i="6"/>
  <c r="U228" i="6"/>
  <c r="T228" i="6"/>
  <c r="S228" i="6"/>
  <c r="R228" i="6"/>
  <c r="Q228" i="6"/>
  <c r="C228" i="6"/>
  <c r="D227" i="6"/>
  <c r="C263" i="6" s="1"/>
  <c r="B227" i="6"/>
  <c r="AF263" i="6" s="1"/>
  <c r="D226" i="6"/>
  <c r="E226" i="6" s="1"/>
  <c r="F226" i="6" s="1"/>
  <c r="G226" i="6" s="1"/>
  <c r="H226" i="6" s="1"/>
  <c r="I226" i="6" s="1"/>
  <c r="J226" i="6" s="1"/>
  <c r="K226" i="6" s="1"/>
  <c r="L226" i="6" s="1"/>
  <c r="M226" i="6" s="1"/>
  <c r="N226" i="6" s="1"/>
  <c r="O226" i="6" s="1"/>
  <c r="P226" i="6" s="1"/>
  <c r="B226" i="6"/>
  <c r="D225" i="6"/>
  <c r="E225" i="6" s="1"/>
  <c r="F225" i="6" s="1"/>
  <c r="G225" i="6" s="1"/>
  <c r="H225" i="6" s="1"/>
  <c r="I225" i="6" s="1"/>
  <c r="J225" i="6" s="1"/>
  <c r="K225" i="6" s="1"/>
  <c r="L225" i="6" s="1"/>
  <c r="M225" i="6" s="1"/>
  <c r="N225" i="6" s="1"/>
  <c r="O225" i="6" s="1"/>
  <c r="P225" i="6" s="1"/>
  <c r="B225" i="6"/>
  <c r="E224" i="6"/>
  <c r="F224" i="6" s="1"/>
  <c r="G224" i="6" s="1"/>
  <c r="H224" i="6" s="1"/>
  <c r="D224" i="6"/>
  <c r="B224" i="6"/>
  <c r="D223" i="6"/>
  <c r="E223" i="6" s="1"/>
  <c r="F223" i="6" s="1"/>
  <c r="G223" i="6" s="1"/>
  <c r="H223" i="6" s="1"/>
  <c r="I223" i="6" s="1"/>
  <c r="J223" i="6" s="1"/>
  <c r="K223" i="6" s="1"/>
  <c r="L223" i="6" s="1"/>
  <c r="M223" i="6" s="1"/>
  <c r="N223" i="6" s="1"/>
  <c r="O223" i="6" s="1"/>
  <c r="P223" i="6" s="1"/>
  <c r="B223" i="6"/>
  <c r="D222" i="6"/>
  <c r="B222" i="6"/>
  <c r="B228" i="6" s="1"/>
  <c r="AG220" i="6"/>
  <c r="AF220" i="6"/>
  <c r="AE220" i="6"/>
  <c r="AD220" i="6"/>
  <c r="AC220" i="6"/>
  <c r="AB220" i="6"/>
  <c r="AA220" i="6"/>
  <c r="Z220" i="6"/>
  <c r="Y220" i="6"/>
  <c r="X220" i="6"/>
  <c r="W220" i="6"/>
  <c r="V220" i="6"/>
  <c r="U220" i="6"/>
  <c r="T220" i="6"/>
  <c r="S220" i="6"/>
  <c r="R220" i="6"/>
  <c r="Q220" i="6"/>
  <c r="P220" i="6"/>
  <c r="O220" i="6"/>
  <c r="N220" i="6"/>
  <c r="M220" i="6"/>
  <c r="L220" i="6"/>
  <c r="K220" i="6"/>
  <c r="J220" i="6"/>
  <c r="I220" i="6"/>
  <c r="H220" i="6"/>
  <c r="G220" i="6"/>
  <c r="F220" i="6"/>
  <c r="E220" i="6"/>
  <c r="D220" i="6"/>
  <c r="C220" i="6"/>
  <c r="B220" i="6"/>
  <c r="AI113" i="6"/>
  <c r="AH113" i="6"/>
  <c r="AI112" i="6"/>
  <c r="AH112" i="6"/>
  <c r="AI111" i="6"/>
  <c r="AH111" i="6"/>
  <c r="AI110" i="6"/>
  <c r="AH110" i="6"/>
  <c r="AI109" i="6"/>
  <c r="AH109" i="6"/>
  <c r="AI108" i="6"/>
  <c r="AH108" i="6"/>
  <c r="AI106" i="6"/>
  <c r="AH106" i="6"/>
  <c r="AI105" i="6"/>
  <c r="AH105" i="6"/>
  <c r="AF104" i="6"/>
  <c r="AE104" i="6"/>
  <c r="AD104" i="6"/>
  <c r="AC104" i="6"/>
  <c r="AB104" i="6"/>
  <c r="AA104" i="6"/>
  <c r="Z104" i="6"/>
  <c r="W104" i="6"/>
  <c r="V104" i="6"/>
  <c r="U104" i="6"/>
  <c r="T104" i="6"/>
  <c r="S104" i="6"/>
  <c r="R104" i="6"/>
  <c r="Q104" i="6"/>
  <c r="D104" i="6"/>
  <c r="AI103" i="6"/>
  <c r="AH103" i="6"/>
  <c r="AI102" i="6"/>
  <c r="AH102" i="6"/>
  <c r="AI101" i="6"/>
  <c r="AH101" i="6"/>
  <c r="AI100" i="6"/>
  <c r="AH100" i="6"/>
  <c r="AI99" i="6"/>
  <c r="AH99" i="6"/>
  <c r="AI98" i="6"/>
  <c r="AH98" i="6"/>
  <c r="AI97" i="6"/>
  <c r="AH97" i="6"/>
  <c r="AI96" i="6"/>
  <c r="AH96" i="6"/>
  <c r="AI95" i="6"/>
  <c r="AH95" i="6"/>
  <c r="AI93" i="6"/>
  <c r="AH93" i="6"/>
  <c r="AI92" i="6"/>
  <c r="AH92" i="6"/>
  <c r="AI91" i="6"/>
  <c r="AH91" i="6"/>
  <c r="AI90" i="6"/>
  <c r="AH90" i="6"/>
  <c r="AI89" i="6"/>
  <c r="AH89" i="6"/>
  <c r="AI88" i="6"/>
  <c r="AH88" i="6"/>
  <c r="AI87" i="6"/>
  <c r="AH87" i="6"/>
  <c r="AI84" i="6"/>
  <c r="AH84" i="6"/>
  <c r="AI82" i="6"/>
  <c r="AH82" i="6"/>
  <c r="AG82" i="6"/>
  <c r="AI81" i="6"/>
  <c r="AH81" i="6"/>
  <c r="AI80" i="6"/>
  <c r="AH80" i="6"/>
  <c r="AI79" i="6"/>
  <c r="AH79" i="6"/>
  <c r="AN78" i="6"/>
  <c r="AG78" i="6"/>
  <c r="AF78" i="6"/>
  <c r="AF94" i="6" s="1"/>
  <c r="AE78" i="6"/>
  <c r="AD5" i="6" s="1"/>
  <c r="AD78" i="6"/>
  <c r="AC5" i="6" s="1"/>
  <c r="AC78" i="6"/>
  <c r="AB5" i="6" s="1"/>
  <c r="AB78" i="6"/>
  <c r="AB94" i="6" s="1"/>
  <c r="AA78" i="6"/>
  <c r="Z78" i="6"/>
  <c r="X5" i="6"/>
  <c r="W78" i="6"/>
  <c r="V5" i="6" s="1"/>
  <c r="V78" i="6"/>
  <c r="U5" i="6" s="1"/>
  <c r="U78" i="6"/>
  <c r="T5" i="6" s="1"/>
  <c r="T78" i="6"/>
  <c r="S5" i="6" s="1"/>
  <c r="S78" i="6"/>
  <c r="R5" i="6" s="1"/>
  <c r="R78" i="6"/>
  <c r="Q78" i="6"/>
  <c r="P78" i="6"/>
  <c r="P94" i="6" s="1"/>
  <c r="O78" i="6"/>
  <c r="O94" i="6" s="1"/>
  <c r="N78" i="6"/>
  <c r="M5" i="6" s="1"/>
  <c r="M78" i="6"/>
  <c r="L5" i="6" s="1"/>
  <c r="L78" i="6"/>
  <c r="K5" i="6" s="1"/>
  <c r="K78" i="6"/>
  <c r="J5" i="6" s="1"/>
  <c r="J78" i="6"/>
  <c r="I78" i="6"/>
  <c r="H78" i="6"/>
  <c r="H94" i="6" s="1"/>
  <c r="G78" i="6"/>
  <c r="G94" i="6" s="1"/>
  <c r="F78" i="6"/>
  <c r="E5" i="6" s="1"/>
  <c r="E78" i="6"/>
  <c r="E94" i="6" s="1"/>
  <c r="C78" i="6"/>
  <c r="B5" i="6" s="1"/>
  <c r="AN77" i="6"/>
  <c r="AI77" i="6"/>
  <c r="AH77" i="6"/>
  <c r="AN76" i="6"/>
  <c r="AI76" i="6"/>
  <c r="AH76" i="6"/>
  <c r="AN75" i="6"/>
  <c r="AI75" i="6"/>
  <c r="AH75" i="6"/>
  <c r="AI74" i="6"/>
  <c r="AH74" i="6"/>
  <c r="AI73" i="6"/>
  <c r="AH73" i="6"/>
  <c r="AI72" i="6"/>
  <c r="AH72" i="6"/>
  <c r="AI71" i="6"/>
  <c r="AH71" i="6"/>
  <c r="AI70" i="6"/>
  <c r="AH70" i="6"/>
  <c r="AI69" i="6"/>
  <c r="AH69" i="6"/>
  <c r="AI68" i="6"/>
  <c r="AH68" i="6"/>
  <c r="AI67" i="6"/>
  <c r="AH67" i="6"/>
  <c r="AG66" i="6"/>
  <c r="AF66" i="6"/>
  <c r="AE66" i="6"/>
  <c r="AD66" i="6"/>
  <c r="AC66" i="6"/>
  <c r="AB66" i="6"/>
  <c r="AA66" i="6"/>
  <c r="Z66" i="6"/>
  <c r="W66" i="6"/>
  <c r="V66" i="6"/>
  <c r="U66" i="6"/>
  <c r="T66" i="6"/>
  <c r="S66" i="6"/>
  <c r="R66" i="6"/>
  <c r="Q66" i="6"/>
  <c r="P66" i="6"/>
  <c r="O66" i="6"/>
  <c r="N66" i="6"/>
  <c r="M66" i="6"/>
  <c r="L66" i="6"/>
  <c r="AI65" i="6"/>
  <c r="AH65" i="6"/>
  <c r="AI64" i="6"/>
  <c r="AH64" i="6"/>
  <c r="AI63" i="6"/>
  <c r="AH63" i="6"/>
  <c r="AF62" i="6"/>
  <c r="AE62" i="6"/>
  <c r="AD62" i="6"/>
  <c r="AC62" i="6"/>
  <c r="AB62" i="6"/>
  <c r="AA62" i="6"/>
  <c r="Z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C62" i="6"/>
  <c r="AI61" i="6"/>
  <c r="AH61" i="6"/>
  <c r="AI60" i="6"/>
  <c r="AH60" i="6"/>
  <c r="AI59" i="6"/>
  <c r="AH59" i="6"/>
  <c r="AI58" i="6"/>
  <c r="AH58" i="6"/>
  <c r="AI57" i="6"/>
  <c r="AH57" i="6"/>
  <c r="AI56" i="6"/>
  <c r="AH56" i="6"/>
  <c r="AI55" i="6"/>
  <c r="AH55" i="6"/>
  <c r="AI54" i="6"/>
  <c r="AH54" i="6"/>
  <c r="AI53" i="6"/>
  <c r="AH53" i="6"/>
  <c r="AI52" i="6"/>
  <c r="AH52" i="6"/>
  <c r="AI51" i="6"/>
  <c r="AH51" i="6"/>
  <c r="AI50" i="6"/>
  <c r="AH50" i="6"/>
  <c r="AI49" i="6"/>
  <c r="AH49" i="6"/>
  <c r="AG48" i="6"/>
  <c r="AF48" i="6"/>
  <c r="AE48" i="6"/>
  <c r="AD48" i="6"/>
  <c r="AC48" i="6"/>
  <c r="AB48" i="6"/>
  <c r="AA48" i="6"/>
  <c r="Z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AI47" i="6"/>
  <c r="AH47" i="6"/>
  <c r="AI46" i="6"/>
  <c r="AH46" i="6"/>
  <c r="AI45" i="6"/>
  <c r="AH45" i="6"/>
  <c r="AG44" i="6"/>
  <c r="AF44" i="6"/>
  <c r="AE44" i="6"/>
  <c r="AD44" i="6"/>
  <c r="AC44" i="6"/>
  <c r="AB44" i="6"/>
  <c r="AA44" i="6"/>
  <c r="Z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C44" i="6"/>
  <c r="AI43" i="6"/>
  <c r="AH43" i="6"/>
  <c r="AI42" i="6"/>
  <c r="AH42" i="6"/>
  <c r="AI41" i="6"/>
  <c r="AH41" i="6"/>
  <c r="AI40" i="6"/>
  <c r="AH40" i="6"/>
  <c r="AI39" i="6"/>
  <c r="AH39" i="6"/>
  <c r="AI38" i="6"/>
  <c r="AH38" i="6"/>
  <c r="AI37" i="6"/>
  <c r="AH37" i="6"/>
  <c r="AI36" i="6"/>
  <c r="AH36" i="6"/>
  <c r="AI35" i="6"/>
  <c r="AH35" i="6"/>
  <c r="AI34" i="6"/>
  <c r="AH34" i="6"/>
  <c r="AI33" i="6"/>
  <c r="AH33" i="6"/>
  <c r="AI32" i="6"/>
  <c r="AH32" i="6"/>
  <c r="AI31" i="6"/>
  <c r="AH31" i="6"/>
  <c r="AI30" i="6"/>
  <c r="AH30" i="6"/>
  <c r="AI29" i="6"/>
  <c r="AH29" i="6"/>
  <c r="AI28" i="6"/>
  <c r="AH28" i="6"/>
  <c r="AI27" i="6"/>
  <c r="AH27" i="6"/>
  <c r="AI26" i="6"/>
  <c r="AH26" i="6"/>
  <c r="AI25" i="6"/>
  <c r="AH25" i="6"/>
  <c r="AI24" i="6"/>
  <c r="AH24" i="6"/>
  <c r="AI23" i="6"/>
  <c r="AH23" i="6"/>
  <c r="AI22" i="6"/>
  <c r="AH22" i="6"/>
  <c r="AI21" i="6"/>
  <c r="AH21" i="6"/>
  <c r="AI20" i="6"/>
  <c r="AH20" i="6"/>
  <c r="AI19" i="6"/>
  <c r="AH19" i="6"/>
  <c r="AI18" i="6"/>
  <c r="AH18" i="6"/>
  <c r="AI17" i="6"/>
  <c r="AH17" i="6"/>
  <c r="AI16" i="6"/>
  <c r="AH16" i="6"/>
  <c r="AI15" i="6"/>
  <c r="AH15" i="6"/>
  <c r="AI14" i="6"/>
  <c r="AH14" i="6"/>
  <c r="AI13" i="6"/>
  <c r="AH13" i="6"/>
  <c r="AI12" i="6"/>
  <c r="AH12" i="6"/>
  <c r="AI11" i="6"/>
  <c r="AH11" i="6"/>
  <c r="W5" i="6"/>
  <c r="AG4" i="6"/>
  <c r="K4" i="6"/>
  <c r="E4" i="6"/>
  <c r="H4" i="6" s="1"/>
  <c r="B4" i="6"/>
  <c r="AG2" i="6"/>
  <c r="AF107" i="4"/>
  <c r="B104" i="6" l="1"/>
  <c r="D228" i="6"/>
  <c r="E227" i="6"/>
  <c r="D263" i="6" s="1"/>
  <c r="AE5" i="6"/>
  <c r="AF83" i="6"/>
  <c r="AF85" i="6" s="1"/>
  <c r="AE83" i="6"/>
  <c r="AE85" i="6" s="1"/>
  <c r="AW242" i="6" s="1"/>
  <c r="AE94" i="6"/>
  <c r="AD94" i="6"/>
  <c r="AD83" i="6"/>
  <c r="AD85" i="6" s="1"/>
  <c r="AD86" i="6" s="1"/>
  <c r="AC94" i="6"/>
  <c r="AA83" i="6"/>
  <c r="AA85" i="6" s="1"/>
  <c r="Z83" i="6"/>
  <c r="Z85" i="6" s="1"/>
  <c r="W94" i="6"/>
  <c r="W83" i="6"/>
  <c r="W85" i="6" s="1"/>
  <c r="V94" i="6"/>
  <c r="V83" i="6"/>
  <c r="V85" i="6" s="1"/>
  <c r="AN242" i="6" s="1"/>
  <c r="U94" i="6"/>
  <c r="U83" i="6"/>
  <c r="U85" i="6" s="1"/>
  <c r="U7" i="6" s="1"/>
  <c r="T94" i="6"/>
  <c r="S94" i="6"/>
  <c r="R83" i="6"/>
  <c r="R85" i="6" s="1"/>
  <c r="Q83" i="6"/>
  <c r="Q85" i="6" s="1"/>
  <c r="O5" i="6"/>
  <c r="P83" i="6"/>
  <c r="P85" i="6" s="1"/>
  <c r="P7" i="6" s="1"/>
  <c r="N5" i="6"/>
  <c r="O83" i="6"/>
  <c r="O85" i="6" s="1"/>
  <c r="O86" i="6" s="1"/>
  <c r="N83" i="6"/>
  <c r="N85" i="6" s="1"/>
  <c r="AF242" i="6" s="1"/>
  <c r="N94" i="6"/>
  <c r="M94" i="6"/>
  <c r="M83" i="6"/>
  <c r="M85" i="6" s="1"/>
  <c r="M7" i="6" s="1"/>
  <c r="L94" i="6"/>
  <c r="K94" i="6"/>
  <c r="J83" i="6"/>
  <c r="J85" i="6" s="1"/>
  <c r="J86" i="6" s="1"/>
  <c r="I83" i="6"/>
  <c r="I85" i="6" s="1"/>
  <c r="AA242" i="6" s="1"/>
  <c r="G5" i="6"/>
  <c r="H83" i="6"/>
  <c r="H85" i="6" s="1"/>
  <c r="H86" i="6" s="1"/>
  <c r="F5" i="6"/>
  <c r="G83" i="6"/>
  <c r="G85" i="6" s="1"/>
  <c r="G7" i="6" s="1"/>
  <c r="F94" i="6"/>
  <c r="F83" i="6"/>
  <c r="F85" i="6" s="1"/>
  <c r="X242" i="6" s="1"/>
  <c r="D5" i="6"/>
  <c r="E83" i="6"/>
  <c r="E85" i="6" s="1"/>
  <c r="E7" i="6" s="1"/>
  <c r="AI107" i="6"/>
  <c r="D94" i="6"/>
  <c r="AI44" i="6"/>
  <c r="C94" i="6"/>
  <c r="AI62" i="6"/>
  <c r="B83" i="6"/>
  <c r="B85" i="6" s="1"/>
  <c r="B86" i="6" s="1"/>
  <c r="AH107" i="6"/>
  <c r="AH78" i="6"/>
  <c r="AG3" i="6"/>
  <c r="AG83" i="6"/>
  <c r="R7" i="6"/>
  <c r="AJ242" i="6"/>
  <c r="R86" i="6"/>
  <c r="I7" i="6"/>
  <c r="Q86" i="6"/>
  <c r="Q7" i="6"/>
  <c r="AI242" i="6"/>
  <c r="Z86" i="6"/>
  <c r="Z7" i="6"/>
  <c r="AR242" i="6"/>
  <c r="AH62" i="6"/>
  <c r="C83" i="6"/>
  <c r="C85" i="6" s="1"/>
  <c r="K83" i="6"/>
  <c r="K85" i="6" s="1"/>
  <c r="S83" i="6"/>
  <c r="S85" i="6" s="1"/>
  <c r="AB83" i="6"/>
  <c r="AB85" i="6" s="1"/>
  <c r="AM242" i="6"/>
  <c r="U86" i="6"/>
  <c r="AS242" i="6"/>
  <c r="AA86" i="6"/>
  <c r="D83" i="6"/>
  <c r="D85" i="6" s="1"/>
  <c r="T83" i="6"/>
  <c r="T85" i="6" s="1"/>
  <c r="AC83" i="6"/>
  <c r="AC85" i="6" s="1"/>
  <c r="AA7" i="6"/>
  <c r="I94" i="6"/>
  <c r="H5" i="6"/>
  <c r="Q94" i="6"/>
  <c r="P5" i="6"/>
  <c r="Z94" i="6"/>
  <c r="Y5" i="6"/>
  <c r="AH44" i="6"/>
  <c r="L83" i="6"/>
  <c r="L85" i="6" s="1"/>
  <c r="AG6" i="6"/>
  <c r="AF5" i="6"/>
  <c r="J94" i="6"/>
  <c r="I5" i="6"/>
  <c r="R94" i="6"/>
  <c r="Q5" i="6"/>
  <c r="AA94" i="6"/>
  <c r="Z5" i="6"/>
  <c r="AI78" i="6"/>
  <c r="AG85" i="6"/>
  <c r="S239" i="6"/>
  <c r="D239" i="6"/>
  <c r="Y242" i="6"/>
  <c r="G86" i="6"/>
  <c r="AG242" i="6"/>
  <c r="AO242" i="6"/>
  <c r="W7" i="6"/>
  <c r="W86" i="6"/>
  <c r="AF86" i="6"/>
  <c r="AF7" i="6"/>
  <c r="AX242" i="6"/>
  <c r="AI48" i="6"/>
  <c r="AQ242" i="6"/>
  <c r="AI66" i="6"/>
  <c r="AH66" i="6"/>
  <c r="F227" i="6"/>
  <c r="E222" i="6"/>
  <c r="AA5" i="6"/>
  <c r="AH48" i="6"/>
  <c r="V7" i="6" l="1"/>
  <c r="AE86" i="6"/>
  <c r="AE7" i="6"/>
  <c r="AV242" i="6"/>
  <c r="AD7" i="6"/>
  <c r="V86" i="6"/>
  <c r="N7" i="6"/>
  <c r="N86" i="6"/>
  <c r="M86" i="6"/>
  <c r="AE242" i="6"/>
  <c r="P86" i="6"/>
  <c r="AH242" i="6"/>
  <c r="O7" i="6"/>
  <c r="AB242" i="6"/>
  <c r="J7" i="6"/>
  <c r="I86" i="6"/>
  <c r="Z242" i="6"/>
  <c r="H7" i="6"/>
  <c r="F7" i="6"/>
  <c r="F86" i="6"/>
  <c r="E86" i="6"/>
  <c r="W242" i="6"/>
  <c r="C86" i="6"/>
  <c r="U242" i="6"/>
  <c r="C7" i="6"/>
  <c r="AC242" i="6"/>
  <c r="K86" i="6"/>
  <c r="K7" i="6"/>
  <c r="F222" i="6"/>
  <c r="E104" i="6"/>
  <c r="E228" i="6"/>
  <c r="AI94" i="6"/>
  <c r="AH94" i="6"/>
  <c r="E263" i="6"/>
  <c r="G227" i="6"/>
  <c r="B237" i="6"/>
  <c r="L86" i="6"/>
  <c r="AD242" i="6"/>
  <c r="L7" i="6"/>
  <c r="C237" i="6"/>
  <c r="AI83" i="6"/>
  <c r="AH83" i="6"/>
  <c r="T86" i="6"/>
  <c r="AL242" i="6"/>
  <c r="T7" i="6"/>
  <c r="AT242" i="6"/>
  <c r="AB86" i="6"/>
  <c r="AB7" i="6"/>
  <c r="AU242" i="6"/>
  <c r="AC86" i="6"/>
  <c r="AC7" i="6"/>
  <c r="D86" i="6"/>
  <c r="V242" i="6"/>
  <c r="D7" i="6"/>
  <c r="S86" i="6"/>
  <c r="AK242" i="6"/>
  <c r="S7" i="6"/>
  <c r="K6" i="6" l="1"/>
  <c r="G222" i="6"/>
  <c r="F104" i="6"/>
  <c r="F228" i="6"/>
  <c r="F263" i="6"/>
  <c r="H227" i="6"/>
  <c r="AI85" i="6"/>
  <c r="AH85" i="6"/>
  <c r="B7" i="6"/>
  <c r="A7" i="6" s="1"/>
  <c r="T242" i="6"/>
  <c r="AI86" i="6" l="1"/>
  <c r="AH86" i="6"/>
  <c r="G263" i="6"/>
  <c r="I227" i="6"/>
  <c r="H222" i="6"/>
  <c r="G104" i="6"/>
  <c r="G228" i="6"/>
  <c r="H263" i="6" l="1"/>
  <c r="J227" i="6"/>
  <c r="I222" i="6"/>
  <c r="H104" i="6"/>
  <c r="H228" i="6"/>
  <c r="I104" i="6" l="1"/>
  <c r="J222" i="6"/>
  <c r="K227" i="6"/>
  <c r="I263" i="6"/>
  <c r="J263" i="6" l="1"/>
  <c r="L227" i="6"/>
  <c r="K222" i="6"/>
  <c r="J104" i="6"/>
  <c r="L222" i="6" l="1"/>
  <c r="K104" i="6"/>
  <c r="K263" i="6"/>
  <c r="M227" i="6"/>
  <c r="N227" i="6" l="1"/>
  <c r="L263" i="6"/>
  <c r="L104" i="6"/>
  <c r="M222" i="6"/>
  <c r="N222" i="6" l="1"/>
  <c r="M104" i="6"/>
  <c r="M263" i="6"/>
  <c r="O227" i="6"/>
  <c r="N263" i="6" l="1"/>
  <c r="P227" i="6"/>
  <c r="O263" i="6" s="1"/>
  <c r="O222" i="6"/>
  <c r="N104" i="6"/>
  <c r="P222" i="6" l="1"/>
  <c r="O104" i="6"/>
  <c r="AH104" i="6" l="1"/>
  <c r="AI104" i="6"/>
  <c r="AE107" i="4" l="1"/>
  <c r="AE44" i="4"/>
  <c r="AE48" i="4"/>
  <c r="AA44" i="4" l="1"/>
  <c r="AA48" i="4"/>
  <c r="Z107" i="4"/>
  <c r="W78" i="4"/>
  <c r="W94" i="4" s="1"/>
  <c r="X78" i="4"/>
  <c r="X94" i="4" s="1"/>
  <c r="Y78" i="4"/>
  <c r="Z78" i="4"/>
  <c r="AA78" i="4"/>
  <c r="AA94" i="4" s="1"/>
  <c r="V66" i="4"/>
  <c r="W66" i="4"/>
  <c r="X66" i="4"/>
  <c r="Y66" i="4"/>
  <c r="Z66" i="4"/>
  <c r="AA66" i="4"/>
  <c r="X44" i="4"/>
  <c r="Y44" i="4"/>
  <c r="Z44" i="4"/>
  <c r="W104" i="4"/>
  <c r="X104" i="4"/>
  <c r="Z104" i="4"/>
  <c r="AA104" i="4"/>
  <c r="X62" i="4"/>
  <c r="Y62" i="4"/>
  <c r="Z62" i="4"/>
  <c r="AA62" i="4"/>
  <c r="X48" i="4"/>
  <c r="Y48" i="4"/>
  <c r="Z48" i="4"/>
  <c r="Y83" i="4" l="1"/>
  <c r="Y85" i="4" s="1"/>
  <c r="Z83" i="4"/>
  <c r="Z85" i="4" s="1"/>
  <c r="X83" i="4"/>
  <c r="X85" i="4" s="1"/>
  <c r="Z94" i="4"/>
  <c r="AA83" i="4"/>
  <c r="AA85" i="4" s="1"/>
  <c r="Y94" i="4"/>
  <c r="Y107" i="4" l="1"/>
  <c r="Y104" i="4" s="1"/>
  <c r="D87" i="5" l="1"/>
  <c r="C87" i="5"/>
  <c r="D86" i="5"/>
  <c r="C86" i="5"/>
  <c r="K85" i="5"/>
  <c r="J85" i="5"/>
  <c r="H85" i="5"/>
  <c r="D85" i="5"/>
  <c r="C85" i="5"/>
  <c r="K84" i="5"/>
  <c r="J84" i="5"/>
  <c r="H84" i="5"/>
  <c r="D84" i="5"/>
  <c r="C84" i="5"/>
  <c r="K83" i="5"/>
  <c r="J83" i="5"/>
  <c r="H83" i="5"/>
  <c r="D83" i="5"/>
  <c r="C83" i="5"/>
  <c r="K82" i="5"/>
  <c r="J82" i="5"/>
  <c r="H82" i="5"/>
  <c r="K81" i="5"/>
  <c r="J81" i="5"/>
  <c r="H81" i="5"/>
  <c r="P80" i="5"/>
  <c r="O80" i="5"/>
  <c r="M80" i="5"/>
  <c r="K80" i="5"/>
  <c r="J80" i="5"/>
  <c r="H80" i="5"/>
  <c r="P79" i="5"/>
  <c r="O79" i="5"/>
  <c r="M79" i="5"/>
  <c r="K79" i="5"/>
  <c r="J79" i="5"/>
  <c r="H79" i="5"/>
  <c r="D79" i="5"/>
  <c r="C79" i="5"/>
  <c r="P78" i="5"/>
  <c r="O78" i="5"/>
  <c r="M78" i="5"/>
  <c r="K78" i="5"/>
  <c r="J78" i="5"/>
  <c r="H78" i="5"/>
  <c r="D78" i="5"/>
  <c r="C78" i="5"/>
  <c r="P77" i="5"/>
  <c r="O77" i="5"/>
  <c r="M77" i="5"/>
  <c r="K77" i="5"/>
  <c r="J77" i="5"/>
  <c r="H77" i="5"/>
  <c r="D77" i="5"/>
  <c r="C77" i="5"/>
  <c r="P76" i="5"/>
  <c r="O76" i="5"/>
  <c r="M76" i="5"/>
  <c r="K76" i="5"/>
  <c r="J76" i="5"/>
  <c r="H76" i="5"/>
  <c r="D76" i="5"/>
  <c r="C76" i="5"/>
  <c r="P75" i="5"/>
  <c r="O75" i="5"/>
  <c r="M75" i="5"/>
  <c r="K75" i="5"/>
  <c r="J75" i="5"/>
  <c r="H75" i="5"/>
  <c r="D75" i="5"/>
  <c r="C75" i="5"/>
  <c r="P74" i="5"/>
  <c r="O74" i="5"/>
  <c r="M74" i="5"/>
  <c r="K74" i="5"/>
  <c r="J74" i="5"/>
  <c r="H74" i="5"/>
  <c r="D74" i="5"/>
  <c r="C74" i="5"/>
  <c r="P73" i="5"/>
  <c r="O73" i="5"/>
  <c r="M73" i="5"/>
  <c r="K73" i="5"/>
  <c r="J73" i="5"/>
  <c r="H73" i="5"/>
  <c r="D73" i="5"/>
  <c r="C73" i="5"/>
  <c r="P72" i="5"/>
  <c r="O72" i="5"/>
  <c r="M72" i="5"/>
  <c r="K72" i="5"/>
  <c r="J72" i="5"/>
  <c r="H72" i="5"/>
  <c r="P71" i="5"/>
  <c r="O71" i="5"/>
  <c r="M71" i="5"/>
  <c r="K71" i="5"/>
  <c r="J71" i="5"/>
  <c r="H71" i="5"/>
  <c r="P70" i="5"/>
  <c r="O70" i="5"/>
  <c r="M70" i="5"/>
  <c r="K70" i="5"/>
  <c r="J70" i="5"/>
  <c r="H70" i="5"/>
  <c r="P69" i="5"/>
  <c r="O69" i="5"/>
  <c r="M69" i="5"/>
  <c r="K69" i="5"/>
  <c r="J69" i="5"/>
  <c r="H69" i="5"/>
  <c r="P68" i="5"/>
  <c r="O68" i="5"/>
  <c r="M68" i="5"/>
  <c r="K68" i="5"/>
  <c r="J68" i="5"/>
  <c r="H68" i="5"/>
  <c r="P67" i="5"/>
  <c r="O67" i="5"/>
  <c r="M67" i="5"/>
  <c r="K67" i="5"/>
  <c r="J67" i="5"/>
  <c r="H67" i="5"/>
  <c r="P66" i="5"/>
  <c r="O66" i="5"/>
  <c r="M66" i="5"/>
  <c r="K66" i="5"/>
  <c r="J66" i="5"/>
  <c r="H66" i="5"/>
  <c r="P65" i="5"/>
  <c r="O65" i="5"/>
  <c r="M65" i="5"/>
  <c r="K65" i="5"/>
  <c r="J65" i="5"/>
  <c r="H65" i="5"/>
  <c r="P64" i="5"/>
  <c r="O64" i="5"/>
  <c r="M64" i="5"/>
  <c r="K64" i="5"/>
  <c r="J64" i="5"/>
  <c r="H64" i="5"/>
  <c r="P63" i="5"/>
  <c r="O63" i="5"/>
  <c r="M63" i="5"/>
  <c r="K63" i="5"/>
  <c r="J63" i="5"/>
  <c r="H63" i="5"/>
  <c r="P62" i="5"/>
  <c r="O62" i="5"/>
  <c r="M62" i="5"/>
  <c r="K62" i="5"/>
  <c r="J62" i="5"/>
  <c r="H62" i="5"/>
  <c r="P61" i="5"/>
  <c r="O61" i="5"/>
  <c r="M61" i="5"/>
  <c r="K61" i="5"/>
  <c r="J61" i="5"/>
  <c r="H61" i="5"/>
  <c r="P60" i="5"/>
  <c r="O60" i="5"/>
  <c r="M60" i="5"/>
  <c r="K60" i="5"/>
  <c r="J60" i="5"/>
  <c r="H60" i="5"/>
  <c r="P59" i="5"/>
  <c r="O59" i="5"/>
  <c r="M59" i="5"/>
  <c r="K59" i="5"/>
  <c r="J59" i="5"/>
  <c r="H59" i="5"/>
  <c r="P58" i="5"/>
  <c r="O58" i="5"/>
  <c r="M58" i="5"/>
  <c r="K58" i="5"/>
  <c r="J58" i="5"/>
  <c r="H58" i="5"/>
  <c r="P57" i="5"/>
  <c r="O57" i="5"/>
  <c r="M57" i="5"/>
  <c r="K57" i="5"/>
  <c r="J57" i="5"/>
  <c r="H57" i="5"/>
  <c r="P56" i="5"/>
  <c r="O56" i="5"/>
  <c r="M56" i="5"/>
  <c r="K56" i="5"/>
  <c r="J56" i="5"/>
  <c r="H56" i="5"/>
  <c r="P55" i="5"/>
  <c r="O55" i="5"/>
  <c r="M55" i="5"/>
  <c r="K55" i="5"/>
  <c r="J55" i="5"/>
  <c r="H55" i="5"/>
  <c r="P54" i="5"/>
  <c r="O54" i="5"/>
  <c r="M54" i="5"/>
  <c r="K54" i="5"/>
  <c r="J54" i="5"/>
  <c r="H54" i="5"/>
  <c r="P53" i="5"/>
  <c r="O53" i="5"/>
  <c r="M53" i="5"/>
  <c r="K53" i="5"/>
  <c r="J53" i="5"/>
  <c r="H53" i="5"/>
  <c r="P52" i="5"/>
  <c r="O52" i="5"/>
  <c r="M52" i="5"/>
  <c r="K52" i="5"/>
  <c r="J52" i="5"/>
  <c r="H52" i="5"/>
  <c r="F52" i="5"/>
  <c r="E52" i="5"/>
  <c r="P51" i="5"/>
  <c r="O51" i="5"/>
  <c r="M51" i="5"/>
  <c r="K51" i="5"/>
  <c r="J51" i="5"/>
  <c r="H51" i="5"/>
  <c r="F51" i="5"/>
  <c r="E51" i="5"/>
  <c r="P50" i="5"/>
  <c r="O50" i="5"/>
  <c r="M50" i="5"/>
  <c r="K50" i="5"/>
  <c r="J50" i="5"/>
  <c r="H50" i="5"/>
  <c r="F50" i="5"/>
  <c r="E50" i="5"/>
  <c r="P49" i="5"/>
  <c r="O49" i="5"/>
  <c r="M49" i="5"/>
  <c r="K49" i="5"/>
  <c r="J49" i="5"/>
  <c r="H49" i="5"/>
  <c r="F49" i="5"/>
  <c r="E49" i="5"/>
  <c r="P48" i="5"/>
  <c r="O48" i="5"/>
  <c r="M48" i="5"/>
  <c r="K48" i="5"/>
  <c r="J48" i="5"/>
  <c r="H48" i="5"/>
  <c r="F48" i="5"/>
  <c r="F53" i="5" s="1"/>
  <c r="J10" i="5" s="1"/>
  <c r="E48" i="5"/>
  <c r="T47" i="5"/>
  <c r="H6" i="5" s="1"/>
  <c r="I6" i="5" s="1"/>
  <c r="P47" i="5"/>
  <c r="O47" i="5"/>
  <c r="M47" i="5"/>
  <c r="K47" i="5"/>
  <c r="J47" i="5"/>
  <c r="H47" i="5"/>
  <c r="F47" i="5"/>
  <c r="E47" i="5"/>
  <c r="V46" i="5"/>
  <c r="U46" i="5"/>
  <c r="S46" i="5"/>
  <c r="P46" i="5"/>
  <c r="O46" i="5"/>
  <c r="M46" i="5"/>
  <c r="K46" i="5"/>
  <c r="J46" i="5"/>
  <c r="H46" i="5"/>
  <c r="V45" i="5"/>
  <c r="U45" i="5"/>
  <c r="S45" i="5"/>
  <c r="P45" i="5"/>
  <c r="O45" i="5"/>
  <c r="M45" i="5"/>
  <c r="K45" i="5"/>
  <c r="J45" i="5"/>
  <c r="H45" i="5"/>
  <c r="V44" i="5"/>
  <c r="U44" i="5"/>
  <c r="S44" i="5"/>
  <c r="P44" i="5"/>
  <c r="O44" i="5"/>
  <c r="M44" i="5"/>
  <c r="K44" i="5"/>
  <c r="J44" i="5"/>
  <c r="H44" i="5"/>
  <c r="AL43" i="5"/>
  <c r="AL55" i="5" s="1"/>
  <c r="P43" i="5"/>
  <c r="O43" i="5"/>
  <c r="M43" i="5"/>
  <c r="K43" i="5"/>
  <c r="J43" i="5"/>
  <c r="H43" i="5"/>
  <c r="P42" i="5"/>
  <c r="O42" i="5"/>
  <c r="M42" i="5"/>
  <c r="K42" i="5"/>
  <c r="J42" i="5"/>
  <c r="H42" i="5"/>
  <c r="P41" i="5"/>
  <c r="O41" i="5"/>
  <c r="M41" i="5"/>
  <c r="K41" i="5"/>
  <c r="J41" i="5"/>
  <c r="H41" i="5"/>
  <c r="P40" i="5"/>
  <c r="O40" i="5"/>
  <c r="M40" i="5"/>
  <c r="K40" i="5"/>
  <c r="J40" i="5"/>
  <c r="H40" i="5"/>
  <c r="F40" i="5"/>
  <c r="E40" i="5"/>
  <c r="C40" i="5"/>
  <c r="P39" i="5"/>
  <c r="O39" i="5"/>
  <c r="M39" i="5"/>
  <c r="K39" i="5"/>
  <c r="J39" i="5"/>
  <c r="H39" i="5"/>
  <c r="F39" i="5"/>
  <c r="E39" i="5"/>
  <c r="C39" i="5"/>
  <c r="P38" i="5"/>
  <c r="O38" i="5"/>
  <c r="M38" i="5"/>
  <c r="K38" i="5"/>
  <c r="J38" i="5"/>
  <c r="H38" i="5"/>
  <c r="F38" i="5"/>
  <c r="E38" i="5"/>
  <c r="D38" i="5"/>
  <c r="C38" i="5" s="1"/>
  <c r="AB37" i="5"/>
  <c r="AA37" i="5"/>
  <c r="Z37" i="5"/>
  <c r="Y37" i="5"/>
  <c r="F46" i="5" s="1"/>
  <c r="X37" i="5"/>
  <c r="F45" i="5" s="1"/>
  <c r="W37" i="5"/>
  <c r="F43" i="5" s="1"/>
  <c r="V37" i="5"/>
  <c r="F44" i="5" s="1"/>
  <c r="U37" i="5"/>
  <c r="F42" i="5" s="1"/>
  <c r="T37" i="5"/>
  <c r="F41" i="5" s="1"/>
  <c r="P37" i="5"/>
  <c r="O37" i="5"/>
  <c r="M37" i="5"/>
  <c r="K37" i="5"/>
  <c r="J37" i="5"/>
  <c r="H37" i="5"/>
  <c r="F37" i="5"/>
  <c r="E37" i="5"/>
  <c r="AB36" i="5"/>
  <c r="AA36" i="5"/>
  <c r="Z36" i="5"/>
  <c r="Y36" i="5"/>
  <c r="E46" i="5" s="1"/>
  <c r="X36" i="5"/>
  <c r="E45" i="5" s="1"/>
  <c r="W36" i="5"/>
  <c r="E43" i="5" s="1"/>
  <c r="V36" i="5"/>
  <c r="E44" i="5" s="1"/>
  <c r="U36" i="5"/>
  <c r="E42" i="5" s="1"/>
  <c r="T36" i="5"/>
  <c r="E41" i="5" s="1"/>
  <c r="P36" i="5"/>
  <c r="O36" i="5"/>
  <c r="M36" i="5"/>
  <c r="K36" i="5"/>
  <c r="J36" i="5"/>
  <c r="H36" i="5"/>
  <c r="F36" i="5"/>
  <c r="E36" i="5"/>
  <c r="AC35" i="5"/>
  <c r="AB35" i="5"/>
  <c r="AA35" i="5"/>
  <c r="Z35" i="5"/>
  <c r="Y35" i="5"/>
  <c r="D46" i="5" s="1"/>
  <c r="X35" i="5"/>
  <c r="D45" i="5" s="1"/>
  <c r="W35" i="5"/>
  <c r="D43" i="5" s="1"/>
  <c r="V35" i="5"/>
  <c r="D44" i="5" s="1"/>
  <c r="U35" i="5"/>
  <c r="D42" i="5" s="1"/>
  <c r="T35" i="5"/>
  <c r="D41" i="5" s="1"/>
  <c r="D55" i="5" s="1"/>
  <c r="P35" i="5"/>
  <c r="O35" i="5"/>
  <c r="M35" i="5"/>
  <c r="K35" i="5"/>
  <c r="J35" i="5"/>
  <c r="H35" i="5"/>
  <c r="F35" i="5"/>
  <c r="E35" i="5"/>
  <c r="AC34" i="5"/>
  <c r="P34" i="5"/>
  <c r="O34" i="5"/>
  <c r="M34" i="5"/>
  <c r="K34" i="5"/>
  <c r="J34" i="5"/>
  <c r="H34" i="5"/>
  <c r="F34" i="5"/>
  <c r="E34" i="5"/>
  <c r="B34" i="5"/>
  <c r="AC33" i="5"/>
  <c r="P33" i="5"/>
  <c r="O33" i="5"/>
  <c r="M33" i="5"/>
  <c r="K33" i="5"/>
  <c r="J33" i="5"/>
  <c r="H33" i="5"/>
  <c r="F33" i="5"/>
  <c r="E33" i="5"/>
  <c r="B33" i="5"/>
  <c r="AC32" i="5"/>
  <c r="P32" i="5"/>
  <c r="O32" i="5"/>
  <c r="M32" i="5"/>
  <c r="K32" i="5"/>
  <c r="J32" i="5"/>
  <c r="H32" i="5"/>
  <c r="F32" i="5"/>
  <c r="E32" i="5"/>
  <c r="B32" i="5"/>
  <c r="AC31" i="5"/>
  <c r="P31" i="5"/>
  <c r="O31" i="5"/>
  <c r="M31" i="5"/>
  <c r="K31" i="5"/>
  <c r="J31" i="5"/>
  <c r="H31" i="5"/>
  <c r="F31" i="5"/>
  <c r="E31" i="5"/>
  <c r="B31" i="5"/>
  <c r="AC30" i="5"/>
  <c r="P30" i="5"/>
  <c r="O30" i="5"/>
  <c r="M30" i="5"/>
  <c r="K30" i="5"/>
  <c r="J30" i="5"/>
  <c r="H30" i="5"/>
  <c r="F30" i="5"/>
  <c r="E30" i="5"/>
  <c r="B30" i="5"/>
  <c r="AC29" i="5"/>
  <c r="P29" i="5"/>
  <c r="O29" i="5"/>
  <c r="M29" i="5"/>
  <c r="K29" i="5"/>
  <c r="J29" i="5"/>
  <c r="H29" i="5"/>
  <c r="F29" i="5"/>
  <c r="E29" i="5"/>
  <c r="B29" i="5"/>
  <c r="AC28" i="5"/>
  <c r="P28" i="5"/>
  <c r="O28" i="5"/>
  <c r="M28" i="5"/>
  <c r="K28" i="5"/>
  <c r="J28" i="5"/>
  <c r="H28" i="5"/>
  <c r="F28" i="5"/>
  <c r="E28" i="5"/>
  <c r="B28" i="5"/>
  <c r="AC27" i="5"/>
  <c r="P27" i="5"/>
  <c r="O27" i="5"/>
  <c r="M27" i="5"/>
  <c r="K27" i="5"/>
  <c r="J27" i="5"/>
  <c r="H27" i="5"/>
  <c r="F27" i="5"/>
  <c r="E27" i="5"/>
  <c r="B27" i="5"/>
  <c r="AC26" i="5"/>
  <c r="P26" i="5"/>
  <c r="O26" i="5"/>
  <c r="M26" i="5"/>
  <c r="K26" i="5"/>
  <c r="J26" i="5"/>
  <c r="H26" i="5"/>
  <c r="F26" i="5"/>
  <c r="E26" i="5"/>
  <c r="B26" i="5"/>
  <c r="AC25" i="5"/>
  <c r="P25" i="5"/>
  <c r="O25" i="5"/>
  <c r="M25" i="5"/>
  <c r="K25" i="5"/>
  <c r="J25" i="5"/>
  <c r="H25" i="5"/>
  <c r="F25" i="5"/>
  <c r="E25" i="5"/>
  <c r="B25" i="5"/>
  <c r="AC24" i="5"/>
  <c r="P24" i="5"/>
  <c r="O24" i="5"/>
  <c r="M24" i="5"/>
  <c r="K24" i="5"/>
  <c r="J24" i="5"/>
  <c r="H24" i="5"/>
  <c r="F24" i="5"/>
  <c r="E24" i="5"/>
  <c r="B24" i="5"/>
  <c r="AC23" i="5"/>
  <c r="P23" i="5"/>
  <c r="O23" i="5"/>
  <c r="M23" i="5"/>
  <c r="K23" i="5"/>
  <c r="J23" i="5"/>
  <c r="H23" i="5"/>
  <c r="F23" i="5"/>
  <c r="E23" i="5"/>
  <c r="B23" i="5"/>
  <c r="AC22" i="5"/>
  <c r="P22" i="5"/>
  <c r="O22" i="5"/>
  <c r="M22" i="5"/>
  <c r="K22" i="5"/>
  <c r="J22" i="5"/>
  <c r="H22" i="5"/>
  <c r="F22" i="5"/>
  <c r="E22" i="5"/>
  <c r="B22" i="5"/>
  <c r="BS21" i="5"/>
  <c r="AC21" i="5"/>
  <c r="P21" i="5"/>
  <c r="O21" i="5"/>
  <c r="M21" i="5"/>
  <c r="K21" i="5"/>
  <c r="J21" i="5"/>
  <c r="H21" i="5"/>
  <c r="F21" i="5"/>
  <c r="E21" i="5"/>
  <c r="B21" i="5"/>
  <c r="BS20" i="5"/>
  <c r="BJ20" i="5"/>
  <c r="BL23" i="5" s="1"/>
  <c r="BE20" i="5"/>
  <c r="BD20" i="5"/>
  <c r="AC20" i="5"/>
  <c r="P20" i="5"/>
  <c r="O20" i="5"/>
  <c r="M20" i="5"/>
  <c r="K20" i="5"/>
  <c r="J20" i="5"/>
  <c r="H20" i="5"/>
  <c r="F20" i="5"/>
  <c r="E20" i="5"/>
  <c r="B20" i="5"/>
  <c r="BS19" i="5"/>
  <c r="BJ19" i="5"/>
  <c r="AC19" i="5"/>
  <c r="P19" i="5"/>
  <c r="O19" i="5"/>
  <c r="M19" i="5"/>
  <c r="K19" i="5"/>
  <c r="J19" i="5"/>
  <c r="H19" i="5"/>
  <c r="F19" i="5"/>
  <c r="E19" i="5"/>
  <c r="B19" i="5"/>
  <c r="AC18" i="5"/>
  <c r="P18" i="5"/>
  <c r="O18" i="5"/>
  <c r="M18" i="5"/>
  <c r="K18" i="5"/>
  <c r="J18" i="5"/>
  <c r="H18" i="5"/>
  <c r="F18" i="5"/>
  <c r="E18" i="5"/>
  <c r="B18" i="5"/>
  <c r="AC17" i="5"/>
  <c r="P17" i="5"/>
  <c r="O17" i="5"/>
  <c r="M17" i="5"/>
  <c r="K17" i="5"/>
  <c r="J17" i="5"/>
  <c r="H17" i="5"/>
  <c r="F17" i="5"/>
  <c r="E17" i="5"/>
  <c r="B17" i="5"/>
  <c r="AC16" i="5"/>
  <c r="P16" i="5"/>
  <c r="O16" i="5"/>
  <c r="M16" i="5"/>
  <c r="K16" i="5"/>
  <c r="J16" i="5"/>
  <c r="H16" i="5"/>
  <c r="F16" i="5"/>
  <c r="E16" i="5"/>
  <c r="B16" i="5"/>
  <c r="AC15" i="5"/>
  <c r="P15" i="5"/>
  <c r="O15" i="5"/>
  <c r="M15" i="5"/>
  <c r="K15" i="5"/>
  <c r="J15" i="5"/>
  <c r="H15" i="5"/>
  <c r="F15" i="5"/>
  <c r="E15" i="5"/>
  <c r="B15" i="5"/>
  <c r="BS14" i="5"/>
  <c r="AC14" i="5"/>
  <c r="P14" i="5"/>
  <c r="O14" i="5"/>
  <c r="M14" i="5"/>
  <c r="K14" i="5"/>
  <c r="J7" i="5" s="1"/>
  <c r="J14" i="5"/>
  <c r="H14" i="5"/>
  <c r="F14" i="5"/>
  <c r="E14" i="5"/>
  <c r="B14" i="5"/>
  <c r="CD13" i="5"/>
  <c r="AC13" i="5"/>
  <c r="CF12" i="5"/>
  <c r="AC12" i="5"/>
  <c r="CF11" i="5"/>
  <c r="CD11" i="5"/>
  <c r="AC11" i="5"/>
  <c r="E11" i="5"/>
  <c r="CA10" i="5"/>
  <c r="M10" i="5"/>
  <c r="E10" i="5"/>
  <c r="CA9" i="5"/>
  <c r="M9" i="5"/>
  <c r="CA8" i="5"/>
  <c r="CA12" i="5" s="1"/>
  <c r="M8" i="5"/>
  <c r="J8" i="5"/>
  <c r="M7" i="5"/>
  <c r="H7" i="5"/>
  <c r="I7" i="5" s="1"/>
  <c r="D6" i="5"/>
  <c r="BL5" i="5"/>
  <c r="BJ5" i="5"/>
  <c r="J5" i="5"/>
  <c r="H5" i="5"/>
  <c r="I5" i="5" s="1"/>
  <c r="E5" i="5"/>
  <c r="BI4" i="5"/>
  <c r="H4" i="5"/>
  <c r="I4" i="5" s="1"/>
  <c r="BI3" i="5"/>
  <c r="A1" i="5"/>
  <c r="D7" i="5"/>
  <c r="OR3" i="5"/>
  <c r="OT96" i="5"/>
  <c r="OS75" i="5"/>
  <c r="OS3" i="5"/>
  <c r="OT33" i="5"/>
  <c r="OT135" i="5"/>
  <c r="OS143" i="5"/>
  <c r="OS228" i="5"/>
  <c r="OT125" i="5"/>
  <c r="OR68" i="5"/>
  <c r="OT10" i="5"/>
  <c r="OS49" i="5"/>
  <c r="OT209" i="5"/>
  <c r="OR198" i="5"/>
  <c r="OR17" i="5"/>
  <c r="OR204" i="5"/>
  <c r="OS133" i="5"/>
  <c r="OT183" i="5"/>
  <c r="OT151" i="5"/>
  <c r="OR184" i="5"/>
  <c r="OR132" i="5"/>
  <c r="OS104" i="5"/>
  <c r="OS88" i="5"/>
  <c r="OR77" i="5"/>
  <c r="OS212" i="5"/>
  <c r="OR147" i="5"/>
  <c r="OR225" i="5"/>
  <c r="OS220" i="5"/>
  <c r="OR134" i="5"/>
  <c r="OT244" i="5"/>
  <c r="OR19" i="5"/>
  <c r="OR36" i="5"/>
  <c r="OT16" i="5"/>
  <c r="OS81" i="5"/>
  <c r="OS39" i="5"/>
  <c r="OS262" i="5"/>
  <c r="OT202" i="5"/>
  <c r="OR163" i="5"/>
  <c r="OS202" i="5"/>
  <c r="OR5" i="5"/>
  <c r="OS208" i="5"/>
  <c r="OR101" i="5"/>
  <c r="OT49" i="5"/>
  <c r="OR74" i="5"/>
  <c r="OT256" i="5"/>
  <c r="OR232" i="5"/>
  <c r="OS150" i="5"/>
  <c r="OR220" i="5"/>
  <c r="OT99" i="5"/>
  <c r="OR244" i="5"/>
  <c r="OR157" i="5"/>
  <c r="OT51" i="5"/>
  <c r="OR48" i="5"/>
  <c r="OR153" i="5"/>
  <c r="OS237" i="5"/>
  <c r="OT230" i="5"/>
  <c r="OS254" i="5"/>
  <c r="OS153" i="5"/>
  <c r="OT210" i="5"/>
  <c r="OT131" i="5"/>
  <c r="OR42" i="5"/>
  <c r="OT137" i="5"/>
  <c r="OR18" i="5"/>
  <c r="OR107" i="5"/>
  <c r="OT9" i="5"/>
  <c r="OR195" i="5"/>
  <c r="OT39" i="5"/>
  <c r="OT213" i="5"/>
  <c r="OS147" i="5"/>
  <c r="OS140" i="5"/>
  <c r="OR52" i="5"/>
  <c r="OT4" i="5"/>
  <c r="OT27" i="5"/>
  <c r="OS204" i="5"/>
  <c r="OS91" i="5"/>
  <c r="OS139" i="5"/>
  <c r="OT133" i="5"/>
  <c r="OS179" i="5"/>
  <c r="OT8" i="5"/>
  <c r="OT208" i="5"/>
  <c r="OR145" i="5"/>
  <c r="OS19" i="5"/>
  <c r="OS10" i="5"/>
  <c r="OR205" i="5"/>
  <c r="OR53" i="5"/>
  <c r="OT17" i="5"/>
  <c r="OS37" i="5"/>
  <c r="OS149" i="5"/>
  <c r="OS15" i="5"/>
  <c r="OS232" i="5"/>
  <c r="OR14" i="5"/>
  <c r="OT103" i="5"/>
  <c r="OR114" i="5"/>
  <c r="OR4" i="5"/>
  <c r="OT36" i="5"/>
  <c r="OR261" i="5"/>
  <c r="OT171" i="5"/>
  <c r="OT193" i="5"/>
  <c r="OT23" i="5"/>
  <c r="OT225" i="5"/>
  <c r="OS138" i="5"/>
  <c r="OR119" i="5"/>
  <c r="OT143" i="5"/>
  <c r="OT231" i="5"/>
  <c r="OS187" i="5"/>
  <c r="OT224" i="5"/>
  <c r="OS215" i="5"/>
  <c r="OT29" i="5"/>
  <c r="OR169" i="5"/>
  <c r="OS21" i="5"/>
  <c r="OR76" i="5"/>
  <c r="OR92" i="5"/>
  <c r="OS78" i="5"/>
  <c r="D36" i="5"/>
  <c r="OS176" i="5"/>
  <c r="OS97" i="5"/>
  <c r="OS159" i="5"/>
  <c r="OS42" i="5"/>
  <c r="OS242" i="5"/>
  <c r="OR35" i="5"/>
  <c r="OS63" i="5"/>
  <c r="OS264" i="5"/>
  <c r="OT53" i="5"/>
  <c r="OT178" i="5"/>
  <c r="OT11" i="5"/>
  <c r="OS197" i="5"/>
  <c r="OS184" i="5"/>
  <c r="OR97" i="5"/>
  <c r="OR224" i="5"/>
  <c r="OR182" i="5"/>
  <c r="OS258" i="5"/>
  <c r="OR180" i="5"/>
  <c r="OS24" i="5"/>
  <c r="OS7" i="5"/>
  <c r="OR188" i="5"/>
  <c r="OR186" i="5"/>
  <c r="OR193" i="5"/>
  <c r="OT3" i="5"/>
  <c r="OT106" i="5"/>
  <c r="OT15" i="5"/>
  <c r="OR199" i="5"/>
  <c r="OS233" i="5"/>
  <c r="OR177" i="5"/>
  <c r="OT163" i="5"/>
  <c r="OS103" i="5"/>
  <c r="OR9" i="5"/>
  <c r="OR201" i="5"/>
  <c r="OR6" i="5"/>
  <c r="OR164" i="5"/>
  <c r="OS6" i="5"/>
  <c r="OR258" i="5"/>
  <c r="OS12" i="5"/>
  <c r="OR25" i="5"/>
  <c r="OR166" i="5"/>
  <c r="OS52" i="5"/>
  <c r="OS31" i="5"/>
  <c r="OS193" i="5"/>
  <c r="OR98" i="5"/>
  <c r="OR16" i="5"/>
  <c r="OT255" i="5"/>
  <c r="OS155" i="5"/>
  <c r="OT91" i="5"/>
  <c r="OT204" i="5"/>
  <c r="OS99" i="5"/>
  <c r="OS160" i="5"/>
  <c r="OT14" i="5"/>
  <c r="OT173" i="5"/>
  <c r="OR242" i="5"/>
  <c r="OR133" i="5"/>
  <c r="OS175" i="5"/>
  <c r="OR105" i="5"/>
  <c r="OS145" i="5"/>
  <c r="OR238" i="5"/>
  <c r="OS35" i="5"/>
  <c r="OT254" i="5"/>
  <c r="OT31" i="5"/>
  <c r="OS199" i="5"/>
  <c r="OT197" i="5"/>
  <c r="OR8" i="5"/>
  <c r="OT239" i="5"/>
  <c r="OS23" i="5"/>
  <c r="OT128" i="5"/>
  <c r="OT156" i="5"/>
  <c r="OS93" i="5"/>
  <c r="OT119" i="5"/>
  <c r="OR191" i="5"/>
  <c r="OS259" i="5"/>
  <c r="OS213" i="5"/>
  <c r="OS13" i="5"/>
  <c r="OT191" i="5"/>
  <c r="OR78" i="5"/>
  <c r="OR209" i="5"/>
  <c r="OR259" i="5"/>
  <c r="OT22" i="5"/>
  <c r="OS89" i="5"/>
  <c r="OS44" i="5"/>
  <c r="OR29" i="5"/>
  <c r="OS209" i="5"/>
  <c r="OR172" i="5"/>
  <c r="OS222" i="5"/>
  <c r="OT136" i="5"/>
  <c r="OS50" i="5"/>
  <c r="OS18" i="5"/>
  <c r="OT139" i="5"/>
  <c r="OR129" i="5"/>
  <c r="OR63" i="5"/>
  <c r="OT236" i="5"/>
  <c r="OR113" i="5"/>
  <c r="OR125" i="5"/>
  <c r="OR230" i="5"/>
  <c r="OR194" i="5"/>
  <c r="OT159" i="5"/>
  <c r="OS74" i="5"/>
  <c r="OR115" i="5"/>
  <c r="OS95" i="5"/>
  <c r="OR137" i="5"/>
  <c r="OS26" i="5"/>
  <c r="OR237" i="5"/>
  <c r="OS158" i="5"/>
  <c r="OT166" i="5"/>
  <c r="OT205" i="5"/>
  <c r="OS27" i="5"/>
  <c r="OT94" i="5"/>
  <c r="OS5" i="5"/>
  <c r="OR158" i="5"/>
  <c r="OR136" i="5"/>
  <c r="OR156" i="5"/>
  <c r="OS106" i="5"/>
  <c r="OR226" i="5"/>
  <c r="OT200" i="5"/>
  <c r="OS203" i="5"/>
  <c r="OT126" i="5"/>
  <c r="OT187" i="5"/>
  <c r="OS181" i="5"/>
  <c r="OS244" i="5"/>
  <c r="OR181" i="5"/>
  <c r="OR7" i="5"/>
  <c r="OS235" i="5"/>
  <c r="OR249" i="5"/>
  <c r="OT262" i="5"/>
  <c r="OR256" i="5"/>
  <c r="OR28" i="5"/>
  <c r="OS223" i="5"/>
  <c r="OR112" i="5"/>
  <c r="OR210" i="5"/>
  <c r="OS225" i="5"/>
  <c r="OR135" i="5"/>
  <c r="OS257" i="5"/>
  <c r="OS170" i="5"/>
  <c r="OS169" i="5"/>
  <c r="OS136" i="5"/>
  <c r="OT90" i="5"/>
  <c r="OS252" i="5"/>
  <c r="OT170" i="5"/>
  <c r="OS129" i="5"/>
  <c r="OS165" i="5"/>
  <c r="OS137" i="5"/>
  <c r="OS238" i="5"/>
  <c r="OR37" i="5"/>
  <c r="OS178" i="5"/>
  <c r="OT222" i="5"/>
  <c r="OR69" i="5"/>
  <c r="OS168" i="5"/>
  <c r="OT13" i="5"/>
  <c r="OS263" i="5"/>
  <c r="OR24" i="5"/>
  <c r="OS217" i="5"/>
  <c r="OS79" i="5"/>
  <c r="OR223" i="5"/>
  <c r="OR100" i="5"/>
  <c r="OR263" i="5"/>
  <c r="OT26" i="5"/>
  <c r="OS58" i="5"/>
  <c r="OT145" i="5"/>
  <c r="OS240" i="5"/>
  <c r="OS248" i="5"/>
  <c r="OR99" i="5"/>
  <c r="OR260" i="5"/>
  <c r="OT38" i="5"/>
  <c r="OS146" i="5"/>
  <c r="OS192" i="5"/>
  <c r="OT120" i="5"/>
  <c r="OT223" i="5"/>
  <c r="OT250" i="5"/>
  <c r="OR93" i="5"/>
  <c r="OS4" i="5"/>
  <c r="OT18" i="5"/>
  <c r="OT100" i="5"/>
  <c r="OR160" i="5"/>
  <c r="OT130" i="5"/>
  <c r="OS22" i="5"/>
  <c r="OT92" i="5"/>
  <c r="OT182" i="5"/>
  <c r="OT181" i="5"/>
  <c r="OR102" i="5"/>
  <c r="OS182" i="5"/>
  <c r="OS183" i="5"/>
  <c r="OT167" i="5"/>
  <c r="OT169" i="5"/>
  <c r="OR143" i="5"/>
  <c r="OR214" i="5"/>
  <c r="OT177" i="5"/>
  <c r="OR162" i="5"/>
  <c r="OT129" i="5"/>
  <c r="OR253" i="5"/>
  <c r="OR165" i="5"/>
  <c r="OR222" i="5"/>
  <c r="OT233" i="5"/>
  <c r="OS172" i="5"/>
  <c r="OT248" i="5"/>
  <c r="OS48" i="5"/>
  <c r="OR39" i="5"/>
  <c r="OS221" i="5"/>
  <c r="OR183" i="5"/>
  <c r="OS251" i="5"/>
  <c r="OR56" i="5"/>
  <c r="OT245" i="5"/>
  <c r="OS236" i="5"/>
  <c r="OR38" i="5"/>
  <c r="OT175" i="5"/>
  <c r="OS164" i="5"/>
  <c r="OS246" i="5"/>
  <c r="OT214" i="5"/>
  <c r="OT52" i="5"/>
  <c r="OR120" i="5"/>
  <c r="OR122" i="5"/>
  <c r="OR231" i="5"/>
  <c r="OT138" i="5"/>
  <c r="OS68" i="5"/>
  <c r="OT217" i="5"/>
  <c r="OT132" i="5"/>
  <c r="OT260" i="5"/>
  <c r="OR196" i="5"/>
  <c r="OR144" i="5"/>
  <c r="OS198" i="5"/>
  <c r="OR211" i="5"/>
  <c r="OS130" i="5"/>
  <c r="OT28" i="5"/>
  <c r="OT142" i="5"/>
  <c r="OS152" i="5"/>
  <c r="OS127" i="5"/>
  <c r="OS210" i="5"/>
  <c r="OS16" i="5"/>
  <c r="OS56" i="5"/>
  <c r="OT40" i="5"/>
  <c r="OS131" i="5"/>
  <c r="OR27" i="5"/>
  <c r="OS205" i="5"/>
  <c r="OR154" i="5"/>
  <c r="OS247" i="5"/>
  <c r="OR103" i="5"/>
  <c r="OT157" i="5"/>
  <c r="OT140" i="5"/>
  <c r="OS190" i="5"/>
  <c r="OR130" i="5"/>
  <c r="OR208" i="5"/>
  <c r="OR227" i="5"/>
  <c r="OR202" i="5"/>
  <c r="OT251" i="5"/>
  <c r="OT164" i="5"/>
  <c r="OS243" i="5"/>
  <c r="OS102" i="5"/>
  <c r="OR66" i="5"/>
  <c r="OR152" i="5"/>
  <c r="OT42" i="5"/>
  <c r="OR247" i="5"/>
  <c r="OT55" i="5"/>
  <c r="OS28" i="5"/>
  <c r="OT148" i="5"/>
  <c r="OT207" i="5"/>
  <c r="OT179" i="5"/>
  <c r="OT259" i="5"/>
  <c r="OT252" i="5"/>
  <c r="OS260" i="5"/>
  <c r="OT162" i="5"/>
  <c r="OS141" i="5"/>
  <c r="OS194" i="5"/>
  <c r="OS229" i="5"/>
  <c r="OS241" i="5"/>
  <c r="OT189" i="5"/>
  <c r="OT235" i="5"/>
  <c r="OR54" i="5"/>
  <c r="OS173" i="5"/>
  <c r="OT2" i="5"/>
  <c r="OS65" i="5"/>
  <c r="OT192" i="5"/>
  <c r="OS148" i="5"/>
  <c r="OS177" i="5"/>
  <c r="OS180" i="5"/>
  <c r="OS167" i="5"/>
  <c r="OR90" i="5"/>
  <c r="OR121" i="5"/>
  <c r="OT184" i="5"/>
  <c r="OR203" i="5"/>
  <c r="OR142" i="5"/>
  <c r="OR159" i="5"/>
  <c r="OT155" i="5"/>
  <c r="OT50" i="5"/>
  <c r="OR140" i="5"/>
  <c r="OT194" i="5"/>
  <c r="OR190" i="5"/>
  <c r="OS76" i="5"/>
  <c r="OR75" i="5"/>
  <c r="OR245" i="5"/>
  <c r="OR26" i="5"/>
  <c r="OS105" i="5"/>
  <c r="OT93" i="5"/>
  <c r="OS51" i="5"/>
  <c r="OS66" i="5"/>
  <c r="OR236" i="5"/>
  <c r="OT212" i="5"/>
  <c r="OS34" i="5"/>
  <c r="OR246" i="5"/>
  <c r="OR213" i="5"/>
  <c r="OR155" i="5"/>
  <c r="OR167" i="5"/>
  <c r="OT35" i="5"/>
  <c r="OT20" i="5"/>
  <c r="OS207" i="5"/>
  <c r="OT242" i="5"/>
  <c r="OT232" i="5"/>
  <c r="OR21" i="5"/>
  <c r="OS126" i="5"/>
  <c r="OT196" i="5"/>
  <c r="OS17" i="5"/>
  <c r="OR94" i="5"/>
  <c r="OT226" i="5"/>
  <c r="OS125" i="5"/>
  <c r="OT195" i="5"/>
  <c r="OS161" i="5"/>
  <c r="OS54" i="5"/>
  <c r="OR229" i="5"/>
  <c r="OT24" i="5"/>
  <c r="OT89" i="5"/>
  <c r="OR88" i="5"/>
  <c r="OS211" i="5"/>
  <c r="OR248" i="5"/>
  <c r="OT258" i="5"/>
  <c r="OT240" i="5"/>
  <c r="OS144" i="5"/>
  <c r="OT237" i="5"/>
  <c r="OR185" i="5"/>
  <c r="OT127" i="5"/>
  <c r="OS185" i="5"/>
  <c r="OT152" i="5"/>
  <c r="OR173" i="5"/>
  <c r="OT215" i="5"/>
  <c r="OR49" i="5"/>
  <c r="OR228" i="5"/>
  <c r="OT95" i="5"/>
  <c r="OT257" i="5"/>
  <c r="OS2" i="5"/>
  <c r="OR241" i="5"/>
  <c r="OS25" i="5"/>
  <c r="OS14" i="5"/>
  <c r="OS224" i="5"/>
  <c r="OR106" i="5"/>
  <c r="OS174" i="5"/>
  <c r="OT219" i="5"/>
  <c r="OT160" i="5"/>
  <c r="OS227" i="5"/>
  <c r="OS201" i="5"/>
  <c r="OS200" i="5"/>
  <c r="OT206" i="5"/>
  <c r="OT101" i="5"/>
  <c r="OT243" i="5"/>
  <c r="OT249" i="5"/>
  <c r="OR250" i="5"/>
  <c r="OT241" i="5"/>
  <c r="OS151" i="5"/>
  <c r="OT98" i="5"/>
  <c r="OS186" i="5"/>
  <c r="OS196" i="5"/>
  <c r="OR218" i="5"/>
  <c r="OR80" i="5"/>
  <c r="OS67" i="5"/>
  <c r="OR139" i="5"/>
  <c r="OR235" i="5"/>
  <c r="OR141" i="5"/>
  <c r="OS189" i="5"/>
  <c r="OT263" i="5"/>
  <c r="OR2" i="5"/>
  <c r="OS245" i="5"/>
  <c r="OS195" i="5"/>
  <c r="OR174" i="5"/>
  <c r="OT54" i="5"/>
  <c r="OS234" i="5"/>
  <c r="OT253" i="5"/>
  <c r="OT5" i="5"/>
  <c r="OR15" i="5"/>
  <c r="OT121" i="5"/>
  <c r="OT48" i="5"/>
  <c r="OT153" i="5"/>
  <c r="OT227" i="5"/>
  <c r="OR212" i="5"/>
  <c r="OT229" i="5"/>
  <c r="OS239" i="5"/>
  <c r="OT201" i="5"/>
  <c r="OR239" i="5"/>
  <c r="OS100" i="5"/>
  <c r="OR32" i="5"/>
  <c r="OR257" i="5"/>
  <c r="OT7" i="5"/>
  <c r="OT203" i="5"/>
  <c r="OS255" i="5"/>
  <c r="OT176" i="5"/>
  <c r="OT264" i="5"/>
  <c r="OT190" i="5"/>
  <c r="OT146" i="5"/>
  <c r="OS92" i="5"/>
  <c r="OS216" i="5"/>
  <c r="OR207" i="5"/>
  <c r="OS82" i="5"/>
  <c r="OT261" i="5"/>
  <c r="OS261" i="5"/>
  <c r="OR179" i="5"/>
  <c r="OT186" i="5"/>
  <c r="OS120" i="5"/>
  <c r="OR255" i="5"/>
  <c r="OT134" i="5"/>
  <c r="OR200" i="5"/>
  <c r="OR55" i="5"/>
  <c r="OR192" i="5"/>
  <c r="OT122" i="5"/>
  <c r="OR23" i="5"/>
  <c r="OT32" i="5"/>
  <c r="OR138" i="5"/>
  <c r="OR150" i="5"/>
  <c r="OR171" i="5"/>
  <c r="OS77" i="5"/>
  <c r="OS253" i="5"/>
  <c r="OR161" i="5"/>
  <c r="OR10" i="5"/>
  <c r="OT154" i="5"/>
  <c r="OS101" i="5"/>
  <c r="OR82" i="5"/>
  <c r="OR168" i="5"/>
  <c r="OS171" i="5"/>
  <c r="OT104" i="5"/>
  <c r="OS55" i="5"/>
  <c r="OR73" i="5"/>
  <c r="OS214" i="5"/>
  <c r="OR216" i="5"/>
  <c r="OS249" i="5"/>
  <c r="OT211" i="5"/>
  <c r="OT165" i="5"/>
  <c r="OT141" i="5"/>
  <c r="OT105" i="5"/>
  <c r="OR252" i="5"/>
  <c r="OT144" i="5"/>
  <c r="OT34" i="5"/>
  <c r="OT228" i="5"/>
  <c r="OS29" i="5"/>
  <c r="OS36" i="5"/>
  <c r="OT218" i="5"/>
  <c r="OT21" i="5"/>
  <c r="OT150" i="5"/>
  <c r="OR34" i="5"/>
  <c r="OS64" i="5"/>
  <c r="OS94" i="5"/>
  <c r="OR104" i="5"/>
  <c r="OT174" i="5"/>
  <c r="OS128" i="5"/>
  <c r="OT88" i="5"/>
  <c r="OR126" i="5"/>
  <c r="OR40" i="5"/>
  <c r="OS119" i="5"/>
  <c r="OS73" i="5"/>
  <c r="OR13" i="5"/>
  <c r="OS80" i="5"/>
  <c r="OS135" i="5"/>
  <c r="OR41" i="5"/>
  <c r="OT30" i="5"/>
  <c r="OR79" i="5"/>
  <c r="OS11" i="5"/>
  <c r="OS96" i="5"/>
  <c r="OT238" i="5"/>
  <c r="OS230" i="5"/>
  <c r="OR89" i="5"/>
  <c r="OR175" i="5"/>
  <c r="OT82" i="5"/>
  <c r="OR221" i="5"/>
  <c r="OS226" i="5"/>
  <c r="OT180" i="5"/>
  <c r="OT37" i="5"/>
  <c r="OS166" i="5"/>
  <c r="OR264" i="5"/>
  <c r="OS8" i="5"/>
  <c r="OS9" i="5"/>
  <c r="P6" i="5"/>
  <c r="OT188" i="5"/>
  <c r="OS162" i="5"/>
  <c r="OS142" i="5"/>
  <c r="OT247" i="5"/>
  <c r="OT102" i="5"/>
  <c r="OT12" i="5"/>
  <c r="OS156" i="5"/>
  <c r="OT220" i="5"/>
  <c r="OT158" i="5"/>
  <c r="OT246" i="5"/>
  <c r="OR219" i="5"/>
  <c r="OS206" i="5"/>
  <c r="OR234" i="5"/>
  <c r="OR151" i="5"/>
  <c r="OR233" i="5"/>
  <c r="OS122" i="5"/>
  <c r="OS30" i="5"/>
  <c r="OT107" i="5"/>
  <c r="OS132" i="5"/>
  <c r="OT149" i="5"/>
  <c r="OS256" i="5"/>
  <c r="OR64" i="5"/>
  <c r="OR176" i="5"/>
  <c r="OS38" i="5"/>
  <c r="OR81" i="5"/>
  <c r="OT234" i="5"/>
  <c r="OR91" i="5"/>
  <c r="OR65" i="5"/>
  <c r="OR206" i="5"/>
  <c r="OS154" i="5"/>
  <c r="OT25" i="5"/>
  <c r="OR187" i="5"/>
  <c r="OR20" i="5"/>
  <c r="OS218" i="5"/>
  <c r="OR197" i="5"/>
  <c r="OS188" i="5"/>
  <c r="OR128" i="5"/>
  <c r="OS219" i="5"/>
  <c r="OR22" i="5"/>
  <c r="OS191" i="5"/>
  <c r="OS157" i="5"/>
  <c r="OR178" i="5"/>
  <c r="OS107" i="5"/>
  <c r="OR148" i="5"/>
  <c r="OS134" i="5"/>
  <c r="OS90" i="5"/>
  <c r="OT168" i="5"/>
  <c r="OT19" i="5"/>
  <c r="OR215" i="5"/>
  <c r="OS57" i="5"/>
  <c r="OT216" i="5"/>
  <c r="OS33" i="5"/>
  <c r="OS231" i="5"/>
  <c r="OS121" i="5"/>
  <c r="OS250" i="5"/>
  <c r="OS53" i="5"/>
  <c r="OT161" i="5"/>
  <c r="OS32" i="5"/>
  <c r="OS98" i="5"/>
  <c r="OR11" i="5"/>
  <c r="OT56" i="5"/>
  <c r="OR131" i="5"/>
  <c r="OS163" i="5"/>
  <c r="OR146" i="5"/>
  <c r="OR12" i="5"/>
  <c r="OR240" i="5"/>
  <c r="OT97" i="5"/>
  <c r="OR217" i="5"/>
  <c r="OR149" i="5"/>
  <c r="OT172" i="5"/>
  <c r="OR67" i="5"/>
  <c r="OR51" i="5"/>
  <c r="OR262" i="5"/>
  <c r="OS43" i="5"/>
  <c r="OT185" i="5"/>
  <c r="OS40" i="5"/>
  <c r="OT6" i="5"/>
  <c r="OR33" i="5"/>
  <c r="OT198" i="5"/>
  <c r="OR170" i="5"/>
  <c r="OT147" i="5"/>
  <c r="OT199" i="5"/>
  <c r="OT221" i="5"/>
  <c r="OR189" i="5"/>
  <c r="OR243" i="5"/>
  <c r="OS69" i="5"/>
  <c r="OS20" i="5"/>
  <c r="OR127" i="5"/>
  <c r="OR254" i="5"/>
  <c r="OR251" i="5"/>
  <c r="U47" i="5" l="1"/>
  <c r="E55" i="5"/>
  <c r="V47" i="5"/>
  <c r="J6" i="5" s="1"/>
  <c r="J4" i="5"/>
  <c r="J9" i="5" s="1"/>
  <c r="J11" i="5" s="1"/>
  <c r="BD10" i="5"/>
  <c r="D8" i="5"/>
  <c r="BF9" i="5"/>
  <c r="BH8" i="5"/>
  <c r="BC18" i="5"/>
  <c r="BL8" i="5"/>
  <c r="BF10" i="5"/>
  <c r="BH9" i="5"/>
  <c r="BC19" i="5"/>
  <c r="BL9" i="5"/>
  <c r="BA9" i="5"/>
  <c r="BH10" i="5"/>
  <c r="BL10" i="5"/>
  <c r="C36" i="5"/>
  <c r="BG9" i="5"/>
  <c r="BA18" i="5"/>
  <c r="BK8" i="5"/>
  <c r="BF8" i="5"/>
  <c r="BB19" i="5"/>
  <c r="BB8" i="5"/>
  <c r="BC8" i="5"/>
  <c r="P7" i="5"/>
  <c r="O7" i="5"/>
  <c r="BG10" i="5"/>
  <c r="BA19" i="5"/>
  <c r="BK9" i="5"/>
  <c r="BE10" i="5"/>
  <c r="BC17" i="5"/>
  <c r="BJ10" i="5"/>
  <c r="BU10" i="5"/>
  <c r="BA8" i="5"/>
  <c r="BA10" i="5"/>
  <c r="BG8" i="5"/>
  <c r="BA17" i="5"/>
  <c r="BB9" i="5"/>
  <c r="BC9" i="5"/>
  <c r="BD8" i="5"/>
  <c r="BE8" i="5"/>
  <c r="BB17" i="5"/>
  <c r="BJ8" i="5"/>
  <c r="BK10" i="5"/>
  <c r="BU8" i="5"/>
  <c r="BB10" i="5"/>
  <c r="BC10" i="5"/>
  <c r="BD9" i="5"/>
  <c r="BE9" i="5"/>
  <c r="BB18" i="5"/>
  <c r="BJ9" i="5"/>
  <c r="BU9" i="5"/>
  <c r="BZ8" i="5"/>
  <c r="BZ9" i="5"/>
  <c r="BZ11" i="5" s="1"/>
  <c r="BZ10" i="5"/>
  <c r="BW8" i="5"/>
  <c r="BX8" i="5"/>
  <c r="BW9" i="5"/>
  <c r="BW11" i="5" s="1"/>
  <c r="BX9" i="5"/>
  <c r="BX11" i="5" s="1"/>
  <c r="BV8" i="5"/>
  <c r="BW10" i="5"/>
  <c r="BX10" i="5"/>
  <c r="BY8" i="5"/>
  <c r="BV9" i="5"/>
  <c r="BV11" i="5" s="1"/>
  <c r="BY9" i="5"/>
  <c r="BY11" i="5" s="1"/>
  <c r="BV10" i="5"/>
  <c r="BY10" i="5"/>
  <c r="CB10" i="5"/>
  <c r="BD35" i="5"/>
  <c r="BG37" i="5"/>
  <c r="BI36" i="5"/>
  <c r="BJ36" i="5"/>
  <c r="BC43" i="5"/>
  <c r="BB45" i="5"/>
  <c r="BO37" i="5"/>
  <c r="CJ18" i="5"/>
  <c r="DZ17" i="5"/>
  <c r="FW19" i="5"/>
  <c r="DW18" i="5"/>
  <c r="DW20" i="5" s="1"/>
  <c r="ET17" i="5"/>
  <c r="EA19" i="5"/>
  <c r="FO18" i="5"/>
  <c r="FO20" i="5" s="1"/>
  <c r="FG17" i="5"/>
  <c r="FV19" i="5"/>
  <c r="DH18" i="5"/>
  <c r="DV17" i="5"/>
  <c r="CU19" i="5"/>
  <c r="FK18" i="5"/>
  <c r="FK20" i="5" s="1"/>
  <c r="EY17" i="5"/>
  <c r="BF28" i="5"/>
  <c r="FB18" i="5"/>
  <c r="GC17" i="5"/>
  <c r="BA28" i="5"/>
  <c r="DD18" i="5"/>
  <c r="CC17" i="5"/>
  <c r="DN19" i="5"/>
  <c r="CP18" i="5"/>
  <c r="CP20" i="5" s="1"/>
  <c r="FD17" i="5"/>
  <c r="GA19" i="5"/>
  <c r="FL18" i="5"/>
  <c r="FL20" i="5" s="1"/>
  <c r="CM17" i="5"/>
  <c r="DS19" i="5"/>
  <c r="FN18" i="5"/>
  <c r="FN20" i="5" s="1"/>
  <c r="EC17" i="5"/>
  <c r="FX19" i="5"/>
  <c r="CK18" i="5"/>
  <c r="FY17" i="5"/>
  <c r="BN28" i="5"/>
  <c r="FR18" i="5"/>
  <c r="FR20" i="5" s="1"/>
  <c r="CG17" i="5"/>
  <c r="DQ19" i="5"/>
  <c r="BJ27" i="5"/>
  <c r="CH17" i="5"/>
  <c r="DC19" i="5"/>
  <c r="DL18" i="5"/>
  <c r="BV17" i="5"/>
  <c r="FE19" i="5"/>
  <c r="BK27" i="5"/>
  <c r="CN17" i="5"/>
  <c r="BY19" i="5"/>
  <c r="BH27" i="5"/>
  <c r="CZ17" i="5"/>
  <c r="CR19" i="5"/>
  <c r="EX18" i="5"/>
  <c r="EX20" i="5" s="1"/>
  <c r="GH17" i="5"/>
  <c r="GJ19" i="5"/>
  <c r="GM18" i="5"/>
  <c r="BB36" i="5"/>
  <c r="BD36" i="5"/>
  <c r="BI37" i="5"/>
  <c r="BJ37" i="5"/>
  <c r="BC44" i="5"/>
  <c r="BD43" i="5"/>
  <c r="BN35" i="5"/>
  <c r="CJ19" i="5"/>
  <c r="DZ18" i="5"/>
  <c r="EK17" i="5"/>
  <c r="DW19" i="5"/>
  <c r="ET18" i="5"/>
  <c r="EI17" i="5"/>
  <c r="FO19" i="5"/>
  <c r="FG18" i="5"/>
  <c r="EH17" i="5"/>
  <c r="DH19" i="5"/>
  <c r="DV18" i="5"/>
  <c r="DV20" i="5" s="1"/>
  <c r="EO17" i="5"/>
  <c r="FK19" i="5"/>
  <c r="EY18" i="5"/>
  <c r="EY20" i="5" s="1"/>
  <c r="CE17" i="5"/>
  <c r="FB19" i="5"/>
  <c r="GC18" i="5"/>
  <c r="GC20" i="5" s="1"/>
  <c r="FC17" i="5"/>
  <c r="DD19" i="5"/>
  <c r="CC18" i="5"/>
  <c r="CI17" i="5"/>
  <c r="CP19" i="5"/>
  <c r="FD18" i="5"/>
  <c r="FD20" i="5" s="1"/>
  <c r="BD26" i="5"/>
  <c r="FL19" i="5"/>
  <c r="CM18" i="5"/>
  <c r="FM17" i="5"/>
  <c r="FN19" i="5"/>
  <c r="EC18" i="5"/>
  <c r="EC20" i="5" s="1"/>
  <c r="DO17" i="5"/>
  <c r="CK19" i="5"/>
  <c r="FY18" i="5"/>
  <c r="FY20" i="5" s="1"/>
  <c r="DB17" i="5"/>
  <c r="FR19" i="5"/>
  <c r="CG18" i="5"/>
  <c r="GB17" i="5"/>
  <c r="BJ28" i="5"/>
  <c r="CH18" i="5"/>
  <c r="FZ17" i="5"/>
  <c r="DL19" i="5"/>
  <c r="BV18" i="5"/>
  <c r="DY17" i="5"/>
  <c r="BK28" i="5"/>
  <c r="CN18" i="5"/>
  <c r="CY17" i="5"/>
  <c r="BH28" i="5"/>
  <c r="CZ18" i="5"/>
  <c r="ER17" i="5"/>
  <c r="EX19" i="5"/>
  <c r="GH18" i="5"/>
  <c r="GK17" i="5"/>
  <c r="GM19" i="5"/>
  <c r="BB37" i="5"/>
  <c r="BE35" i="5"/>
  <c r="BD37" i="5"/>
  <c r="BC45" i="5"/>
  <c r="BD44" i="5"/>
  <c r="BN36" i="5"/>
  <c r="CO17" i="5"/>
  <c r="DZ19" i="5"/>
  <c r="EK18" i="5"/>
  <c r="EK20" i="5" s="1"/>
  <c r="FS17" i="5"/>
  <c r="ET19" i="5"/>
  <c r="EI18" i="5"/>
  <c r="EI20" i="5" s="1"/>
  <c r="EU17" i="5"/>
  <c r="FG19" i="5"/>
  <c r="EH18" i="5"/>
  <c r="EH20" i="5" s="1"/>
  <c r="DI17" i="5"/>
  <c r="DV19" i="5"/>
  <c r="EO18" i="5"/>
  <c r="EO20" i="5" s="1"/>
  <c r="BX17" i="5"/>
  <c r="EY19" i="5"/>
  <c r="CE18" i="5"/>
  <c r="EB17" i="5"/>
  <c r="GC19" i="5"/>
  <c r="FC18" i="5"/>
  <c r="FC20" i="5" s="1"/>
  <c r="CB17" i="5"/>
  <c r="CC19" i="5"/>
  <c r="CI18" i="5"/>
  <c r="DJ17" i="5"/>
  <c r="FD19" i="5"/>
  <c r="BD27" i="5"/>
  <c r="CW17" i="5"/>
  <c r="CM19" i="5"/>
  <c r="FM18" i="5"/>
  <c r="FM20" i="5" s="1"/>
  <c r="DK17" i="5"/>
  <c r="EC19" i="5"/>
  <c r="DO18" i="5"/>
  <c r="DO20" i="5" s="1"/>
  <c r="DA17" i="5"/>
  <c r="FY19" i="5"/>
  <c r="DB18" i="5"/>
  <c r="DB20" i="5" s="1"/>
  <c r="BW17" i="5"/>
  <c r="CG19" i="5"/>
  <c r="GB18" i="5"/>
  <c r="GB20" i="5" s="1"/>
  <c r="EV17" i="5"/>
  <c r="CH19" i="5"/>
  <c r="FZ18" i="5"/>
  <c r="CQ17" i="5"/>
  <c r="BV19" i="5"/>
  <c r="DY18" i="5"/>
  <c r="EF17" i="5"/>
  <c r="CN19" i="5"/>
  <c r="CY18" i="5"/>
  <c r="DF17" i="5"/>
  <c r="CZ19" i="5"/>
  <c r="ER18" i="5"/>
  <c r="ER20" i="5" s="1"/>
  <c r="GF17" i="5"/>
  <c r="GH19" i="5"/>
  <c r="GK18" i="5"/>
  <c r="GN17" i="5"/>
  <c r="BE36" i="5"/>
  <c r="BF35" i="5"/>
  <c r="BH35" i="5"/>
  <c r="BD45" i="5"/>
  <c r="BP35" i="5"/>
  <c r="BN37" i="5"/>
  <c r="CO18" i="5"/>
  <c r="DG17" i="5"/>
  <c r="EK19" i="5"/>
  <c r="FS18" i="5"/>
  <c r="FS20" i="5" s="1"/>
  <c r="EL17" i="5"/>
  <c r="EI19" i="5"/>
  <c r="EU18" i="5"/>
  <c r="EM17" i="5"/>
  <c r="EH19" i="5"/>
  <c r="DI18" i="5"/>
  <c r="DI20" i="5" s="1"/>
  <c r="BU17" i="5"/>
  <c r="EO19" i="5"/>
  <c r="BX18" i="5"/>
  <c r="CT17" i="5"/>
  <c r="CE19" i="5"/>
  <c r="EB18" i="5"/>
  <c r="EB20" i="5" s="1"/>
  <c r="BI26" i="5"/>
  <c r="FC19" i="5"/>
  <c r="CB18" i="5"/>
  <c r="FQ17" i="5"/>
  <c r="CI19" i="5"/>
  <c r="DJ18" i="5"/>
  <c r="EP17" i="5"/>
  <c r="BD28" i="5"/>
  <c r="CW18" i="5"/>
  <c r="CW20" i="5" s="1"/>
  <c r="BE26" i="5"/>
  <c r="FM19" i="5"/>
  <c r="DK18" i="5"/>
  <c r="DK20" i="5" s="1"/>
  <c r="DX17" i="5"/>
  <c r="DO19" i="5"/>
  <c r="DA18" i="5"/>
  <c r="DA20" i="5" s="1"/>
  <c r="CX17" i="5"/>
  <c r="DB19" i="5"/>
  <c r="BW18" i="5"/>
  <c r="FT17" i="5"/>
  <c r="GB19" i="5"/>
  <c r="EV18" i="5"/>
  <c r="EV20" i="5" s="1"/>
  <c r="EG17" i="5"/>
  <c r="FZ19" i="5"/>
  <c r="CQ18" i="5"/>
  <c r="FF17" i="5"/>
  <c r="DY19" i="5"/>
  <c r="EF18" i="5"/>
  <c r="DM17" i="5"/>
  <c r="CY19" i="5"/>
  <c r="DF18" i="5"/>
  <c r="BB26" i="5"/>
  <c r="ER19" i="5"/>
  <c r="GF18" i="5"/>
  <c r="GI17" i="5"/>
  <c r="GK19" i="5"/>
  <c r="GN18" i="5"/>
  <c r="GN20" i="5" s="1"/>
  <c r="CC8" i="5"/>
  <c r="BC36" i="5"/>
  <c r="BE37" i="5"/>
  <c r="BF36" i="5"/>
  <c r="BA44" i="5"/>
  <c r="BE43" i="5"/>
  <c r="BP36" i="5"/>
  <c r="CO19" i="5"/>
  <c r="DG18" i="5"/>
  <c r="DG20" i="5" s="1"/>
  <c r="DT17" i="5"/>
  <c r="FS19" i="5"/>
  <c r="EL18" i="5"/>
  <c r="EL20" i="5" s="1"/>
  <c r="EZ17" i="5"/>
  <c r="EU19" i="5"/>
  <c r="EM18" i="5"/>
  <c r="EM20" i="5" s="1"/>
  <c r="EN17" i="5"/>
  <c r="DI19" i="5"/>
  <c r="BU18" i="5"/>
  <c r="CF17" i="5"/>
  <c r="BX19" i="5"/>
  <c r="CT18" i="5"/>
  <c r="EJ17" i="5"/>
  <c r="EB19" i="5"/>
  <c r="BI27" i="5"/>
  <c r="FJ17" i="5"/>
  <c r="CB19" i="5"/>
  <c r="FQ18" i="5"/>
  <c r="FQ20" i="5" s="1"/>
  <c r="DU17" i="5"/>
  <c r="DJ19" i="5"/>
  <c r="EP18" i="5"/>
  <c r="EP20" i="5" s="1"/>
  <c r="CD17" i="5"/>
  <c r="CW19" i="5"/>
  <c r="BE27" i="5"/>
  <c r="DP17" i="5"/>
  <c r="DK19" i="5"/>
  <c r="DX18" i="5"/>
  <c r="EW17" i="5"/>
  <c r="DA19" i="5"/>
  <c r="CX18" i="5"/>
  <c r="EE17" i="5"/>
  <c r="BW19" i="5"/>
  <c r="FT18" i="5"/>
  <c r="FT20" i="5" s="1"/>
  <c r="FU17" i="5"/>
  <c r="EV19" i="5"/>
  <c r="EG18" i="5"/>
  <c r="GD17" i="5"/>
  <c r="CQ19" i="5"/>
  <c r="FF18" i="5"/>
  <c r="FF20" i="5" s="1"/>
  <c r="BC26" i="5"/>
  <c r="EF19" i="5"/>
  <c r="DM18" i="5"/>
  <c r="CV17" i="5"/>
  <c r="DF19" i="5"/>
  <c r="BB27" i="5"/>
  <c r="ES17" i="5"/>
  <c r="GF19" i="5"/>
  <c r="GI18" i="5"/>
  <c r="GL17" i="5"/>
  <c r="GN19" i="5"/>
  <c r="CC9" i="5"/>
  <c r="BC37" i="5"/>
  <c r="BA35" i="5"/>
  <c r="BF37" i="5"/>
  <c r="BA45" i="5"/>
  <c r="BE44" i="5"/>
  <c r="BP37" i="5"/>
  <c r="BM26" i="5"/>
  <c r="DG19" i="5"/>
  <c r="DT18" i="5"/>
  <c r="CL17" i="5"/>
  <c r="EL19" i="5"/>
  <c r="EZ18" i="5"/>
  <c r="DE17" i="5"/>
  <c r="EM19" i="5"/>
  <c r="EN18" i="5"/>
  <c r="EN20" i="5" s="1"/>
  <c r="FI17" i="5"/>
  <c r="BU19" i="5"/>
  <c r="CF18" i="5"/>
  <c r="FA17" i="5"/>
  <c r="CT19" i="5"/>
  <c r="EJ18" i="5"/>
  <c r="EJ20" i="5" s="1"/>
  <c r="FH17" i="5"/>
  <c r="BI28" i="5"/>
  <c r="FJ18" i="5"/>
  <c r="FJ20" i="5" s="1"/>
  <c r="BO26" i="5"/>
  <c r="FQ19" i="5"/>
  <c r="DU18" i="5"/>
  <c r="DU20" i="5" s="1"/>
  <c r="DR17" i="5"/>
  <c r="EP19" i="5"/>
  <c r="CD18" i="5"/>
  <c r="CD20" i="5" s="1"/>
  <c r="CA17" i="5"/>
  <c r="BE28" i="5"/>
  <c r="DP18" i="5"/>
  <c r="DP20" i="5" s="1"/>
  <c r="EQ17" i="5"/>
  <c r="DX19" i="5"/>
  <c r="EW18" i="5"/>
  <c r="EW20" i="5" s="1"/>
  <c r="ED17" i="5"/>
  <c r="CX19" i="5"/>
  <c r="EE18" i="5"/>
  <c r="EE20" i="5" s="1"/>
  <c r="BG26" i="5"/>
  <c r="FT19" i="5"/>
  <c r="FU18" i="5"/>
  <c r="FU20" i="5" s="1"/>
  <c r="CS17" i="5"/>
  <c r="EG19" i="5"/>
  <c r="GD18" i="5"/>
  <c r="GD20" i="5" s="1"/>
  <c r="BL26" i="5"/>
  <c r="FF19" i="5"/>
  <c r="BC27" i="5"/>
  <c r="FP17" i="5"/>
  <c r="DM19" i="5"/>
  <c r="CV18" i="5"/>
  <c r="BZ17" i="5"/>
  <c r="BB28" i="5"/>
  <c r="ES18" i="5"/>
  <c r="ES20" i="5" s="1"/>
  <c r="GG17" i="5"/>
  <c r="GI19" i="5"/>
  <c r="GL18" i="5"/>
  <c r="GO17" i="5"/>
  <c r="CB8" i="5"/>
  <c r="CC10" i="5"/>
  <c r="BA36" i="5"/>
  <c r="BG35" i="5"/>
  <c r="BB43" i="5"/>
  <c r="BE45" i="5"/>
  <c r="BO35" i="5"/>
  <c r="BM27" i="5"/>
  <c r="FW17" i="5"/>
  <c r="DT19" i="5"/>
  <c r="CL18" i="5"/>
  <c r="CL20" i="5" s="1"/>
  <c r="EA17" i="5"/>
  <c r="EZ19" i="5"/>
  <c r="DE18" i="5"/>
  <c r="FV17" i="5"/>
  <c r="EN19" i="5"/>
  <c r="FI18" i="5"/>
  <c r="FI20" i="5" s="1"/>
  <c r="CU17" i="5"/>
  <c r="CF19" i="5"/>
  <c r="FA18" i="5"/>
  <c r="FA20" i="5" s="1"/>
  <c r="BF26" i="5"/>
  <c r="EJ19" i="5"/>
  <c r="FH18" i="5"/>
  <c r="BA26" i="5"/>
  <c r="FJ19" i="5"/>
  <c r="BO27" i="5"/>
  <c r="DN17" i="5"/>
  <c r="DU19" i="5"/>
  <c r="DR18" i="5"/>
  <c r="GA17" i="5"/>
  <c r="CD19" i="5"/>
  <c r="CA18" i="5"/>
  <c r="DS17" i="5"/>
  <c r="DP19" i="5"/>
  <c r="EQ18" i="5"/>
  <c r="EQ20" i="5" s="1"/>
  <c r="FX17" i="5"/>
  <c r="EW19" i="5"/>
  <c r="ED18" i="5"/>
  <c r="BN26" i="5"/>
  <c r="EE19" i="5"/>
  <c r="BG27" i="5"/>
  <c r="DQ17" i="5"/>
  <c r="FU19" i="5"/>
  <c r="CS18" i="5"/>
  <c r="DC17" i="5"/>
  <c r="GD19" i="5"/>
  <c r="BL27" i="5"/>
  <c r="FE17" i="5"/>
  <c r="BC28" i="5"/>
  <c r="FP18" i="5"/>
  <c r="FP20" i="5" s="1"/>
  <c r="BY17" i="5"/>
  <c r="CV19" i="5"/>
  <c r="BZ18" i="5"/>
  <c r="CR17" i="5"/>
  <c r="ES19" i="5"/>
  <c r="GG18" i="5"/>
  <c r="GJ17" i="5"/>
  <c r="GL19" i="5"/>
  <c r="GO18" i="5"/>
  <c r="GO20" i="5" s="1"/>
  <c r="CB9" i="5"/>
  <c r="CB11" i="5" s="1"/>
  <c r="BA37" i="5"/>
  <c r="BG36" i="5"/>
  <c r="BI35" i="5"/>
  <c r="BJ35" i="5"/>
  <c r="BB44" i="5"/>
  <c r="BO36" i="5"/>
  <c r="CJ17" i="5"/>
  <c r="BM28" i="5"/>
  <c r="FW18" i="5"/>
  <c r="FW20" i="5" s="1"/>
  <c r="DW17" i="5"/>
  <c r="CL19" i="5"/>
  <c r="EA18" i="5"/>
  <c r="FO17" i="5"/>
  <c r="DE19" i="5"/>
  <c r="FV18" i="5"/>
  <c r="FV20" i="5" s="1"/>
  <c r="DH17" i="5"/>
  <c r="FI19" i="5"/>
  <c r="CU18" i="5"/>
  <c r="FK17" i="5"/>
  <c r="FA19" i="5"/>
  <c r="BF27" i="5"/>
  <c r="FB17" i="5"/>
  <c r="FH19" i="5"/>
  <c r="BA27" i="5"/>
  <c r="DD17" i="5"/>
  <c r="BO28" i="5"/>
  <c r="DN18" i="5"/>
  <c r="CP17" i="5"/>
  <c r="DR19" i="5"/>
  <c r="GA18" i="5"/>
  <c r="GA20" i="5" s="1"/>
  <c r="FL17" i="5"/>
  <c r="CA19" i="5"/>
  <c r="DS18" i="5"/>
  <c r="DS20" i="5" s="1"/>
  <c r="FN17" i="5"/>
  <c r="EQ19" i="5"/>
  <c r="FX18" i="5"/>
  <c r="FX20" i="5" s="1"/>
  <c r="CK17" i="5"/>
  <c r="ED19" i="5"/>
  <c r="BN27" i="5"/>
  <c r="FR17" i="5"/>
  <c r="BG28" i="5"/>
  <c r="DQ18" i="5"/>
  <c r="DQ20" i="5" s="1"/>
  <c r="BJ26" i="5"/>
  <c r="CS19" i="5"/>
  <c r="DC18" i="5"/>
  <c r="DL17" i="5"/>
  <c r="BL28" i="5"/>
  <c r="FE18" i="5"/>
  <c r="FE20" i="5" s="1"/>
  <c r="BK26" i="5"/>
  <c r="FP19" i="5"/>
  <c r="BY18" i="5"/>
  <c r="BH26" i="5"/>
  <c r="BZ19" i="5"/>
  <c r="CR18" i="5"/>
  <c r="EX17" i="5"/>
  <c r="GG19" i="5"/>
  <c r="GJ18" i="5"/>
  <c r="GM17" i="5"/>
  <c r="GO19" i="5"/>
  <c r="CA13" i="5"/>
  <c r="F55" i="5"/>
  <c r="D69" i="5"/>
  <c r="OS41" i="5"/>
  <c r="D59" i="5"/>
  <c r="D58" i="5"/>
  <c r="OR30" i="5"/>
  <c r="O10" i="5"/>
  <c r="P10" i="5"/>
  <c r="D68" i="5"/>
  <c r="OT41" i="5"/>
  <c r="BH36" i="5" l="1"/>
  <c r="BC35" i="5"/>
  <c r="BD11" i="5"/>
  <c r="BB20" i="5"/>
  <c r="CG20" i="5"/>
  <c r="CU20" i="5"/>
  <c r="DX20" i="5"/>
  <c r="EU20" i="5"/>
  <c r="BE11" i="5"/>
  <c r="BN29" i="5"/>
  <c r="GI20" i="5"/>
  <c r="BE29" i="5"/>
  <c r="BO38" i="5"/>
  <c r="BO29" i="5"/>
  <c r="EZ20" i="5"/>
  <c r="BV20" i="5"/>
  <c r="EG20" i="5"/>
  <c r="CT20" i="5"/>
  <c r="DN20" i="5"/>
  <c r="DE20" i="5"/>
  <c r="BC29" i="5"/>
  <c r="ET20" i="5"/>
  <c r="BY20" i="5"/>
  <c r="ED20" i="5"/>
  <c r="BZ20" i="5"/>
  <c r="DR20" i="5"/>
  <c r="CN20" i="5"/>
  <c r="CC20" i="5"/>
  <c r="CS20" i="5"/>
  <c r="BG29" i="5"/>
  <c r="EF20" i="5"/>
  <c r="CB20" i="5"/>
  <c r="CY20" i="5"/>
  <c r="CI20" i="5"/>
  <c r="CR20" i="5"/>
  <c r="BI29" i="5"/>
  <c r="CQ20" i="5"/>
  <c r="DY20" i="5"/>
  <c r="DF20" i="5"/>
  <c r="DJ20" i="5"/>
  <c r="BD29" i="5"/>
  <c r="BX20" i="5"/>
  <c r="FZ20" i="5"/>
  <c r="CE20" i="5"/>
  <c r="BL11" i="5"/>
  <c r="CV20" i="5"/>
  <c r="FG20" i="5"/>
  <c r="GH20" i="5"/>
  <c r="CM20" i="5"/>
  <c r="DZ20" i="5"/>
  <c r="BH29" i="5"/>
  <c r="CX20" i="5"/>
  <c r="BF29" i="5"/>
  <c r="GG20" i="5"/>
  <c r="CA20" i="5"/>
  <c r="BM29" i="5"/>
  <c r="CF20" i="5"/>
  <c r="CZ20" i="5"/>
  <c r="BW20" i="5"/>
  <c r="BU11" i="5"/>
  <c r="DC20" i="5"/>
  <c r="F68" i="5"/>
  <c r="F58" i="5"/>
  <c r="BH37" i="5"/>
  <c r="BK37" i="5" s="1"/>
  <c r="F59" i="5"/>
  <c r="F69" i="5"/>
  <c r="GL21" i="5"/>
  <c r="GL22" i="5"/>
  <c r="BX13" i="5"/>
  <c r="BX12" i="5"/>
  <c r="EX22" i="5"/>
  <c r="EX21" i="5"/>
  <c r="FL22" i="5"/>
  <c r="FL21" i="5"/>
  <c r="CJ22" i="5"/>
  <c r="CJ21" i="5"/>
  <c r="BY21" i="5"/>
  <c r="BY22" i="5"/>
  <c r="DN22" i="5"/>
  <c r="DN21" i="5"/>
  <c r="BK36" i="5"/>
  <c r="ED22" i="5"/>
  <c r="ED21" i="5"/>
  <c r="DE21" i="5"/>
  <c r="DE22" i="5"/>
  <c r="FJ22" i="5"/>
  <c r="FJ21" i="5"/>
  <c r="EG22" i="5"/>
  <c r="EG21" i="5"/>
  <c r="CT22" i="5"/>
  <c r="CT21" i="5"/>
  <c r="CQ22" i="5"/>
  <c r="CQ21" i="5"/>
  <c r="EB21" i="5"/>
  <c r="EB22" i="5"/>
  <c r="BN38" i="5"/>
  <c r="BQ36" i="5"/>
  <c r="DY22" i="5"/>
  <c r="DY21" i="5"/>
  <c r="FC22" i="5"/>
  <c r="FC21" i="5"/>
  <c r="BJ29" i="5"/>
  <c r="EC21" i="5"/>
  <c r="EC22" i="5"/>
  <c r="ET22" i="5"/>
  <c r="ET21" i="5"/>
  <c r="BW12" i="5"/>
  <c r="BW13" i="5"/>
  <c r="BM10" i="5"/>
  <c r="BA29" i="5"/>
  <c r="EY22" i="5"/>
  <c r="EY21" i="5"/>
  <c r="DL21" i="5"/>
  <c r="DL22" i="5"/>
  <c r="FB22" i="5"/>
  <c r="FB21" i="5"/>
  <c r="DQ22" i="5"/>
  <c r="DQ21" i="5"/>
  <c r="CU22" i="5"/>
  <c r="CU21" i="5"/>
  <c r="BZ22" i="5"/>
  <c r="BZ21" i="5"/>
  <c r="DR22" i="5"/>
  <c r="DR21" i="5"/>
  <c r="BF45" i="5"/>
  <c r="EE22" i="5"/>
  <c r="EE21" i="5"/>
  <c r="EN22" i="5"/>
  <c r="EN21" i="5"/>
  <c r="CC12" i="5"/>
  <c r="CD4" i="5"/>
  <c r="CC13" i="5"/>
  <c r="DX21" i="5"/>
  <c r="DX22" i="5"/>
  <c r="EL22" i="5"/>
  <c r="EL21" i="5"/>
  <c r="DA22" i="5"/>
  <c r="DA21" i="5"/>
  <c r="EU22" i="5"/>
  <c r="EU21" i="5"/>
  <c r="DB22" i="5"/>
  <c r="DB21" i="5"/>
  <c r="EH21" i="5"/>
  <c r="EH22" i="5"/>
  <c r="GM20" i="5"/>
  <c r="CN21" i="5"/>
  <c r="CN22" i="5"/>
  <c r="CC22" i="5"/>
  <c r="CC21" i="5"/>
  <c r="BY13" i="5"/>
  <c r="BY12" i="5"/>
  <c r="BC11" i="5"/>
  <c r="BC20" i="5"/>
  <c r="DP22" i="5"/>
  <c r="DP21" i="5"/>
  <c r="CW21" i="5"/>
  <c r="CW22" i="5"/>
  <c r="CH22" i="5"/>
  <c r="CH21" i="5"/>
  <c r="CS22" i="5"/>
  <c r="CS21" i="5"/>
  <c r="FA22" i="5"/>
  <c r="FA21" i="5"/>
  <c r="ES21" i="5"/>
  <c r="ES22" i="5"/>
  <c r="CD22" i="5"/>
  <c r="CD21" i="5"/>
  <c r="BP38" i="5"/>
  <c r="DM21" i="5"/>
  <c r="DM22" i="5"/>
  <c r="FQ21" i="5"/>
  <c r="FQ22" i="5"/>
  <c r="DF22" i="5"/>
  <c r="DF21" i="5"/>
  <c r="DJ22" i="5"/>
  <c r="DJ21" i="5"/>
  <c r="ER21" i="5"/>
  <c r="ER22" i="5"/>
  <c r="BX34" i="5"/>
  <c r="BQ35" i="5"/>
  <c r="BK29" i="5"/>
  <c r="CG21" i="5"/>
  <c r="CG22" i="5"/>
  <c r="DD20" i="5"/>
  <c r="DV22" i="5"/>
  <c r="DV21" i="5"/>
  <c r="BB11" i="5"/>
  <c r="EA21" i="5"/>
  <c r="EA22" i="5"/>
  <c r="FH21" i="5"/>
  <c r="FH22" i="5"/>
  <c r="EP22" i="5"/>
  <c r="EP21" i="5"/>
  <c r="CO21" i="5"/>
  <c r="CO22" i="5"/>
  <c r="CK22" i="5"/>
  <c r="CK21" i="5"/>
  <c r="DS22" i="5"/>
  <c r="DS21" i="5"/>
  <c r="FW22" i="5"/>
  <c r="FW21" i="5"/>
  <c r="CB12" i="5"/>
  <c r="CB13" i="5"/>
  <c r="CP22" i="5"/>
  <c r="CP21" i="5"/>
  <c r="EA20" i="5"/>
  <c r="FE22" i="5"/>
  <c r="FE21" i="5"/>
  <c r="GO22" i="5"/>
  <c r="GO21" i="5"/>
  <c r="EQ22" i="5"/>
  <c r="EQ21" i="5"/>
  <c r="CL22" i="5"/>
  <c r="CL21" i="5"/>
  <c r="BB29" i="5"/>
  <c r="GD22" i="5"/>
  <c r="GD21" i="5"/>
  <c r="EJ21" i="5"/>
  <c r="EJ22" i="5"/>
  <c r="FT22" i="5"/>
  <c r="FT21" i="5"/>
  <c r="BU22" i="5"/>
  <c r="BU21" i="5"/>
  <c r="GE17" i="5"/>
  <c r="EV22" i="5"/>
  <c r="EV21" i="5"/>
  <c r="BX21" i="5"/>
  <c r="BX22" i="5"/>
  <c r="FZ22" i="5"/>
  <c r="FZ21" i="5"/>
  <c r="CE22" i="5"/>
  <c r="CE21" i="5"/>
  <c r="GH22" i="5"/>
  <c r="GH21" i="5"/>
  <c r="CM22" i="5"/>
  <c r="CM21" i="5"/>
  <c r="DH20" i="5"/>
  <c r="DZ21" i="5"/>
  <c r="DZ22" i="5"/>
  <c r="BZ12" i="5"/>
  <c r="BZ13" i="5"/>
  <c r="BU12" i="5"/>
  <c r="BU13" i="5"/>
  <c r="BK11" i="5"/>
  <c r="BI9" i="5"/>
  <c r="BA11" i="5"/>
  <c r="BF11" i="5"/>
  <c r="FR22" i="5"/>
  <c r="FR21" i="5"/>
  <c r="FX21" i="5"/>
  <c r="FX22" i="5"/>
  <c r="GF22" i="5"/>
  <c r="GF21" i="5"/>
  <c r="GK22" i="5"/>
  <c r="GK21" i="5"/>
  <c r="EK21" i="5"/>
  <c r="EK22" i="5"/>
  <c r="GJ21" i="5"/>
  <c r="GJ22" i="5"/>
  <c r="FK22" i="5"/>
  <c r="FK21" i="5"/>
  <c r="BL29" i="5"/>
  <c r="FH20" i="5"/>
  <c r="FV22" i="5"/>
  <c r="FV21" i="5"/>
  <c r="GL20" i="5"/>
  <c r="FP21" i="5"/>
  <c r="FP22" i="5"/>
  <c r="GE19" i="5"/>
  <c r="BP28" i="5" s="1"/>
  <c r="BQ28" i="5" s="1"/>
  <c r="DT20" i="5"/>
  <c r="EW22" i="5"/>
  <c r="EW21" i="5"/>
  <c r="EZ22" i="5"/>
  <c r="EZ21" i="5"/>
  <c r="BF44" i="5"/>
  <c r="GI22" i="5"/>
  <c r="GI21" i="5"/>
  <c r="DG22" i="5"/>
  <c r="DG21" i="5"/>
  <c r="GN21" i="5"/>
  <c r="GN22" i="5"/>
  <c r="DK22" i="5"/>
  <c r="DK21" i="5"/>
  <c r="FS22" i="5"/>
  <c r="FS21" i="5"/>
  <c r="CH20" i="5"/>
  <c r="DO22" i="5"/>
  <c r="DO21" i="5"/>
  <c r="EI21" i="5"/>
  <c r="EI22" i="5"/>
  <c r="BV22" i="5"/>
  <c r="BV21" i="5"/>
  <c r="GC22" i="5"/>
  <c r="GC21" i="5"/>
  <c r="CJ20" i="5"/>
  <c r="BV12" i="5"/>
  <c r="BV13" i="5"/>
  <c r="DH22" i="5"/>
  <c r="DH21" i="5"/>
  <c r="DT22" i="5"/>
  <c r="DT21" i="5"/>
  <c r="FM22" i="5"/>
  <c r="FM21" i="5"/>
  <c r="FO21" i="5"/>
  <c r="FO22" i="5"/>
  <c r="GM22" i="5"/>
  <c r="GM21" i="5"/>
  <c r="FN21" i="5"/>
  <c r="FN22" i="5"/>
  <c r="DW22" i="5"/>
  <c r="DW21" i="5"/>
  <c r="CR22" i="5"/>
  <c r="CR21" i="5"/>
  <c r="GA22" i="5"/>
  <c r="GA21" i="5"/>
  <c r="FI21" i="5"/>
  <c r="FI22" i="5"/>
  <c r="CV21" i="5"/>
  <c r="CV22" i="5"/>
  <c r="DU22" i="5"/>
  <c r="DU21" i="5"/>
  <c r="GF20" i="5"/>
  <c r="FF21" i="5"/>
  <c r="FF22" i="5"/>
  <c r="CO20" i="5"/>
  <c r="GK20" i="5"/>
  <c r="EF22" i="5"/>
  <c r="EF21" i="5"/>
  <c r="CB22" i="5"/>
  <c r="CB21" i="5"/>
  <c r="CY22" i="5"/>
  <c r="CY21" i="5"/>
  <c r="CI22" i="5"/>
  <c r="CI21" i="5"/>
  <c r="DL20" i="5"/>
  <c r="FY21" i="5"/>
  <c r="FY22" i="5"/>
  <c r="FB20" i="5"/>
  <c r="FG21" i="5"/>
  <c r="FG22" i="5"/>
  <c r="BJ11" i="5"/>
  <c r="BM9" i="5"/>
  <c r="BM8" i="5"/>
  <c r="BI10" i="5"/>
  <c r="BA20" i="5"/>
  <c r="BU20" i="5"/>
  <c r="GE18" i="5"/>
  <c r="GJ20" i="5"/>
  <c r="DD21" i="5"/>
  <c r="DD22" i="5"/>
  <c r="DC22" i="5"/>
  <c r="DC21" i="5"/>
  <c r="GG22" i="5"/>
  <c r="GG21" i="5"/>
  <c r="CA22" i="5"/>
  <c r="CA21" i="5"/>
  <c r="DM20" i="5"/>
  <c r="FU22" i="5"/>
  <c r="FU21" i="5"/>
  <c r="CF21" i="5"/>
  <c r="CF22" i="5"/>
  <c r="CX22" i="5"/>
  <c r="CX21" i="5"/>
  <c r="EM22" i="5"/>
  <c r="EM21" i="5"/>
  <c r="BQ37" i="5"/>
  <c r="BW22" i="5"/>
  <c r="BW21" i="5"/>
  <c r="DI22" i="5"/>
  <c r="DI21" i="5"/>
  <c r="GB22" i="5"/>
  <c r="GB21" i="5"/>
  <c r="EO22" i="5"/>
  <c r="EO21" i="5"/>
  <c r="CZ22" i="5"/>
  <c r="CZ21" i="5"/>
  <c r="CK20" i="5"/>
  <c r="FD21" i="5"/>
  <c r="FD22" i="5"/>
  <c r="BI8" i="5"/>
  <c r="BG11" i="5"/>
  <c r="BH11" i="5"/>
  <c r="OR57" i="5"/>
  <c r="OT43" i="5"/>
  <c r="OT57" i="5"/>
  <c r="OT44" i="5"/>
  <c r="OR58" i="5"/>
  <c r="OT58" i="5"/>
  <c r="OR43" i="5"/>
  <c r="OR44" i="5"/>
  <c r="BF17" i="5" l="1"/>
  <c r="BF19" i="5"/>
  <c r="BP26" i="5"/>
  <c r="BQ26" i="5" s="1"/>
  <c r="GE21" i="5"/>
  <c r="BF18" i="5"/>
  <c r="BM11" i="5"/>
  <c r="BI11" i="5"/>
  <c r="GE22" i="5"/>
  <c r="BQ38" i="5"/>
  <c r="BP27" i="5"/>
  <c r="BQ27" i="5" s="1"/>
  <c r="GE20" i="5"/>
  <c r="F60" i="5"/>
  <c r="D37" i="5" s="1"/>
  <c r="C37" i="5" s="1"/>
  <c r="CD12" i="5"/>
  <c r="F70" i="5"/>
  <c r="D49" i="5" s="1"/>
  <c r="D53" i="5" s="1"/>
  <c r="H10" i="5" s="1"/>
  <c r="I10" i="5" s="1"/>
  <c r="M66" i="4"/>
  <c r="M83" i="4" s="1"/>
  <c r="M85" i="4" s="1"/>
  <c r="L107" i="4"/>
  <c r="L66" i="4"/>
  <c r="K107" i="4"/>
  <c r="J107" i="4"/>
  <c r="I107" i="4"/>
  <c r="H107" i="4"/>
  <c r="G107" i="4"/>
  <c r="F107" i="4"/>
  <c r="AI107" i="4" s="1"/>
  <c r="F66" i="4"/>
  <c r="E107" i="4"/>
  <c r="B66" i="4"/>
  <c r="C66" i="4"/>
  <c r="D66" i="4"/>
  <c r="E66" i="4"/>
  <c r="G66" i="4"/>
  <c r="H66" i="4"/>
  <c r="AI66" i="4" s="1"/>
  <c r="I66" i="4"/>
  <c r="J66" i="4"/>
  <c r="K66" i="4"/>
  <c r="D107" i="4"/>
  <c r="C107" i="4"/>
  <c r="AF267" i="4"/>
  <c r="AE267" i="4"/>
  <c r="AD267" i="4"/>
  <c r="AC267" i="4"/>
  <c r="AB267" i="4"/>
  <c r="AA267" i="4"/>
  <c r="Z267" i="4"/>
  <c r="Y267" i="4"/>
  <c r="X267" i="4"/>
  <c r="W267" i="4"/>
  <c r="V267" i="4"/>
  <c r="U267" i="4"/>
  <c r="T267" i="4"/>
  <c r="S267" i="4"/>
  <c r="R267" i="4"/>
  <c r="Q267" i="4"/>
  <c r="P267" i="4"/>
  <c r="O267" i="4"/>
  <c r="N267" i="4"/>
  <c r="M267" i="4"/>
  <c r="L267" i="4"/>
  <c r="K267" i="4"/>
  <c r="J267" i="4"/>
  <c r="I267" i="4"/>
  <c r="H267" i="4"/>
  <c r="G267" i="4"/>
  <c r="F267" i="4"/>
  <c r="E267" i="4"/>
  <c r="D267" i="4"/>
  <c r="C267" i="4"/>
  <c r="B267" i="4"/>
  <c r="A267" i="4"/>
  <c r="AF266" i="4"/>
  <c r="AE266" i="4"/>
  <c r="AD266" i="4"/>
  <c r="AC266" i="4"/>
  <c r="AB266" i="4"/>
  <c r="AA266" i="4"/>
  <c r="Z266" i="4"/>
  <c r="Y266" i="4"/>
  <c r="X266" i="4"/>
  <c r="W266" i="4"/>
  <c r="V266" i="4"/>
  <c r="U266" i="4"/>
  <c r="T266" i="4"/>
  <c r="S266" i="4"/>
  <c r="R266" i="4"/>
  <c r="Q266" i="4"/>
  <c r="P266" i="4"/>
  <c r="O266" i="4"/>
  <c r="N266" i="4"/>
  <c r="M266" i="4"/>
  <c r="L266" i="4"/>
  <c r="K266" i="4"/>
  <c r="J266" i="4"/>
  <c r="I266" i="4"/>
  <c r="H266" i="4"/>
  <c r="G266" i="4"/>
  <c r="F266" i="4"/>
  <c r="E266" i="4"/>
  <c r="D266" i="4"/>
  <c r="C266" i="4"/>
  <c r="B266" i="4"/>
  <c r="A266" i="4"/>
  <c r="AF265" i="4"/>
  <c r="AE265" i="4"/>
  <c r="AD265" i="4"/>
  <c r="AC265" i="4"/>
  <c r="AB265" i="4"/>
  <c r="AA265" i="4"/>
  <c r="Z265" i="4"/>
  <c r="Y265" i="4"/>
  <c r="X265" i="4"/>
  <c r="W265" i="4"/>
  <c r="V265" i="4"/>
  <c r="U265" i="4"/>
  <c r="T265" i="4"/>
  <c r="S265" i="4"/>
  <c r="R265" i="4"/>
  <c r="Q265" i="4"/>
  <c r="P265" i="4"/>
  <c r="O265" i="4"/>
  <c r="N265" i="4"/>
  <c r="M265" i="4"/>
  <c r="L265" i="4"/>
  <c r="K265" i="4"/>
  <c r="J265" i="4"/>
  <c r="I265" i="4"/>
  <c r="H265" i="4"/>
  <c r="G265" i="4"/>
  <c r="F265" i="4"/>
  <c r="E265" i="4"/>
  <c r="D265" i="4"/>
  <c r="C265" i="4"/>
  <c r="B265" i="4"/>
  <c r="A265" i="4"/>
  <c r="AF264" i="4"/>
  <c r="AE264" i="4"/>
  <c r="AD264" i="4"/>
  <c r="AC264" i="4"/>
  <c r="AB264" i="4"/>
  <c r="AA264" i="4"/>
  <c r="Z264" i="4"/>
  <c r="Y264" i="4"/>
  <c r="X264" i="4"/>
  <c r="W264" i="4"/>
  <c r="V264" i="4"/>
  <c r="U264" i="4"/>
  <c r="T264" i="4"/>
  <c r="S264" i="4"/>
  <c r="R264" i="4"/>
  <c r="Q264" i="4"/>
  <c r="P264" i="4"/>
  <c r="O264" i="4"/>
  <c r="N264" i="4"/>
  <c r="M264" i="4"/>
  <c r="L264" i="4"/>
  <c r="K264" i="4"/>
  <c r="J264" i="4"/>
  <c r="I264" i="4"/>
  <c r="H264" i="4"/>
  <c r="G264" i="4"/>
  <c r="F264" i="4"/>
  <c r="E264" i="4"/>
  <c r="D264" i="4"/>
  <c r="C264" i="4"/>
  <c r="B264" i="4"/>
  <c r="A264" i="4"/>
  <c r="AE263" i="4"/>
  <c r="AD263" i="4"/>
  <c r="AC263" i="4"/>
  <c r="AB263" i="4"/>
  <c r="AA263" i="4"/>
  <c r="Z263" i="4"/>
  <c r="Y263" i="4"/>
  <c r="X263" i="4"/>
  <c r="W263" i="4"/>
  <c r="V263" i="4"/>
  <c r="U263" i="4"/>
  <c r="T263" i="4"/>
  <c r="S263" i="4"/>
  <c r="R263" i="4"/>
  <c r="Q263" i="4"/>
  <c r="P263" i="4"/>
  <c r="B263" i="4"/>
  <c r="AP242" i="4"/>
  <c r="S238" i="4"/>
  <c r="AG228" i="4"/>
  <c r="AF228" i="4"/>
  <c r="AE228" i="4"/>
  <c r="AD228" i="4"/>
  <c r="AC228" i="4"/>
  <c r="AB228" i="4"/>
  <c r="AA228" i="4"/>
  <c r="Z228" i="4"/>
  <c r="Y228" i="4"/>
  <c r="X228" i="4"/>
  <c r="W228" i="4"/>
  <c r="V228" i="4"/>
  <c r="U228" i="4"/>
  <c r="T228" i="4"/>
  <c r="S228" i="4"/>
  <c r="R228" i="4"/>
  <c r="Q228" i="4"/>
  <c r="C228" i="4"/>
  <c r="D227" i="4"/>
  <c r="E227" i="4" s="1"/>
  <c r="B227" i="4"/>
  <c r="AF263" i="4" s="1"/>
  <c r="D226" i="4"/>
  <c r="E226" i="4" s="1"/>
  <c r="F226" i="4" s="1"/>
  <c r="G226" i="4" s="1"/>
  <c r="H226" i="4" s="1"/>
  <c r="I226" i="4" s="1"/>
  <c r="J226" i="4" s="1"/>
  <c r="K226" i="4" s="1"/>
  <c r="L226" i="4" s="1"/>
  <c r="M226" i="4" s="1"/>
  <c r="N226" i="4" s="1"/>
  <c r="O226" i="4" s="1"/>
  <c r="P226" i="4" s="1"/>
  <c r="B226" i="4"/>
  <c r="D225" i="4"/>
  <c r="E225" i="4" s="1"/>
  <c r="F225" i="4" s="1"/>
  <c r="G225" i="4" s="1"/>
  <c r="H225" i="4" s="1"/>
  <c r="I225" i="4" s="1"/>
  <c r="B225" i="4"/>
  <c r="B228" i="4" s="1"/>
  <c r="E224" i="4"/>
  <c r="F224" i="4" s="1"/>
  <c r="G224" i="4" s="1"/>
  <c r="H224" i="4" s="1"/>
  <c r="D224" i="4"/>
  <c r="B224" i="4"/>
  <c r="D223" i="4"/>
  <c r="B223" i="4"/>
  <c r="D222" i="4"/>
  <c r="E222" i="4" s="1"/>
  <c r="F222" i="4" s="1"/>
  <c r="B222" i="4"/>
  <c r="AG220" i="4"/>
  <c r="AF220" i="4"/>
  <c r="AE220" i="4"/>
  <c r="AD220" i="4"/>
  <c r="AC220" i="4"/>
  <c r="AB220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C220" i="4"/>
  <c r="B220" i="4"/>
  <c r="AI113" i="4"/>
  <c r="AH113" i="4"/>
  <c r="AI112" i="4"/>
  <c r="AH112" i="4"/>
  <c r="AI111" i="4"/>
  <c r="AH111" i="4"/>
  <c r="AI110" i="4"/>
  <c r="AH110" i="4"/>
  <c r="AI109" i="4"/>
  <c r="AH109" i="4"/>
  <c r="AI108" i="4"/>
  <c r="AH108" i="4"/>
  <c r="AI106" i="4"/>
  <c r="AH106" i="4"/>
  <c r="AI105" i="4"/>
  <c r="AH105" i="4"/>
  <c r="AF104" i="4"/>
  <c r="AE104" i="4"/>
  <c r="AD104" i="4"/>
  <c r="AC104" i="4"/>
  <c r="AB104" i="4"/>
  <c r="V104" i="4"/>
  <c r="U104" i="4"/>
  <c r="T104" i="4"/>
  <c r="S104" i="4"/>
  <c r="R104" i="4"/>
  <c r="Q104" i="4"/>
  <c r="C104" i="4"/>
  <c r="B104" i="4"/>
  <c r="AI103" i="4"/>
  <c r="AH103" i="4"/>
  <c r="AI102" i="4"/>
  <c r="AH102" i="4"/>
  <c r="AI101" i="4"/>
  <c r="AH101" i="4"/>
  <c r="AI100" i="4"/>
  <c r="AH100" i="4"/>
  <c r="AI99" i="4"/>
  <c r="AH99" i="4"/>
  <c r="AI98" i="4"/>
  <c r="AH98" i="4"/>
  <c r="AI97" i="4"/>
  <c r="AH97" i="4"/>
  <c r="AI96" i="4"/>
  <c r="AH96" i="4"/>
  <c r="AI95" i="4"/>
  <c r="AH95" i="4"/>
  <c r="AI93" i="4"/>
  <c r="AH93" i="4"/>
  <c r="AI92" i="4"/>
  <c r="AH92" i="4"/>
  <c r="AI91" i="4"/>
  <c r="AH91" i="4"/>
  <c r="AI90" i="4"/>
  <c r="AH90" i="4"/>
  <c r="AI89" i="4"/>
  <c r="AH89" i="4"/>
  <c r="AI88" i="4"/>
  <c r="AH88" i="4"/>
  <c r="AI87" i="4"/>
  <c r="AH87" i="4"/>
  <c r="AI84" i="4"/>
  <c r="AH84" i="4"/>
  <c r="AI82" i="4"/>
  <c r="AH82" i="4"/>
  <c r="AG82" i="4"/>
  <c r="AI81" i="4"/>
  <c r="AH81" i="4"/>
  <c r="AI80" i="4"/>
  <c r="AH80" i="4"/>
  <c r="AI79" i="4"/>
  <c r="AH79" i="4"/>
  <c r="AN78" i="4"/>
  <c r="AG78" i="4"/>
  <c r="AF78" i="4"/>
  <c r="AF94" i="4" s="1"/>
  <c r="AE78" i="4"/>
  <c r="AE94" i="4" s="1"/>
  <c r="AD78" i="4"/>
  <c r="AD94" i="4" s="1"/>
  <c r="AC78" i="4"/>
  <c r="AC94" i="4" s="1"/>
  <c r="AB78" i="4"/>
  <c r="AB94" i="4" s="1"/>
  <c r="V78" i="4"/>
  <c r="V94" i="4" s="1"/>
  <c r="U78" i="4"/>
  <c r="U94" i="4" s="1"/>
  <c r="T78" i="4"/>
  <c r="T94" i="4" s="1"/>
  <c r="S78" i="4"/>
  <c r="S94" i="4" s="1"/>
  <c r="R78" i="4"/>
  <c r="R94" i="4" s="1"/>
  <c r="Q78" i="4"/>
  <c r="Q94" i="4" s="1"/>
  <c r="P78" i="4"/>
  <c r="P94" i="4" s="1"/>
  <c r="O78" i="4"/>
  <c r="O94" i="4" s="1"/>
  <c r="N78" i="4"/>
  <c r="N94" i="4" s="1"/>
  <c r="M78" i="4"/>
  <c r="M94" i="4" s="1"/>
  <c r="L78" i="4"/>
  <c r="L94" i="4" s="1"/>
  <c r="K78" i="4"/>
  <c r="K94" i="4" s="1"/>
  <c r="J78" i="4"/>
  <c r="J94" i="4" s="1"/>
  <c r="I78" i="4"/>
  <c r="H78" i="4"/>
  <c r="H94" i="4" s="1"/>
  <c r="G78" i="4"/>
  <c r="G94" i="4" s="1"/>
  <c r="AH94" i="4" s="1"/>
  <c r="F78" i="4"/>
  <c r="F94" i="4" s="1"/>
  <c r="E78" i="4"/>
  <c r="E94" i="4" s="1"/>
  <c r="D78" i="4"/>
  <c r="D94" i="4" s="1"/>
  <c r="C78" i="4"/>
  <c r="C94" i="4" s="1"/>
  <c r="B78" i="4"/>
  <c r="B94" i="4" s="1"/>
  <c r="AI77" i="4"/>
  <c r="AH77" i="4"/>
  <c r="AN76" i="4"/>
  <c r="AI76" i="4"/>
  <c r="AH76" i="4"/>
  <c r="AN75" i="4"/>
  <c r="AI75" i="4"/>
  <c r="AH75" i="4"/>
  <c r="AI74" i="4"/>
  <c r="AH74" i="4"/>
  <c r="AI73" i="4"/>
  <c r="AH73" i="4"/>
  <c r="AI72" i="4"/>
  <c r="AH72" i="4"/>
  <c r="AI71" i="4"/>
  <c r="AH71" i="4"/>
  <c r="AI70" i="4"/>
  <c r="AH70" i="4"/>
  <c r="AI69" i="4"/>
  <c r="AH69" i="4"/>
  <c r="AI68" i="4"/>
  <c r="AH68" i="4"/>
  <c r="AI67" i="4"/>
  <c r="AH67" i="4"/>
  <c r="AG66" i="4"/>
  <c r="AF66" i="4"/>
  <c r="AE66" i="4"/>
  <c r="AE83" i="4" s="1"/>
  <c r="AE85" i="4" s="1"/>
  <c r="AD66" i="4"/>
  <c r="AC66" i="4"/>
  <c r="AB66" i="4"/>
  <c r="U66" i="4"/>
  <c r="T66" i="4"/>
  <c r="S66" i="4"/>
  <c r="R66" i="4"/>
  <c r="Q66" i="4"/>
  <c r="Q83" i="4" s="1"/>
  <c r="Q85" i="4" s="1"/>
  <c r="P66" i="4"/>
  <c r="O66" i="4"/>
  <c r="N66" i="4"/>
  <c r="AI65" i="4"/>
  <c r="AH65" i="4"/>
  <c r="AI64" i="4"/>
  <c r="AH64" i="4"/>
  <c r="AI63" i="4"/>
  <c r="AH63" i="4"/>
  <c r="AF62" i="4"/>
  <c r="AE62" i="4"/>
  <c r="AD62" i="4"/>
  <c r="AC62" i="4"/>
  <c r="AB62" i="4"/>
  <c r="W62" i="4"/>
  <c r="V62" i="4"/>
  <c r="U62" i="4"/>
  <c r="T62" i="4"/>
  <c r="S62" i="4"/>
  <c r="R62" i="4"/>
  <c r="Q62" i="4"/>
  <c r="P62" i="4"/>
  <c r="O62" i="4"/>
  <c r="N62" i="4"/>
  <c r="N83" i="4" s="1"/>
  <c r="N85" i="4" s="1"/>
  <c r="M62" i="4"/>
  <c r="L62" i="4"/>
  <c r="K62" i="4"/>
  <c r="J62" i="4"/>
  <c r="I62" i="4"/>
  <c r="H62" i="4"/>
  <c r="G62" i="4"/>
  <c r="F62" i="4"/>
  <c r="AH62" i="4" s="1"/>
  <c r="E62" i="4"/>
  <c r="D62" i="4"/>
  <c r="C62" i="4"/>
  <c r="AI61" i="4"/>
  <c r="AH61" i="4"/>
  <c r="AG61" i="4"/>
  <c r="AG62" i="4" s="1"/>
  <c r="AG3" i="4" s="1"/>
  <c r="AI60" i="4"/>
  <c r="AH60" i="4"/>
  <c r="AI59" i="4"/>
  <c r="AH59" i="4"/>
  <c r="AI58" i="4"/>
  <c r="AH58" i="4"/>
  <c r="AI57" i="4"/>
  <c r="AH57" i="4"/>
  <c r="AI56" i="4"/>
  <c r="AH56" i="4"/>
  <c r="AI55" i="4"/>
  <c r="AH55" i="4"/>
  <c r="AI54" i="4"/>
  <c r="AH54" i="4"/>
  <c r="AI53" i="4"/>
  <c r="AH53" i="4"/>
  <c r="AI52" i="4"/>
  <c r="AH52" i="4"/>
  <c r="AI51" i="4"/>
  <c r="AH51" i="4"/>
  <c r="AI50" i="4"/>
  <c r="AH50" i="4"/>
  <c r="AI49" i="4"/>
  <c r="AH49" i="4"/>
  <c r="AG48" i="4"/>
  <c r="AF48" i="4"/>
  <c r="AD48" i="4"/>
  <c r="AC48" i="4"/>
  <c r="AB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AH48" i="4" s="1"/>
  <c r="AI47" i="4"/>
  <c r="AH47" i="4"/>
  <c r="AI46" i="4"/>
  <c r="AH46" i="4"/>
  <c r="AI45" i="4"/>
  <c r="AH45" i="4"/>
  <c r="AG44" i="4"/>
  <c r="AF44" i="4"/>
  <c r="AF83" i="4" s="1"/>
  <c r="AF85" i="4" s="1"/>
  <c r="AD44" i="4"/>
  <c r="AC44" i="4"/>
  <c r="AB44" i="4"/>
  <c r="W44" i="4"/>
  <c r="W83" i="4" s="1"/>
  <c r="W85" i="4" s="1"/>
  <c r="V44" i="4"/>
  <c r="U44" i="4"/>
  <c r="T44" i="4"/>
  <c r="T83" i="4" s="1"/>
  <c r="S44" i="4"/>
  <c r="S83" i="4" s="1"/>
  <c r="S85" i="4" s="1"/>
  <c r="R44" i="4"/>
  <c r="Q44" i="4"/>
  <c r="P44" i="4"/>
  <c r="O44" i="4"/>
  <c r="N44" i="4"/>
  <c r="M44" i="4"/>
  <c r="L44" i="4"/>
  <c r="K44" i="4"/>
  <c r="K83" i="4" s="1"/>
  <c r="K85" i="4" s="1"/>
  <c r="J44" i="4"/>
  <c r="I44" i="4"/>
  <c r="H44" i="4"/>
  <c r="G44" i="4"/>
  <c r="F44" i="4"/>
  <c r="E44" i="4"/>
  <c r="D44" i="4"/>
  <c r="C44" i="4"/>
  <c r="AH44" i="4" s="1"/>
  <c r="AI43" i="4"/>
  <c r="AH43" i="4"/>
  <c r="AI42" i="4"/>
  <c r="AH42" i="4"/>
  <c r="AI41" i="4"/>
  <c r="AH41" i="4"/>
  <c r="AI40" i="4"/>
  <c r="AH40" i="4"/>
  <c r="AI39" i="4"/>
  <c r="AH39" i="4"/>
  <c r="AI38" i="4"/>
  <c r="AH38" i="4"/>
  <c r="AI37" i="4"/>
  <c r="AH37" i="4"/>
  <c r="AI36" i="4"/>
  <c r="AH36" i="4"/>
  <c r="AI35" i="4"/>
  <c r="AH35" i="4"/>
  <c r="AI34" i="4"/>
  <c r="AH34" i="4"/>
  <c r="AI33" i="4"/>
  <c r="AH33" i="4"/>
  <c r="AI32" i="4"/>
  <c r="AH32" i="4"/>
  <c r="AI31" i="4"/>
  <c r="AH31" i="4"/>
  <c r="AI30" i="4"/>
  <c r="AH30" i="4"/>
  <c r="AI29" i="4"/>
  <c r="AH29" i="4"/>
  <c r="AI28" i="4"/>
  <c r="AH28" i="4"/>
  <c r="AI27" i="4"/>
  <c r="AH27" i="4"/>
  <c r="AI26" i="4"/>
  <c r="AH26" i="4"/>
  <c r="AI25" i="4"/>
  <c r="AH25" i="4"/>
  <c r="AI24" i="4"/>
  <c r="AH24" i="4"/>
  <c r="AI23" i="4"/>
  <c r="AH23" i="4"/>
  <c r="AI22" i="4"/>
  <c r="AH22" i="4"/>
  <c r="AI21" i="4"/>
  <c r="AH21" i="4"/>
  <c r="AI20" i="4"/>
  <c r="AH20" i="4"/>
  <c r="AI19" i="4"/>
  <c r="AH19" i="4"/>
  <c r="AI18" i="4"/>
  <c r="AH18" i="4"/>
  <c r="AI17" i="4"/>
  <c r="AH17" i="4"/>
  <c r="AI16" i="4"/>
  <c r="AH16" i="4"/>
  <c r="AI15" i="4"/>
  <c r="AH15" i="4"/>
  <c r="AI14" i="4"/>
  <c r="AH14" i="4"/>
  <c r="AI13" i="4"/>
  <c r="AH13" i="4"/>
  <c r="AI12" i="4"/>
  <c r="AH12" i="4"/>
  <c r="AI11" i="4"/>
  <c r="AH11" i="4"/>
  <c r="X7" i="4"/>
  <c r="AE5" i="4"/>
  <c r="W5" i="4"/>
  <c r="O5" i="4"/>
  <c r="K5" i="4"/>
  <c r="AG4" i="4"/>
  <c r="K4" i="4"/>
  <c r="E4" i="4"/>
  <c r="H4" i="4" s="1"/>
  <c r="B4" i="4"/>
  <c r="S239" i="4" s="1"/>
  <c r="AG2" i="4"/>
  <c r="AF267" i="3"/>
  <c r="AE267" i="3"/>
  <c r="AD267" i="3"/>
  <c r="AC267" i="3"/>
  <c r="AB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B267" i="3"/>
  <c r="A267" i="3"/>
  <c r="AF266" i="3"/>
  <c r="AE266" i="3"/>
  <c r="AD266" i="3"/>
  <c r="AC266" i="3"/>
  <c r="AB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B266" i="3"/>
  <c r="A266" i="3"/>
  <c r="AF265" i="3"/>
  <c r="AE265" i="3"/>
  <c r="AD265" i="3"/>
  <c r="AC265" i="3"/>
  <c r="AB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B265" i="3"/>
  <c r="A265" i="3"/>
  <c r="AF264" i="3"/>
  <c r="AE264" i="3"/>
  <c r="AD264" i="3"/>
  <c r="AC264" i="3"/>
  <c r="AB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B264" i="3"/>
  <c r="A264" i="3"/>
  <c r="AE263" i="3"/>
  <c r="AD263" i="3"/>
  <c r="AC263" i="3"/>
  <c r="AB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B263" i="3"/>
  <c r="AP242" i="3"/>
  <c r="S238" i="3"/>
  <c r="AG228" i="3"/>
  <c r="AF228" i="3"/>
  <c r="AE228" i="3"/>
  <c r="AD228" i="3"/>
  <c r="AC228" i="3"/>
  <c r="AB228" i="3"/>
  <c r="AA228" i="3"/>
  <c r="Z228" i="3"/>
  <c r="Y228" i="3"/>
  <c r="X228" i="3"/>
  <c r="W228" i="3"/>
  <c r="V228" i="3"/>
  <c r="U228" i="3"/>
  <c r="T228" i="3"/>
  <c r="S228" i="3"/>
  <c r="R228" i="3"/>
  <c r="Q228" i="3"/>
  <c r="C228" i="3"/>
  <c r="E227" i="3"/>
  <c r="D263" i="3" s="1"/>
  <c r="D227" i="3"/>
  <c r="C263" i="3" s="1"/>
  <c r="B227" i="3"/>
  <c r="AF263" i="3" s="1"/>
  <c r="D226" i="3"/>
  <c r="E226" i="3" s="1"/>
  <c r="F226" i="3" s="1"/>
  <c r="G226" i="3" s="1"/>
  <c r="H226" i="3" s="1"/>
  <c r="I226" i="3" s="1"/>
  <c r="J226" i="3" s="1"/>
  <c r="K226" i="3" s="1"/>
  <c r="L226" i="3" s="1"/>
  <c r="M226" i="3" s="1"/>
  <c r="N226" i="3" s="1"/>
  <c r="O226" i="3" s="1"/>
  <c r="P226" i="3" s="1"/>
  <c r="B226" i="3"/>
  <c r="D225" i="3"/>
  <c r="E225" i="3" s="1"/>
  <c r="F225" i="3" s="1"/>
  <c r="G225" i="3" s="1"/>
  <c r="H225" i="3" s="1"/>
  <c r="I225" i="3" s="1"/>
  <c r="B225" i="3"/>
  <c r="E224" i="3"/>
  <c r="F224" i="3" s="1"/>
  <c r="G224" i="3" s="1"/>
  <c r="H224" i="3" s="1"/>
  <c r="D224" i="3"/>
  <c r="B224" i="3"/>
  <c r="D223" i="3"/>
  <c r="D228" i="3" s="1"/>
  <c r="B223" i="3"/>
  <c r="D222" i="3"/>
  <c r="E222" i="3" s="1"/>
  <c r="B222" i="3"/>
  <c r="B228" i="3" s="1"/>
  <c r="AG220" i="3"/>
  <c r="AF220" i="3"/>
  <c r="AE220" i="3"/>
  <c r="AD220" i="3"/>
  <c r="AC220" i="3"/>
  <c r="AB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B220" i="3"/>
  <c r="AI113" i="3"/>
  <c r="AH113" i="3"/>
  <c r="AI112" i="3"/>
  <c r="AH112" i="3"/>
  <c r="AI111" i="3"/>
  <c r="AH111" i="3"/>
  <c r="AI110" i="3"/>
  <c r="AH110" i="3"/>
  <c r="AI109" i="3"/>
  <c r="AH109" i="3"/>
  <c r="AI108" i="3"/>
  <c r="AH108" i="3"/>
  <c r="AI107" i="3"/>
  <c r="AH107" i="3"/>
  <c r="AI106" i="3"/>
  <c r="AH106" i="3"/>
  <c r="AI105" i="3"/>
  <c r="AH105" i="3"/>
  <c r="AF104" i="3"/>
  <c r="AE104" i="3"/>
  <c r="AD104" i="3"/>
  <c r="AC104" i="3"/>
  <c r="AB104" i="3"/>
  <c r="AA104" i="3"/>
  <c r="Z104" i="3"/>
  <c r="Y104" i="3"/>
  <c r="W104" i="3"/>
  <c r="V104" i="3"/>
  <c r="U104" i="3"/>
  <c r="T104" i="3"/>
  <c r="S104" i="3"/>
  <c r="R104" i="3"/>
  <c r="Q104" i="3"/>
  <c r="D104" i="3"/>
  <c r="C104" i="3"/>
  <c r="AI103" i="3"/>
  <c r="AH103" i="3"/>
  <c r="AI102" i="3"/>
  <c r="AH102" i="3"/>
  <c r="AI101" i="3"/>
  <c r="AH101" i="3"/>
  <c r="AI100" i="3"/>
  <c r="AH100" i="3"/>
  <c r="AI99" i="3"/>
  <c r="AH99" i="3"/>
  <c r="AI98" i="3"/>
  <c r="AH98" i="3"/>
  <c r="AI97" i="3"/>
  <c r="AH97" i="3"/>
  <c r="AI96" i="3"/>
  <c r="AH96" i="3"/>
  <c r="AI95" i="3"/>
  <c r="AH95" i="3"/>
  <c r="AI93" i="3"/>
  <c r="AH93" i="3"/>
  <c r="AI92" i="3"/>
  <c r="AH92" i="3"/>
  <c r="AI91" i="3"/>
  <c r="AH91" i="3"/>
  <c r="AI90" i="3"/>
  <c r="AH90" i="3"/>
  <c r="AI89" i="3"/>
  <c r="AH89" i="3"/>
  <c r="AI88" i="3"/>
  <c r="AH88" i="3"/>
  <c r="AI87" i="3"/>
  <c r="AH87" i="3"/>
  <c r="AI84" i="3"/>
  <c r="AH84" i="3"/>
  <c r="AI82" i="3"/>
  <c r="AH82" i="3"/>
  <c r="AG82" i="3"/>
  <c r="AI81" i="3"/>
  <c r="AH81" i="3"/>
  <c r="AI80" i="3"/>
  <c r="AH80" i="3"/>
  <c r="AI79" i="3"/>
  <c r="AH79" i="3"/>
  <c r="AN78" i="3"/>
  <c r="AG78" i="3"/>
  <c r="AF78" i="3"/>
  <c r="AF94" i="3" s="1"/>
  <c r="AE78" i="3"/>
  <c r="AE94" i="3" s="1"/>
  <c r="AD78" i="3"/>
  <c r="AD94" i="3" s="1"/>
  <c r="AC78" i="3"/>
  <c r="AC94" i="3" s="1"/>
  <c r="AB78" i="3"/>
  <c r="AB94" i="3" s="1"/>
  <c r="AA78" i="3"/>
  <c r="AA94" i="3" s="1"/>
  <c r="Z78" i="3"/>
  <c r="Z94" i="3" s="1"/>
  <c r="Y78" i="3"/>
  <c r="Y94" i="3" s="1"/>
  <c r="W78" i="3"/>
  <c r="W94" i="3" s="1"/>
  <c r="V78" i="3"/>
  <c r="V94" i="3" s="1"/>
  <c r="U78" i="3"/>
  <c r="U94" i="3" s="1"/>
  <c r="T78" i="3"/>
  <c r="T94" i="3" s="1"/>
  <c r="S78" i="3"/>
  <c r="S94" i="3" s="1"/>
  <c r="R78" i="3"/>
  <c r="R94" i="3" s="1"/>
  <c r="Q78" i="3"/>
  <c r="Q94" i="3" s="1"/>
  <c r="P78" i="3"/>
  <c r="P94" i="3" s="1"/>
  <c r="O78" i="3"/>
  <c r="O94" i="3" s="1"/>
  <c r="N78" i="3"/>
  <c r="N94" i="3" s="1"/>
  <c r="M78" i="3"/>
  <c r="M94" i="3" s="1"/>
  <c r="L78" i="3"/>
  <c r="L94" i="3" s="1"/>
  <c r="K78" i="3"/>
  <c r="K94" i="3" s="1"/>
  <c r="J78" i="3"/>
  <c r="J94" i="3" s="1"/>
  <c r="I78" i="3"/>
  <c r="I94" i="3" s="1"/>
  <c r="H78" i="3"/>
  <c r="H94" i="3" s="1"/>
  <c r="G78" i="3"/>
  <c r="G94" i="3" s="1"/>
  <c r="F78" i="3"/>
  <c r="F94" i="3" s="1"/>
  <c r="E78" i="3"/>
  <c r="E94" i="3" s="1"/>
  <c r="D78" i="3"/>
  <c r="D94" i="3" s="1"/>
  <c r="C78" i="3"/>
  <c r="C94" i="3" s="1"/>
  <c r="AI94" i="3" s="1"/>
  <c r="B78" i="3"/>
  <c r="B94" i="3" s="1"/>
  <c r="AI77" i="3"/>
  <c r="AH77" i="3"/>
  <c r="AN76" i="3"/>
  <c r="AI76" i="3"/>
  <c r="AH76" i="3"/>
  <c r="AN75" i="3"/>
  <c r="AI75" i="3"/>
  <c r="AH75" i="3"/>
  <c r="AI74" i="3"/>
  <c r="AH74" i="3"/>
  <c r="AI73" i="3"/>
  <c r="AH73" i="3"/>
  <c r="AI72" i="3"/>
  <c r="AH72" i="3"/>
  <c r="AI71" i="3"/>
  <c r="AH71" i="3"/>
  <c r="AI70" i="3"/>
  <c r="AH70" i="3"/>
  <c r="AI69" i="3"/>
  <c r="AH69" i="3"/>
  <c r="AI68" i="3"/>
  <c r="AH68" i="3"/>
  <c r="AI67" i="3"/>
  <c r="AH67" i="3"/>
  <c r="AG66" i="3"/>
  <c r="AF66" i="3"/>
  <c r="AE66" i="3"/>
  <c r="AD66" i="3"/>
  <c r="AC66" i="3"/>
  <c r="AB66" i="3"/>
  <c r="AA66" i="3"/>
  <c r="Z66" i="3"/>
  <c r="Y66" i="3"/>
  <c r="W66" i="3"/>
  <c r="V66" i="3"/>
  <c r="U66" i="3"/>
  <c r="T66" i="3"/>
  <c r="S66" i="3"/>
  <c r="R66" i="3"/>
  <c r="Q66" i="3"/>
  <c r="P66" i="3"/>
  <c r="O66" i="3"/>
  <c r="N66" i="3"/>
  <c r="M66" i="3"/>
  <c r="L66" i="3"/>
  <c r="AI65" i="3"/>
  <c r="AH65" i="3"/>
  <c r="AI64" i="3"/>
  <c r="AH64" i="3"/>
  <c r="AI63" i="3"/>
  <c r="AH63" i="3"/>
  <c r="AF62" i="3"/>
  <c r="AE62" i="3"/>
  <c r="AD62" i="3"/>
  <c r="AC62" i="3"/>
  <c r="AB62" i="3"/>
  <c r="AA62" i="3"/>
  <c r="Z62" i="3"/>
  <c r="Y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AH62" i="3" s="1"/>
  <c r="C62" i="3"/>
  <c r="B62" i="3"/>
  <c r="AI61" i="3"/>
  <c r="AH61" i="3"/>
  <c r="AG61" i="3"/>
  <c r="AG62" i="3" s="1"/>
  <c r="AG3" i="3" s="1"/>
  <c r="AI60" i="3"/>
  <c r="AH60" i="3"/>
  <c r="AI59" i="3"/>
  <c r="AH59" i="3"/>
  <c r="AI58" i="3"/>
  <c r="AH58" i="3"/>
  <c r="AI57" i="3"/>
  <c r="AH57" i="3"/>
  <c r="AI56" i="3"/>
  <c r="AH56" i="3"/>
  <c r="AI55" i="3"/>
  <c r="AH55" i="3"/>
  <c r="AI54" i="3"/>
  <c r="AH54" i="3"/>
  <c r="AI53" i="3"/>
  <c r="AH53" i="3"/>
  <c r="AI52" i="3"/>
  <c r="AH52" i="3"/>
  <c r="AI51" i="3"/>
  <c r="AH51" i="3"/>
  <c r="AI50" i="3"/>
  <c r="AH50" i="3"/>
  <c r="AI49" i="3"/>
  <c r="AH49" i="3"/>
  <c r="AG48" i="3"/>
  <c r="AF48" i="3"/>
  <c r="AE48" i="3"/>
  <c r="AD48" i="3"/>
  <c r="AC48" i="3"/>
  <c r="AB48" i="3"/>
  <c r="AA48" i="3"/>
  <c r="Z48" i="3"/>
  <c r="Y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AH48" i="3" s="1"/>
  <c r="E48" i="3"/>
  <c r="D48" i="3"/>
  <c r="C48" i="3"/>
  <c r="B48" i="3"/>
  <c r="AI47" i="3"/>
  <c r="AH47" i="3"/>
  <c r="AI46" i="3"/>
  <c r="AH46" i="3"/>
  <c r="AI45" i="3"/>
  <c r="AH45" i="3"/>
  <c r="AG44" i="3"/>
  <c r="AF44" i="3"/>
  <c r="AE44" i="3"/>
  <c r="AD44" i="3"/>
  <c r="AD83" i="3" s="1"/>
  <c r="AD85" i="3" s="1"/>
  <c r="AC44" i="3"/>
  <c r="AB44" i="3"/>
  <c r="AB83" i="3" s="1"/>
  <c r="AB85" i="3" s="1"/>
  <c r="AB86" i="3" s="1"/>
  <c r="AA44" i="3"/>
  <c r="Z44" i="3"/>
  <c r="Z83" i="3" s="1"/>
  <c r="Z85" i="3" s="1"/>
  <c r="Y44" i="3"/>
  <c r="W44" i="3"/>
  <c r="V44" i="3"/>
  <c r="U44" i="3"/>
  <c r="U83" i="3" s="1"/>
  <c r="U85" i="3" s="1"/>
  <c r="T44" i="3"/>
  <c r="S44" i="3"/>
  <c r="S83" i="3" s="1"/>
  <c r="S85" i="3" s="1"/>
  <c r="S7" i="3" s="1"/>
  <c r="R44" i="3"/>
  <c r="Q44" i="3"/>
  <c r="Q83" i="3" s="1"/>
  <c r="Q85" i="3" s="1"/>
  <c r="P44" i="3"/>
  <c r="O44" i="3"/>
  <c r="N44" i="3"/>
  <c r="M44" i="3"/>
  <c r="M83" i="3" s="1"/>
  <c r="M85" i="3" s="1"/>
  <c r="L44" i="3"/>
  <c r="K44" i="3"/>
  <c r="K83" i="3" s="1"/>
  <c r="K85" i="3" s="1"/>
  <c r="K7" i="3" s="1"/>
  <c r="J44" i="3"/>
  <c r="I44" i="3"/>
  <c r="I83" i="3" s="1"/>
  <c r="I85" i="3" s="1"/>
  <c r="H44" i="3"/>
  <c r="G44" i="3"/>
  <c r="F44" i="3"/>
  <c r="E44" i="3"/>
  <c r="E83" i="3" s="1"/>
  <c r="E85" i="3" s="1"/>
  <c r="D44" i="3"/>
  <c r="C44" i="3"/>
  <c r="C83" i="3" s="1"/>
  <c r="C85" i="3" s="1"/>
  <c r="U242" i="3" s="1"/>
  <c r="B44" i="3"/>
  <c r="AI43" i="3"/>
  <c r="AH43" i="3"/>
  <c r="AI42" i="3"/>
  <c r="AH42" i="3"/>
  <c r="AI41" i="3"/>
  <c r="AH41" i="3"/>
  <c r="AI40" i="3"/>
  <c r="AH40" i="3"/>
  <c r="AI39" i="3"/>
  <c r="AH39" i="3"/>
  <c r="AI38" i="3"/>
  <c r="AH38" i="3"/>
  <c r="AI37" i="3"/>
  <c r="AH37" i="3"/>
  <c r="AI36" i="3"/>
  <c r="AH36" i="3"/>
  <c r="AI35" i="3"/>
  <c r="AH35" i="3"/>
  <c r="AI34" i="3"/>
  <c r="AH34" i="3"/>
  <c r="AI33" i="3"/>
  <c r="AH33" i="3"/>
  <c r="AI32" i="3"/>
  <c r="AH32" i="3"/>
  <c r="AI31" i="3"/>
  <c r="AH31" i="3"/>
  <c r="AI30" i="3"/>
  <c r="AH30" i="3"/>
  <c r="AI29" i="3"/>
  <c r="AH29" i="3"/>
  <c r="AI28" i="3"/>
  <c r="AH28" i="3"/>
  <c r="AI27" i="3"/>
  <c r="AH27" i="3"/>
  <c r="AI26" i="3"/>
  <c r="AH26" i="3"/>
  <c r="AI25" i="3"/>
  <c r="AH25" i="3"/>
  <c r="AI24" i="3"/>
  <c r="AH24" i="3"/>
  <c r="AI23" i="3"/>
  <c r="AH23" i="3"/>
  <c r="AI22" i="3"/>
  <c r="AH22" i="3"/>
  <c r="AI21" i="3"/>
  <c r="AH21" i="3"/>
  <c r="AI20" i="3"/>
  <c r="AH20" i="3"/>
  <c r="AI19" i="3"/>
  <c r="AH19" i="3"/>
  <c r="AI18" i="3"/>
  <c r="AH18" i="3"/>
  <c r="AI17" i="3"/>
  <c r="AH17" i="3"/>
  <c r="AI16" i="3"/>
  <c r="AH16" i="3"/>
  <c r="AI15" i="3"/>
  <c r="AH15" i="3"/>
  <c r="AI14" i="3"/>
  <c r="AH14" i="3"/>
  <c r="AI13" i="3"/>
  <c r="AH13" i="3"/>
  <c r="AI12" i="3"/>
  <c r="AH12" i="3"/>
  <c r="AI11" i="3"/>
  <c r="AH11" i="3"/>
  <c r="X7" i="3"/>
  <c r="AF5" i="3"/>
  <c r="AE5" i="3"/>
  <c r="AD5" i="3"/>
  <c r="AC5" i="3"/>
  <c r="AB5" i="3"/>
  <c r="Z5" i="3"/>
  <c r="Y5" i="3"/>
  <c r="X5" i="3"/>
  <c r="W5" i="3"/>
  <c r="V5" i="3"/>
  <c r="U5" i="3"/>
  <c r="T5" i="3"/>
  <c r="S5" i="3"/>
  <c r="Q5" i="3"/>
  <c r="P5" i="3"/>
  <c r="O5" i="3"/>
  <c r="N5" i="3"/>
  <c r="M5" i="3"/>
  <c r="L5" i="3"/>
  <c r="K5" i="3"/>
  <c r="I5" i="3"/>
  <c r="H5" i="3"/>
  <c r="G5" i="3"/>
  <c r="F5" i="3"/>
  <c r="E5" i="3"/>
  <c r="D5" i="3"/>
  <c r="C5" i="3"/>
  <c r="AG4" i="3"/>
  <c r="K4" i="3"/>
  <c r="H4" i="3"/>
  <c r="S239" i="3"/>
  <c r="AG2" i="3"/>
  <c r="AG6" i="3" s="1"/>
  <c r="AC5" i="4"/>
  <c r="AD83" i="4"/>
  <c r="AD85" i="4" s="1"/>
  <c r="AD86" i="4" s="1"/>
  <c r="AB5" i="4"/>
  <c r="X5" i="4"/>
  <c r="Y7" i="4"/>
  <c r="V5" i="4"/>
  <c r="U5" i="4"/>
  <c r="T5" i="4"/>
  <c r="S5" i="4"/>
  <c r="R5" i="4"/>
  <c r="P83" i="4"/>
  <c r="P85" i="4" s="1"/>
  <c r="AH242" i="4" s="1"/>
  <c r="L5" i="4"/>
  <c r="J5" i="4"/>
  <c r="G5" i="4"/>
  <c r="D5" i="4"/>
  <c r="E83" i="4"/>
  <c r="E85" i="4" s="1"/>
  <c r="W242" i="4" s="1"/>
  <c r="C5" i="4"/>
  <c r="AG83" i="4"/>
  <c r="M5" i="4"/>
  <c r="I83" i="4"/>
  <c r="I85" i="4" s="1"/>
  <c r="I86" i="4" s="1"/>
  <c r="J83" i="4"/>
  <c r="J85" i="4" s="1"/>
  <c r="J86" i="4" s="1"/>
  <c r="R83" i="4"/>
  <c r="R85" i="4" s="1"/>
  <c r="R7" i="4" s="1"/>
  <c r="AA86" i="4"/>
  <c r="E5" i="4"/>
  <c r="G83" i="4"/>
  <c r="G85" i="4" s="1"/>
  <c r="G7" i="4" s="1"/>
  <c r="AO242" i="4"/>
  <c r="AD5" i="4"/>
  <c r="D228" i="4"/>
  <c r="AG85" i="4"/>
  <c r="L83" i="4"/>
  <c r="L85" i="4" s="1"/>
  <c r="L7" i="4" s="1"/>
  <c r="T85" i="4"/>
  <c r="AL242" i="4" s="1"/>
  <c r="AC83" i="4"/>
  <c r="AC85" i="4" s="1"/>
  <c r="AC7" i="4" s="1"/>
  <c r="D83" i="4"/>
  <c r="D85" i="4" s="1"/>
  <c r="D7" i="4" s="1"/>
  <c r="B5" i="4"/>
  <c r="AI44" i="4"/>
  <c r="Y86" i="4"/>
  <c r="D263" i="4"/>
  <c r="E104" i="4"/>
  <c r="F227" i="4"/>
  <c r="AG6" i="4"/>
  <c r="Z86" i="4"/>
  <c r="Z7" i="4"/>
  <c r="AR242" i="4"/>
  <c r="G222" i="4"/>
  <c r="H222" i="4" s="1"/>
  <c r="F104" i="4"/>
  <c r="J225" i="4"/>
  <c r="K225" i="4" s="1"/>
  <c r="L225" i="4" s="1"/>
  <c r="M225" i="4" s="1"/>
  <c r="N225" i="4" s="1"/>
  <c r="O225" i="4" s="1"/>
  <c r="P225" i="4" s="1"/>
  <c r="E7" i="4"/>
  <c r="E223" i="4"/>
  <c r="E228" i="4" s="1"/>
  <c r="H5" i="4"/>
  <c r="P5" i="4"/>
  <c r="AF5" i="4"/>
  <c r="D104" i="4"/>
  <c r="C263" i="4"/>
  <c r="I5" i="4"/>
  <c r="Q5" i="4"/>
  <c r="Y5" i="4"/>
  <c r="Z5" i="4"/>
  <c r="B83" i="4"/>
  <c r="B85" i="4" s="1"/>
  <c r="I94" i="4"/>
  <c r="AG83" i="3"/>
  <c r="AG85" i="3"/>
  <c r="I86" i="3"/>
  <c r="I7" i="3"/>
  <c r="AA242" i="3"/>
  <c r="F222" i="3"/>
  <c r="G222" i="3" s="1"/>
  <c r="E104" i="3"/>
  <c r="J225" i="3"/>
  <c r="K225" i="3" s="1"/>
  <c r="L225" i="3" s="1"/>
  <c r="M225" i="3" s="1"/>
  <c r="N225" i="3" s="1"/>
  <c r="O225" i="3" s="1"/>
  <c r="P225" i="3" s="1"/>
  <c r="Q86" i="3"/>
  <c r="Q7" i="3"/>
  <c r="AI242" i="3"/>
  <c r="Z86" i="3"/>
  <c r="Z7" i="3"/>
  <c r="AR242" i="3"/>
  <c r="S86" i="3"/>
  <c r="W242" i="3"/>
  <c r="E86" i="3"/>
  <c r="E7" i="3"/>
  <c r="AE242" i="3"/>
  <c r="M86" i="3"/>
  <c r="M7" i="3"/>
  <c r="AM242" i="3"/>
  <c r="U86" i="3"/>
  <c r="U7" i="3"/>
  <c r="AV242" i="3"/>
  <c r="AD86" i="3"/>
  <c r="AD7" i="3"/>
  <c r="AH78" i="3"/>
  <c r="B104" i="3"/>
  <c r="F227" i="3"/>
  <c r="B83" i="3"/>
  <c r="AH66" i="3"/>
  <c r="AV242" i="4"/>
  <c r="AD7" i="4"/>
  <c r="AC86" i="4"/>
  <c r="AU242" i="4"/>
  <c r="AQ242" i="4"/>
  <c r="W7" i="4"/>
  <c r="W86" i="4"/>
  <c r="I7" i="4"/>
  <c r="AA242" i="4"/>
  <c r="E86" i="4"/>
  <c r="Y242" i="4"/>
  <c r="AB242" i="4"/>
  <c r="J7" i="4"/>
  <c r="AS242" i="4"/>
  <c r="AA7" i="4"/>
  <c r="T7" i="4"/>
  <c r="T86" i="4"/>
  <c r="D86" i="4"/>
  <c r="V242" i="4"/>
  <c r="E263" i="4"/>
  <c r="G227" i="4"/>
  <c r="G104" i="4" s="1"/>
  <c r="B85" i="3"/>
  <c r="E263" i="3"/>
  <c r="G227" i="3"/>
  <c r="F263" i="4"/>
  <c r="H227" i="4"/>
  <c r="G263" i="4" s="1"/>
  <c r="F263" i="3"/>
  <c r="H227" i="3"/>
  <c r="G263" i="3" s="1"/>
  <c r="I227" i="3"/>
  <c r="H263" i="3" s="1"/>
  <c r="AE107" i="1"/>
  <c r="X78" i="1"/>
  <c r="X66" i="1"/>
  <c r="X62" i="1"/>
  <c r="X83" i="1" s="1"/>
  <c r="X85" i="1" s="1"/>
  <c r="X48" i="1"/>
  <c r="X44" i="1"/>
  <c r="R107" i="1"/>
  <c r="S107" i="1"/>
  <c r="T107" i="1"/>
  <c r="U107" i="1"/>
  <c r="V10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B263" i="1"/>
  <c r="S23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C228" i="1"/>
  <c r="D227" i="1"/>
  <c r="C263" i="1" s="1"/>
  <c r="B227" i="1"/>
  <c r="AF263" i="1" s="1"/>
  <c r="E226" i="1"/>
  <c r="F226" i="1" s="1"/>
  <c r="G226" i="1" s="1"/>
  <c r="H226" i="1" s="1"/>
  <c r="I226" i="1" s="1"/>
  <c r="J226" i="1" s="1"/>
  <c r="K226" i="1" s="1"/>
  <c r="L226" i="1" s="1"/>
  <c r="M226" i="1" s="1"/>
  <c r="N226" i="1" s="1"/>
  <c r="O226" i="1" s="1"/>
  <c r="P226" i="1" s="1"/>
  <c r="D226" i="1"/>
  <c r="B226" i="1"/>
  <c r="D225" i="1"/>
  <c r="E225" i="1" s="1"/>
  <c r="F225" i="1" s="1"/>
  <c r="G225" i="1" s="1"/>
  <c r="H225" i="1" s="1"/>
  <c r="I225" i="1" s="1"/>
  <c r="B225" i="1"/>
  <c r="E224" i="1"/>
  <c r="F224" i="1" s="1"/>
  <c r="G224" i="1" s="1"/>
  <c r="H224" i="1" s="1"/>
  <c r="D224" i="1"/>
  <c r="B224" i="1"/>
  <c r="D223" i="1"/>
  <c r="E223" i="1" s="1"/>
  <c r="F223" i="1" s="1"/>
  <c r="G223" i="1" s="1"/>
  <c r="H223" i="1" s="1"/>
  <c r="I223" i="1" s="1"/>
  <c r="J223" i="1" s="1"/>
  <c r="K223" i="1" s="1"/>
  <c r="L223" i="1" s="1"/>
  <c r="M223" i="1" s="1"/>
  <c r="N223" i="1" s="1"/>
  <c r="O223" i="1" s="1"/>
  <c r="P223" i="1" s="1"/>
  <c r="B223" i="1"/>
  <c r="D222" i="1"/>
  <c r="E222" i="1" s="1"/>
  <c r="B222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I113" i="1"/>
  <c r="AH113" i="1"/>
  <c r="AI112" i="1"/>
  <c r="AH112" i="1"/>
  <c r="AI111" i="1"/>
  <c r="AH111" i="1"/>
  <c r="AI110" i="1"/>
  <c r="AH110" i="1"/>
  <c r="AI109" i="1"/>
  <c r="AH109" i="1"/>
  <c r="AI108" i="1"/>
  <c r="AH108" i="1"/>
  <c r="Q107" i="1"/>
  <c r="M107" i="1"/>
  <c r="L107" i="1"/>
  <c r="K107" i="1"/>
  <c r="J107" i="1"/>
  <c r="I107" i="1"/>
  <c r="H107" i="1"/>
  <c r="G107" i="1"/>
  <c r="AI107" i="1" s="1"/>
  <c r="F107" i="1"/>
  <c r="E107" i="1"/>
  <c r="AI106" i="1"/>
  <c r="AH106" i="1"/>
  <c r="AI105" i="1"/>
  <c r="AH105" i="1"/>
  <c r="AF104" i="1"/>
  <c r="AE104" i="1"/>
  <c r="AD104" i="1"/>
  <c r="AC104" i="1"/>
  <c r="AB104" i="1"/>
  <c r="AA104" i="1"/>
  <c r="Z104" i="1"/>
  <c r="Y104" i="1"/>
  <c r="W104" i="1"/>
  <c r="V104" i="1"/>
  <c r="U104" i="1"/>
  <c r="T104" i="1"/>
  <c r="S104" i="1"/>
  <c r="R104" i="1"/>
  <c r="Q104" i="1"/>
  <c r="C104" i="1"/>
  <c r="AI103" i="1"/>
  <c r="AH103" i="1"/>
  <c r="AI102" i="1"/>
  <c r="AH102" i="1"/>
  <c r="AI101" i="1"/>
  <c r="AH101" i="1"/>
  <c r="AI100" i="1"/>
  <c r="AH100" i="1"/>
  <c r="AI99" i="1"/>
  <c r="AH99" i="1"/>
  <c r="AI98" i="1"/>
  <c r="AH98" i="1"/>
  <c r="AI97" i="1"/>
  <c r="AH97" i="1"/>
  <c r="AI96" i="1"/>
  <c r="AH96" i="1"/>
  <c r="AI95" i="1"/>
  <c r="AH95" i="1"/>
  <c r="E94" i="1"/>
  <c r="AI93" i="1"/>
  <c r="AH93" i="1"/>
  <c r="AI92" i="1"/>
  <c r="AH92" i="1"/>
  <c r="AI91" i="1"/>
  <c r="AH91" i="1"/>
  <c r="AI90" i="1"/>
  <c r="AH90" i="1"/>
  <c r="AI89" i="1"/>
  <c r="AH89" i="1"/>
  <c r="AI88" i="1"/>
  <c r="AH88" i="1"/>
  <c r="AI87" i="1"/>
  <c r="AH87" i="1"/>
  <c r="AI84" i="1"/>
  <c r="AH84" i="1"/>
  <c r="AI82" i="1"/>
  <c r="AH82" i="1"/>
  <c r="AG82" i="1"/>
  <c r="AI81" i="1"/>
  <c r="AH81" i="1"/>
  <c r="AI80" i="1"/>
  <c r="AH80" i="1"/>
  <c r="AI79" i="1"/>
  <c r="AH79" i="1"/>
  <c r="AN78" i="1"/>
  <c r="AG78" i="1"/>
  <c r="AF78" i="1"/>
  <c r="AF94" i="1" s="1"/>
  <c r="AE78" i="1"/>
  <c r="AE94" i="1" s="1"/>
  <c r="AD78" i="1"/>
  <c r="AD94" i="1" s="1"/>
  <c r="AC78" i="1"/>
  <c r="AC94" i="1" s="1"/>
  <c r="AB78" i="1"/>
  <c r="AB94" i="1" s="1"/>
  <c r="AA78" i="1"/>
  <c r="AA94" i="1" s="1"/>
  <c r="Z78" i="1"/>
  <c r="Z94" i="1" s="1"/>
  <c r="Y78" i="1"/>
  <c r="Y94" i="1" s="1"/>
  <c r="W78" i="1"/>
  <c r="W94" i="1" s="1"/>
  <c r="V78" i="1"/>
  <c r="V94" i="1" s="1"/>
  <c r="U78" i="1"/>
  <c r="U94" i="1" s="1"/>
  <c r="T78" i="1"/>
  <c r="T94" i="1" s="1"/>
  <c r="S78" i="1"/>
  <c r="S94" i="1" s="1"/>
  <c r="R78" i="1"/>
  <c r="R94" i="1" s="1"/>
  <c r="Q78" i="1"/>
  <c r="Q94" i="1" s="1"/>
  <c r="P78" i="1"/>
  <c r="P94" i="1" s="1"/>
  <c r="O78" i="1"/>
  <c r="O94" i="1" s="1"/>
  <c r="N78" i="1"/>
  <c r="N94" i="1" s="1"/>
  <c r="M78" i="1"/>
  <c r="M94" i="1" s="1"/>
  <c r="AI94" i="1" s="1"/>
  <c r="L78" i="1"/>
  <c r="L94" i="1" s="1"/>
  <c r="K78" i="1"/>
  <c r="K94" i="1" s="1"/>
  <c r="J78" i="1"/>
  <c r="J94" i="1" s="1"/>
  <c r="I78" i="1"/>
  <c r="I94" i="1" s="1"/>
  <c r="H78" i="1"/>
  <c r="H94" i="1" s="1"/>
  <c r="G78" i="1"/>
  <c r="G94" i="1" s="1"/>
  <c r="F78" i="1"/>
  <c r="F94" i="1" s="1"/>
  <c r="E78" i="1"/>
  <c r="D78" i="1"/>
  <c r="D94" i="1" s="1"/>
  <c r="C78" i="1"/>
  <c r="C94" i="1" s="1"/>
  <c r="B78" i="1"/>
  <c r="AI77" i="1"/>
  <c r="AH77" i="1"/>
  <c r="AN76" i="1"/>
  <c r="AI76" i="1"/>
  <c r="AH76" i="1"/>
  <c r="AN75" i="1"/>
  <c r="AI75" i="1"/>
  <c r="AH75" i="1"/>
  <c r="AI74" i="1"/>
  <c r="AH74" i="1"/>
  <c r="AI73" i="1"/>
  <c r="AH73" i="1"/>
  <c r="AI72" i="1"/>
  <c r="AH72" i="1"/>
  <c r="AI71" i="1"/>
  <c r="AH71" i="1"/>
  <c r="AI70" i="1"/>
  <c r="AH70" i="1"/>
  <c r="AI69" i="1"/>
  <c r="AH69" i="1"/>
  <c r="AI68" i="1"/>
  <c r="AH68" i="1"/>
  <c r="AI67" i="1"/>
  <c r="AH67" i="1"/>
  <c r="AG66" i="1"/>
  <c r="AF66" i="1"/>
  <c r="AE66" i="1"/>
  <c r="AD66" i="1"/>
  <c r="AD83" i="1" s="1"/>
  <c r="AD85" i="1" s="1"/>
  <c r="AC66" i="1"/>
  <c r="AB66" i="1"/>
  <c r="AA66" i="1"/>
  <c r="Z66" i="1"/>
  <c r="Y66" i="1"/>
  <c r="W66" i="1"/>
  <c r="V66" i="1"/>
  <c r="U66" i="1"/>
  <c r="U83" i="1" s="1"/>
  <c r="U85" i="1" s="1"/>
  <c r="T66" i="1"/>
  <c r="S66" i="1"/>
  <c r="R66" i="1"/>
  <c r="Q66" i="1"/>
  <c r="P66" i="1"/>
  <c r="O66" i="1"/>
  <c r="N66" i="1"/>
  <c r="M66" i="1"/>
  <c r="AH66" i="1" s="1"/>
  <c r="AI65" i="1"/>
  <c r="AH65" i="1"/>
  <c r="AI64" i="1"/>
  <c r="AH64" i="1"/>
  <c r="AI63" i="1"/>
  <c r="AH63" i="1"/>
  <c r="AF62" i="1"/>
  <c r="AE62" i="1"/>
  <c r="AD62" i="1"/>
  <c r="AC62" i="1"/>
  <c r="AB62" i="1"/>
  <c r="AA62" i="1"/>
  <c r="Z62" i="1"/>
  <c r="Y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AI62" i="1" s="1"/>
  <c r="F62" i="1"/>
  <c r="E62" i="1"/>
  <c r="D62" i="1"/>
  <c r="C62" i="1"/>
  <c r="B62" i="1"/>
  <c r="AI61" i="1"/>
  <c r="AH61" i="1"/>
  <c r="AG61" i="1"/>
  <c r="AG62" i="1" s="1"/>
  <c r="AG3" i="1" s="1"/>
  <c r="AI60" i="1"/>
  <c r="AH60" i="1"/>
  <c r="AI59" i="1"/>
  <c r="AH59" i="1"/>
  <c r="AI58" i="1"/>
  <c r="AH58" i="1"/>
  <c r="AI57" i="1"/>
  <c r="AH57" i="1"/>
  <c r="AI56" i="1"/>
  <c r="AH56" i="1"/>
  <c r="AI55" i="1"/>
  <c r="AH55" i="1"/>
  <c r="AI54" i="1"/>
  <c r="AH54" i="1"/>
  <c r="AI53" i="1"/>
  <c r="AH53" i="1"/>
  <c r="AI52" i="1"/>
  <c r="AH52" i="1"/>
  <c r="AI51" i="1"/>
  <c r="AH51" i="1"/>
  <c r="AI50" i="1"/>
  <c r="AH50" i="1"/>
  <c r="AI49" i="1"/>
  <c r="AH49" i="1"/>
  <c r="AG48" i="1"/>
  <c r="AF48" i="1"/>
  <c r="AE48" i="1"/>
  <c r="AD48" i="1"/>
  <c r="AC48" i="1"/>
  <c r="AB48" i="1"/>
  <c r="AA48" i="1"/>
  <c r="Z48" i="1"/>
  <c r="Z83" i="1" s="1"/>
  <c r="Z85" i="1" s="1"/>
  <c r="Y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AH48" i="1" s="1"/>
  <c r="H48" i="1"/>
  <c r="G48" i="1"/>
  <c r="F48" i="1"/>
  <c r="E48" i="1"/>
  <c r="D48" i="1"/>
  <c r="C48" i="1"/>
  <c r="B48" i="1"/>
  <c r="AI47" i="1"/>
  <c r="AH47" i="1"/>
  <c r="AI46" i="1"/>
  <c r="AH46" i="1"/>
  <c r="AI45" i="1"/>
  <c r="AH45" i="1"/>
  <c r="AG44" i="1"/>
  <c r="AF44" i="1"/>
  <c r="AE44" i="1"/>
  <c r="AE83" i="1" s="1"/>
  <c r="AE85" i="1" s="1"/>
  <c r="AD44" i="1"/>
  <c r="AC44" i="1"/>
  <c r="AB44" i="1"/>
  <c r="AA44" i="1"/>
  <c r="Z44" i="1"/>
  <c r="Y44" i="1"/>
  <c r="W44" i="1"/>
  <c r="V44" i="1"/>
  <c r="V83" i="1" s="1"/>
  <c r="V85" i="1" s="1"/>
  <c r="U44" i="1"/>
  <c r="T44" i="1"/>
  <c r="S44" i="1"/>
  <c r="R44" i="1"/>
  <c r="Q44" i="1"/>
  <c r="P44" i="1"/>
  <c r="P83" i="1" s="1"/>
  <c r="P85" i="1" s="1"/>
  <c r="O44" i="1"/>
  <c r="N44" i="1"/>
  <c r="N83" i="1" s="1"/>
  <c r="N85" i="1" s="1"/>
  <c r="AF242" i="1" s="1"/>
  <c r="M44" i="1"/>
  <c r="L44" i="1"/>
  <c r="K44" i="1"/>
  <c r="K83" i="1" s="1"/>
  <c r="K85" i="1" s="1"/>
  <c r="J44" i="1"/>
  <c r="J83" i="1" s="1"/>
  <c r="J85" i="1" s="1"/>
  <c r="I44" i="1"/>
  <c r="H44" i="1"/>
  <c r="H83" i="1" s="1"/>
  <c r="H85" i="1" s="1"/>
  <c r="G44" i="1"/>
  <c r="F44" i="1"/>
  <c r="F83" i="1" s="1"/>
  <c r="F85" i="1" s="1"/>
  <c r="F86" i="1" s="1"/>
  <c r="E44" i="1"/>
  <c r="E83" i="1" s="1"/>
  <c r="E85" i="1" s="1"/>
  <c r="D44" i="1"/>
  <c r="C44" i="1"/>
  <c r="C83" i="1" s="1"/>
  <c r="C85" i="1" s="1"/>
  <c r="B44" i="1"/>
  <c r="AI43" i="1"/>
  <c r="AH43" i="1"/>
  <c r="AI42" i="1"/>
  <c r="AH42" i="1"/>
  <c r="AI41" i="1"/>
  <c r="AH41" i="1"/>
  <c r="AI40" i="1"/>
  <c r="AH40" i="1"/>
  <c r="AI39" i="1"/>
  <c r="AH39" i="1"/>
  <c r="AI38" i="1"/>
  <c r="AH38" i="1"/>
  <c r="AI37" i="1"/>
  <c r="AH37" i="1"/>
  <c r="AI36" i="1"/>
  <c r="AH36" i="1"/>
  <c r="AI35" i="1"/>
  <c r="AH35" i="1"/>
  <c r="AI34" i="1"/>
  <c r="AH34" i="1"/>
  <c r="AI33" i="1"/>
  <c r="AH33" i="1"/>
  <c r="AI32" i="1"/>
  <c r="AH32" i="1"/>
  <c r="AI31" i="1"/>
  <c r="AH31" i="1"/>
  <c r="AI30" i="1"/>
  <c r="AH30" i="1"/>
  <c r="AI29" i="1"/>
  <c r="AH29" i="1"/>
  <c r="AI28" i="1"/>
  <c r="AH28" i="1"/>
  <c r="AI27" i="1"/>
  <c r="AH27" i="1"/>
  <c r="AI26" i="1"/>
  <c r="AH26" i="1"/>
  <c r="AI25" i="1"/>
  <c r="AH25" i="1"/>
  <c r="AI24" i="1"/>
  <c r="AH24" i="1"/>
  <c r="AI23" i="1"/>
  <c r="AH23" i="1"/>
  <c r="AI22" i="1"/>
  <c r="AH22" i="1"/>
  <c r="AI21" i="1"/>
  <c r="AH21" i="1"/>
  <c r="AI20" i="1"/>
  <c r="AH20" i="1"/>
  <c r="AI19" i="1"/>
  <c r="AH19" i="1"/>
  <c r="AI18" i="1"/>
  <c r="AH18" i="1"/>
  <c r="AI17" i="1"/>
  <c r="AH17" i="1"/>
  <c r="AI16" i="1"/>
  <c r="AH16" i="1"/>
  <c r="AI15" i="1"/>
  <c r="AH15" i="1"/>
  <c r="AI14" i="1"/>
  <c r="AH14" i="1"/>
  <c r="AI13" i="1"/>
  <c r="AH13" i="1"/>
  <c r="AI12" i="1"/>
  <c r="AH12" i="1"/>
  <c r="AI11" i="1"/>
  <c r="AH11" i="1"/>
  <c r="AF5" i="1"/>
  <c r="W5" i="1"/>
  <c r="P5" i="1"/>
  <c r="O5" i="1"/>
  <c r="N5" i="1"/>
  <c r="L5" i="1"/>
  <c r="K5" i="1"/>
  <c r="J5" i="1"/>
  <c r="I5" i="1"/>
  <c r="H5" i="1"/>
  <c r="G5" i="1"/>
  <c r="F5" i="1"/>
  <c r="D5" i="1"/>
  <c r="C5" i="1"/>
  <c r="B5" i="1"/>
  <c r="AG4" i="1"/>
  <c r="K4" i="1"/>
  <c r="E4" i="1"/>
  <c r="H4" i="1" s="1"/>
  <c r="B4" i="1"/>
  <c r="S239" i="1" s="1"/>
  <c r="AG2" i="1"/>
  <c r="AE5" i="1"/>
  <c r="AF83" i="1"/>
  <c r="AF85" i="1" s="1"/>
  <c r="AF86" i="1" s="1"/>
  <c r="AC5" i="1"/>
  <c r="AB5" i="1"/>
  <c r="AC83" i="1"/>
  <c r="AC85" i="1" s="1"/>
  <c r="AC86" i="1" s="1"/>
  <c r="AA5" i="1"/>
  <c r="AB83" i="1"/>
  <c r="AB85" i="1" s="1"/>
  <c r="AT242" i="1" s="1"/>
  <c r="Z5" i="1"/>
  <c r="AA83" i="1"/>
  <c r="AA85" i="1" s="1"/>
  <c r="Y5" i="1"/>
  <c r="X5" i="1"/>
  <c r="Y83" i="1"/>
  <c r="Y85" i="1" s="1"/>
  <c r="AQ242" i="1" s="1"/>
  <c r="T5" i="1"/>
  <c r="S5" i="1"/>
  <c r="R83" i="1"/>
  <c r="R85" i="1" s="1"/>
  <c r="R86" i="1" s="1"/>
  <c r="Q5" i="1"/>
  <c r="R5" i="1"/>
  <c r="T83" i="1"/>
  <c r="T85" i="1" s="1"/>
  <c r="AL242" i="1" s="1"/>
  <c r="S83" i="1"/>
  <c r="S85" i="1" s="1"/>
  <c r="AK242" i="1" s="1"/>
  <c r="V5" i="1"/>
  <c r="W83" i="1"/>
  <c r="W85" i="1" s="1"/>
  <c r="W86" i="1" s="1"/>
  <c r="K86" i="1"/>
  <c r="K7" i="1"/>
  <c r="AC242" i="1"/>
  <c r="R7" i="1"/>
  <c r="C86" i="1"/>
  <c r="C7" i="1"/>
  <c r="U242" i="1"/>
  <c r="W242" i="1"/>
  <c r="E86" i="1"/>
  <c r="E7" i="1"/>
  <c r="J225" i="1"/>
  <c r="K225" i="1" s="1"/>
  <c r="L225" i="1" s="1"/>
  <c r="M225" i="1" s="1"/>
  <c r="N225" i="1" s="1"/>
  <c r="O225" i="1" s="1"/>
  <c r="P225" i="1" s="1"/>
  <c r="AA86" i="1"/>
  <c r="AA7" i="1"/>
  <c r="AS242" i="1"/>
  <c r="J86" i="1"/>
  <c r="J7" i="1"/>
  <c r="AB242" i="1"/>
  <c r="H86" i="1"/>
  <c r="H7" i="1"/>
  <c r="Z242" i="1"/>
  <c r="P86" i="1"/>
  <c r="P7" i="1"/>
  <c r="AH242" i="1"/>
  <c r="Y86" i="1"/>
  <c r="Y7" i="1"/>
  <c r="E227" i="1"/>
  <c r="D263" i="1" s="1"/>
  <c r="B83" i="1"/>
  <c r="B94" i="1"/>
  <c r="AH44" i="1"/>
  <c r="B104" i="1"/>
  <c r="AU242" i="1"/>
  <c r="AC7" i="1"/>
  <c r="AB86" i="1"/>
  <c r="T7" i="1"/>
  <c r="T86" i="1"/>
  <c r="B85" i="1"/>
  <c r="D239" i="3"/>
  <c r="OR96" i="5"/>
  <c r="OR31" i="5"/>
  <c r="OR50" i="5"/>
  <c r="B7" i="4" l="1"/>
  <c r="B86" i="4"/>
  <c r="T242" i="4"/>
  <c r="AE242" i="4"/>
  <c r="M86" i="4"/>
  <c r="M7" i="4"/>
  <c r="H222" i="3"/>
  <c r="G104" i="3"/>
  <c r="K7" i="4"/>
  <c r="K86" i="4"/>
  <c r="AC242" i="4"/>
  <c r="AK242" i="4"/>
  <c r="S86" i="4"/>
  <c r="S7" i="4"/>
  <c r="AF7" i="4"/>
  <c r="AF86" i="4"/>
  <c r="AX242" i="4"/>
  <c r="AF242" i="4"/>
  <c r="N7" i="4"/>
  <c r="N86" i="4"/>
  <c r="AI242" i="4"/>
  <c r="Q86" i="4"/>
  <c r="Q7" i="4"/>
  <c r="AW242" i="4"/>
  <c r="AE86" i="4"/>
  <c r="AE7" i="4"/>
  <c r="AM242" i="1"/>
  <c r="U86" i="1"/>
  <c r="U7" i="1"/>
  <c r="AV242" i="1"/>
  <c r="AD7" i="1"/>
  <c r="AD86" i="1"/>
  <c r="AH94" i="1"/>
  <c r="V7" i="1"/>
  <c r="V86" i="1"/>
  <c r="AN242" i="1"/>
  <c r="AE86" i="1"/>
  <c r="AW242" i="1"/>
  <c r="AE7" i="1"/>
  <c r="AR242" i="1"/>
  <c r="Z86" i="1"/>
  <c r="Z7" i="1"/>
  <c r="F222" i="1"/>
  <c r="E228" i="1"/>
  <c r="E104" i="1"/>
  <c r="X86" i="1"/>
  <c r="X7" i="1"/>
  <c r="AP242" i="1"/>
  <c r="H104" i="4"/>
  <c r="I222" i="4"/>
  <c r="J222" i="4" s="1"/>
  <c r="B7" i="1"/>
  <c r="S7" i="1"/>
  <c r="AX242" i="1"/>
  <c r="X242" i="1"/>
  <c r="B86" i="1"/>
  <c r="AO242" i="1"/>
  <c r="AH78" i="1"/>
  <c r="AH62" i="1"/>
  <c r="AI44" i="1"/>
  <c r="AI48" i="1"/>
  <c r="AD5" i="1"/>
  <c r="M83" i="1"/>
  <c r="M85" i="1" s="1"/>
  <c r="C7" i="3"/>
  <c r="AT242" i="3"/>
  <c r="AI78" i="4"/>
  <c r="P86" i="4"/>
  <c r="O83" i="4"/>
  <c r="O85" i="4" s="1"/>
  <c r="AI44" i="3"/>
  <c r="J83" i="3"/>
  <c r="J85" i="3" s="1"/>
  <c r="R83" i="3"/>
  <c r="R85" i="3" s="1"/>
  <c r="AA83" i="3"/>
  <c r="AA85" i="3" s="1"/>
  <c r="F227" i="1"/>
  <c r="N7" i="1"/>
  <c r="AJ242" i="1"/>
  <c r="U5" i="1"/>
  <c r="G83" i="1"/>
  <c r="G85" i="1" s="1"/>
  <c r="O83" i="1"/>
  <c r="O85" i="1" s="1"/>
  <c r="J227" i="3"/>
  <c r="G86" i="4"/>
  <c r="AH44" i="3"/>
  <c r="AK242" i="3"/>
  <c r="AH94" i="3"/>
  <c r="C83" i="4"/>
  <c r="C85" i="4" s="1"/>
  <c r="AH85" i="4" s="1"/>
  <c r="AI48" i="4"/>
  <c r="D83" i="3"/>
  <c r="D85" i="3" s="1"/>
  <c r="L83" i="3"/>
  <c r="L85" i="3" s="1"/>
  <c r="T83" i="3"/>
  <c r="T85" i="3" s="1"/>
  <c r="AC83" i="3"/>
  <c r="AC85" i="3" s="1"/>
  <c r="AN77" i="3"/>
  <c r="E223" i="3"/>
  <c r="N5" i="4"/>
  <c r="AH107" i="1"/>
  <c r="N86" i="1"/>
  <c r="AI66" i="1"/>
  <c r="AG6" i="1"/>
  <c r="AG83" i="1"/>
  <c r="AG85" i="1"/>
  <c r="D104" i="1"/>
  <c r="F104" i="3"/>
  <c r="AD242" i="4"/>
  <c r="F5" i="4"/>
  <c r="AB83" i="4"/>
  <c r="AB85" i="4" s="1"/>
  <c r="AI66" i="3"/>
  <c r="U85" i="4"/>
  <c r="U83" i="4"/>
  <c r="T242" i="1"/>
  <c r="F7" i="1"/>
  <c r="E5" i="1"/>
  <c r="M5" i="1"/>
  <c r="I83" i="1"/>
  <c r="I85" i="1" s="1"/>
  <c r="Q83" i="1"/>
  <c r="Q85" i="1" s="1"/>
  <c r="I227" i="4"/>
  <c r="B86" i="3"/>
  <c r="R86" i="4"/>
  <c r="K86" i="3"/>
  <c r="AH66" i="4"/>
  <c r="F83" i="4"/>
  <c r="F85" i="4" s="1"/>
  <c r="AI85" i="4" s="1"/>
  <c r="H83" i="4"/>
  <c r="H85" i="4" s="1"/>
  <c r="AA5" i="4"/>
  <c r="F83" i="3"/>
  <c r="F85" i="3" s="1"/>
  <c r="N83" i="3"/>
  <c r="N85" i="3" s="1"/>
  <c r="V83" i="3"/>
  <c r="V85" i="3" s="1"/>
  <c r="AE83" i="3"/>
  <c r="AE85" i="3" s="1"/>
  <c r="V83" i="4"/>
  <c r="V85" i="4" s="1"/>
  <c r="AH107" i="4"/>
  <c r="S86" i="1"/>
  <c r="AF7" i="1"/>
  <c r="B228" i="1"/>
  <c r="D228" i="1"/>
  <c r="T242" i="3"/>
  <c r="F223" i="4"/>
  <c r="AC242" i="3"/>
  <c r="AI62" i="4"/>
  <c r="G83" i="3"/>
  <c r="G85" i="3" s="1"/>
  <c r="O83" i="3"/>
  <c r="O85" i="3" s="1"/>
  <c r="W83" i="3"/>
  <c r="W85" i="3" s="1"/>
  <c r="AF83" i="3"/>
  <c r="AF85" i="3" s="1"/>
  <c r="AI48" i="3"/>
  <c r="B7" i="3"/>
  <c r="AJ242" i="4"/>
  <c r="L86" i="4"/>
  <c r="AI78" i="3"/>
  <c r="C86" i="3"/>
  <c r="AB7" i="3"/>
  <c r="AI94" i="4"/>
  <c r="P7" i="4"/>
  <c r="B5" i="3"/>
  <c r="J5" i="3"/>
  <c r="R5" i="3"/>
  <c r="H83" i="3"/>
  <c r="H85" i="3" s="1"/>
  <c r="P83" i="3"/>
  <c r="P85" i="3" s="1"/>
  <c r="Y83" i="3"/>
  <c r="Y85" i="3" s="1"/>
  <c r="AN77" i="4"/>
  <c r="W7" i="1"/>
  <c r="AB7" i="1"/>
  <c r="AI78" i="1"/>
  <c r="D83" i="1"/>
  <c r="L83" i="1"/>
  <c r="L85" i="1" s="1"/>
  <c r="AN77" i="1"/>
  <c r="AH78" i="4"/>
  <c r="AA5" i="3"/>
  <c r="AI62" i="3"/>
  <c r="BQ29" i="5"/>
  <c r="BP29" i="5"/>
  <c r="D47" i="5"/>
  <c r="BF20" i="5"/>
  <c r="BA43" i="5"/>
  <c r="BF43" i="5" s="1"/>
  <c r="BB35" i="5"/>
  <c r="BK35" i="5" s="1"/>
  <c r="D239" i="1"/>
  <c r="D239" i="4"/>
  <c r="OR95" i="5"/>
  <c r="I104" i="4" l="1"/>
  <c r="H263" i="4"/>
  <c r="J227" i="4"/>
  <c r="D85" i="1"/>
  <c r="AI83" i="1"/>
  <c r="AH83" i="1"/>
  <c r="Q7" i="1"/>
  <c r="Q86" i="1"/>
  <c r="AI242" i="1"/>
  <c r="AC86" i="3"/>
  <c r="AU242" i="3"/>
  <c r="AC7" i="3"/>
  <c r="AG242" i="4"/>
  <c r="O86" i="4"/>
  <c r="O7" i="4"/>
  <c r="A7" i="4" s="1"/>
  <c r="L7" i="1"/>
  <c r="AD242" i="1"/>
  <c r="L86" i="1"/>
  <c r="F7" i="3"/>
  <c r="X242" i="3"/>
  <c r="F86" i="3"/>
  <c r="AH86" i="3" s="1"/>
  <c r="H86" i="4"/>
  <c r="H7" i="4"/>
  <c r="Z242" i="4"/>
  <c r="I86" i="1"/>
  <c r="I7" i="1"/>
  <c r="AA242" i="1"/>
  <c r="AB86" i="4"/>
  <c r="AB7" i="4"/>
  <c r="AT242" i="4"/>
  <c r="T86" i="3"/>
  <c r="T7" i="3"/>
  <c r="AL242" i="3"/>
  <c r="C237" i="4"/>
  <c r="AE242" i="1"/>
  <c r="M86" i="1"/>
  <c r="M7" i="1"/>
  <c r="G7" i="3"/>
  <c r="Y242" i="3"/>
  <c r="C237" i="3"/>
  <c r="B237" i="3"/>
  <c r="K6" i="3" s="1"/>
  <c r="G86" i="3"/>
  <c r="G223" i="4"/>
  <c r="F228" i="4"/>
  <c r="AD242" i="3"/>
  <c r="L86" i="3"/>
  <c r="L7" i="3"/>
  <c r="AN242" i="4"/>
  <c r="V86" i="4"/>
  <c r="V7" i="4"/>
  <c r="D7" i="3"/>
  <c r="A7" i="3" s="1"/>
  <c r="V242" i="3"/>
  <c r="D86" i="3"/>
  <c r="AH83" i="4"/>
  <c r="E263" i="1"/>
  <c r="G227" i="1"/>
  <c r="U7" i="4"/>
  <c r="AM242" i="4"/>
  <c r="U86" i="4"/>
  <c r="G7" i="1"/>
  <c r="Y242" i="1"/>
  <c r="B237" i="1"/>
  <c r="K6" i="1" s="1"/>
  <c r="C237" i="1"/>
  <c r="G86" i="1"/>
  <c r="AF86" i="3"/>
  <c r="AF7" i="3"/>
  <c r="AX242" i="3"/>
  <c r="AE7" i="3"/>
  <c r="AW242" i="3"/>
  <c r="AE86" i="3"/>
  <c r="AI83" i="4"/>
  <c r="AA7" i="3"/>
  <c r="AS242" i="3"/>
  <c r="AA86" i="3"/>
  <c r="AH85" i="3"/>
  <c r="H86" i="3"/>
  <c r="H7" i="3"/>
  <c r="Z242" i="3"/>
  <c r="AI85" i="3"/>
  <c r="F86" i="4"/>
  <c r="X242" i="4"/>
  <c r="F7" i="4"/>
  <c r="I222" i="3"/>
  <c r="H104" i="3"/>
  <c r="Y86" i="3"/>
  <c r="Y7" i="3"/>
  <c r="AQ242" i="3"/>
  <c r="W86" i="3"/>
  <c r="W7" i="3"/>
  <c r="AO242" i="3"/>
  <c r="AN242" i="3"/>
  <c r="V86" i="3"/>
  <c r="V7" i="3"/>
  <c r="C86" i="4"/>
  <c r="AH86" i="4" s="1"/>
  <c r="U242" i="4"/>
  <c r="C7" i="4"/>
  <c r="K227" i="3"/>
  <c r="I263" i="3"/>
  <c r="R86" i="3"/>
  <c r="R7" i="3"/>
  <c r="AJ242" i="3"/>
  <c r="B237" i="4"/>
  <c r="J104" i="4"/>
  <c r="K222" i="4"/>
  <c r="F104" i="1"/>
  <c r="F228" i="1"/>
  <c r="G222" i="1"/>
  <c r="P7" i="3"/>
  <c r="P86" i="3"/>
  <c r="AH242" i="3"/>
  <c r="AG242" i="3"/>
  <c r="O86" i="3"/>
  <c r="O7" i="3"/>
  <c r="AF242" i="3"/>
  <c r="N7" i="3"/>
  <c r="N86" i="3"/>
  <c r="AI86" i="3"/>
  <c r="F223" i="3"/>
  <c r="E228" i="3"/>
  <c r="AG242" i="1"/>
  <c r="O86" i="1"/>
  <c r="O7" i="1"/>
  <c r="J7" i="3"/>
  <c r="AB242" i="3"/>
  <c r="J86" i="3"/>
  <c r="AI83" i="3"/>
  <c r="AH83" i="3"/>
  <c r="H8" i="5"/>
  <c r="H223" i="4" l="1"/>
  <c r="G228" i="4"/>
  <c r="G228" i="1"/>
  <c r="H222" i="1"/>
  <c r="G104" i="1"/>
  <c r="K6" i="4"/>
  <c r="V242" i="1"/>
  <c r="D7" i="1"/>
  <c r="A7" i="1" s="1"/>
  <c r="D86" i="1"/>
  <c r="AI85" i="1"/>
  <c r="AH85" i="1"/>
  <c r="H227" i="1"/>
  <c r="F263" i="1"/>
  <c r="K227" i="4"/>
  <c r="I263" i="4"/>
  <c r="G223" i="3"/>
  <c r="F228" i="3"/>
  <c r="L227" i="3"/>
  <c r="J263" i="3"/>
  <c r="I104" i="3"/>
  <c r="J222" i="3"/>
  <c r="K104" i="4"/>
  <c r="L222" i="4"/>
  <c r="AI86" i="4"/>
  <c r="I8" i="5"/>
  <c r="H9" i="5"/>
  <c r="K222" i="3" l="1"/>
  <c r="J104" i="3"/>
  <c r="M222" i="4"/>
  <c r="L104" i="4"/>
  <c r="I222" i="1"/>
  <c r="H104" i="1"/>
  <c r="H228" i="1"/>
  <c r="J263" i="4"/>
  <c r="L227" i="4"/>
  <c r="G263" i="1"/>
  <c r="I227" i="1"/>
  <c r="K263" i="3"/>
  <c r="M227" i="3"/>
  <c r="AI86" i="1"/>
  <c r="AH86" i="1"/>
  <c r="I223" i="4"/>
  <c r="J223" i="4" s="1"/>
  <c r="K223" i="4" s="1"/>
  <c r="L223" i="4" s="1"/>
  <c r="M223" i="4" s="1"/>
  <c r="N223" i="4" s="1"/>
  <c r="O223" i="4" s="1"/>
  <c r="P223" i="4" s="1"/>
  <c r="H228" i="4"/>
  <c r="H223" i="3"/>
  <c r="G228" i="3"/>
  <c r="H11" i="5"/>
  <c r="I11" i="5" s="1"/>
  <c r="I9" i="5"/>
  <c r="L263" i="3" l="1"/>
  <c r="N227" i="3"/>
  <c r="I104" i="1"/>
  <c r="J222" i="1"/>
  <c r="M104" i="4"/>
  <c r="N222" i="4"/>
  <c r="J227" i="1"/>
  <c r="H263" i="1"/>
  <c r="I223" i="3"/>
  <c r="J223" i="3" s="1"/>
  <c r="K223" i="3" s="1"/>
  <c r="L223" i="3" s="1"/>
  <c r="M223" i="3" s="1"/>
  <c r="N223" i="3" s="1"/>
  <c r="O223" i="3" s="1"/>
  <c r="P223" i="3" s="1"/>
  <c r="H228" i="3"/>
  <c r="M227" i="4"/>
  <c r="K263" i="4"/>
  <c r="L222" i="3"/>
  <c r="K104" i="3"/>
  <c r="I263" i="1" l="1"/>
  <c r="K227" i="1"/>
  <c r="O222" i="4"/>
  <c r="N104" i="4"/>
  <c r="M222" i="3"/>
  <c r="L104" i="3"/>
  <c r="K222" i="1"/>
  <c r="J104" i="1"/>
  <c r="N227" i="4"/>
  <c r="L263" i="4"/>
  <c r="M263" i="3"/>
  <c r="O227" i="3"/>
  <c r="N263" i="3" l="1"/>
  <c r="P227" i="3"/>
  <c r="O263" i="3" s="1"/>
  <c r="N222" i="3"/>
  <c r="M104" i="3"/>
  <c r="O104" i="4"/>
  <c r="P222" i="4"/>
  <c r="O227" i="4"/>
  <c r="M263" i="4"/>
  <c r="J263" i="1"/>
  <c r="L227" i="1"/>
  <c r="L222" i="1"/>
  <c r="K104" i="1"/>
  <c r="AH104" i="4" l="1"/>
  <c r="AI104" i="4"/>
  <c r="M222" i="1"/>
  <c r="L104" i="1"/>
  <c r="M227" i="1"/>
  <c r="K263" i="1"/>
  <c r="O222" i="3"/>
  <c r="N104" i="3"/>
  <c r="N263" i="4"/>
  <c r="P227" i="4"/>
  <c r="O263" i="4" s="1"/>
  <c r="L263" i="1" l="1"/>
  <c r="N227" i="1"/>
  <c r="M104" i="1"/>
  <c r="N222" i="1"/>
  <c r="O104" i="3"/>
  <c r="P222" i="3"/>
  <c r="AI104" i="3" l="1"/>
  <c r="AH104" i="3"/>
  <c r="N104" i="1"/>
  <c r="O222" i="1"/>
  <c r="M263" i="1"/>
  <c r="O227" i="1"/>
  <c r="P227" i="1" l="1"/>
  <c r="O263" i="1" s="1"/>
  <c r="N263" i="1"/>
  <c r="P222" i="1"/>
  <c r="O104" i="1"/>
  <c r="AI104" i="1" l="1"/>
  <c r="AH104" i="1"/>
  <c r="P228" i="33" l="1"/>
  <c r="P224" i="33"/>
  <c r="P228" i="32"/>
  <c r="P224" i="32"/>
  <c r="P228" i="3"/>
  <c r="P224" i="3"/>
  <c r="M228" i="10"/>
  <c r="M228" i="36"/>
  <c r="L228" i="24"/>
  <c r="J228" i="16"/>
  <c r="J228" i="25"/>
  <c r="N228" i="36"/>
  <c r="K228" i="29"/>
  <c r="K228" i="3"/>
  <c r="J228" i="37"/>
  <c r="P228" i="26"/>
  <c r="P224" i="26"/>
  <c r="O228" i="17"/>
  <c r="N228" i="19"/>
  <c r="N228" i="10"/>
  <c r="P228" i="31"/>
  <c r="P224" i="31"/>
  <c r="O224" i="17"/>
  <c r="P224" i="17"/>
  <c r="P228" i="17"/>
  <c r="P228" i="36"/>
  <c r="P224" i="36"/>
  <c r="N228" i="6"/>
  <c r="L228" i="1"/>
  <c r="K228" i="14"/>
  <c r="L228" i="10"/>
  <c r="O224" i="3"/>
  <c r="O228" i="3"/>
  <c r="O224" i="32"/>
  <c r="O228" i="32"/>
  <c r="J228" i="20"/>
  <c r="O228" i="1"/>
  <c r="J228" i="11"/>
  <c r="O224" i="33"/>
  <c r="O228" i="33"/>
  <c r="J228" i="14"/>
  <c r="K228" i="16"/>
  <c r="N228" i="34"/>
  <c r="N228" i="26"/>
  <c r="L228" i="13"/>
  <c r="P228" i="15"/>
  <c r="P224" i="15"/>
  <c r="K228" i="20"/>
  <c r="O224" i="1"/>
  <c r="P224" i="1"/>
  <c r="P228" i="1"/>
  <c r="J228" i="24"/>
  <c r="J228" i="28"/>
  <c r="J228" i="3"/>
  <c r="N228" i="9"/>
  <c r="K228" i="10"/>
  <c r="O228" i="37"/>
  <c r="N224" i="32"/>
  <c r="N228" i="32"/>
  <c r="N228" i="31"/>
  <c r="K228" i="24"/>
  <c r="N224" i="1"/>
  <c r="N228" i="1"/>
  <c r="P228" i="27"/>
  <c r="P224" i="27"/>
  <c r="P228" i="7"/>
  <c r="P224" i="7"/>
  <c r="N224" i="33"/>
  <c r="N228" i="33"/>
  <c r="O228" i="9"/>
  <c r="P228" i="23"/>
  <c r="P224" i="23"/>
  <c r="L228" i="36"/>
  <c r="O224" i="37"/>
  <c r="P224" i="37"/>
  <c r="P228" i="37"/>
  <c r="O228" i="34"/>
  <c r="M228" i="13"/>
  <c r="P228" i="25"/>
  <c r="P224" i="25"/>
  <c r="P228" i="11"/>
  <c r="P224" i="11"/>
  <c r="K228" i="36"/>
  <c r="K228" i="1"/>
  <c r="M228" i="31"/>
  <c r="J228" i="9"/>
  <c r="K228" i="13"/>
  <c r="J228" i="10"/>
  <c r="K228" i="15"/>
  <c r="O224" i="11"/>
  <c r="O228" i="11"/>
  <c r="L228" i="6"/>
  <c r="J228" i="29"/>
  <c r="J228" i="1"/>
  <c r="I228" i="1"/>
  <c r="I224" i="1"/>
  <c r="J224" i="1"/>
  <c r="K224" i="1"/>
  <c r="L224" i="1"/>
  <c r="M224" i="1"/>
  <c r="M228" i="1"/>
  <c r="L228" i="31"/>
  <c r="N224" i="17"/>
  <c r="N228" i="17"/>
  <c r="J228" i="13"/>
  <c r="N228" i="29"/>
  <c r="N224" i="37"/>
  <c r="N228" i="37"/>
  <c r="K228" i="26"/>
  <c r="M228" i="18"/>
  <c r="K228" i="23"/>
  <c r="L228" i="26"/>
  <c r="O224" i="27"/>
  <c r="O228" i="27"/>
  <c r="O224" i="7"/>
  <c r="O228" i="7"/>
  <c r="K228" i="11"/>
  <c r="N228" i="13"/>
  <c r="N228" i="35"/>
  <c r="N224" i="9"/>
  <c r="O224" i="9"/>
  <c r="P224" i="9"/>
  <c r="P228" i="9"/>
  <c r="K228" i="30"/>
  <c r="P228" i="30"/>
  <c r="P224" i="30"/>
  <c r="N224" i="34"/>
  <c r="O224" i="34"/>
  <c r="P224" i="34"/>
  <c r="P228" i="34"/>
  <c r="M228" i="28"/>
  <c r="O224" i="25"/>
  <c r="O228" i="25"/>
  <c r="O228" i="16"/>
  <c r="P228" i="20"/>
  <c r="P224" i="20"/>
  <c r="K228" i="4"/>
  <c r="N228" i="30"/>
  <c r="J228" i="30"/>
  <c r="O228" i="6"/>
  <c r="M224" i="37"/>
  <c r="M228" i="37"/>
  <c r="L228" i="32"/>
  <c r="L228" i="35"/>
  <c r="J228" i="23"/>
  <c r="L228" i="3"/>
  <c r="N224" i="27"/>
  <c r="N228" i="27"/>
  <c r="M228" i="35"/>
  <c r="O228" i="4"/>
  <c r="N228" i="23"/>
  <c r="N228" i="16"/>
  <c r="N224" i="23"/>
  <c r="O224" i="23"/>
  <c r="O228" i="23"/>
  <c r="P228" i="35"/>
  <c r="P224" i="35"/>
  <c r="O228" i="18"/>
  <c r="P228" i="24"/>
  <c r="P224" i="24"/>
  <c r="N224" i="25"/>
  <c r="N228" i="25"/>
  <c r="N224" i="16"/>
  <c r="O224" i="16"/>
  <c r="P224" i="16"/>
  <c r="P228" i="16"/>
  <c r="J228" i="19"/>
  <c r="L228" i="23"/>
  <c r="J228" i="15"/>
  <c r="O228" i="14"/>
  <c r="K228" i="6"/>
  <c r="M224" i="33"/>
  <c r="M228" i="33"/>
  <c r="N224" i="3"/>
  <c r="N228" i="3"/>
  <c r="K228" i="31"/>
  <c r="M224" i="34"/>
  <c r="M228" i="34"/>
  <c r="K228" i="35"/>
  <c r="K228" i="27"/>
  <c r="M228" i="19"/>
  <c r="N228" i="14"/>
  <c r="N228" i="4"/>
  <c r="M228" i="29"/>
  <c r="M228" i="11"/>
  <c r="L224" i="33"/>
  <c r="L228" i="33"/>
  <c r="J228" i="31"/>
  <c r="L224" i="34"/>
  <c r="L228" i="34"/>
  <c r="M228" i="6"/>
  <c r="J228" i="27"/>
  <c r="L228" i="17"/>
  <c r="L228" i="19"/>
  <c r="K228" i="32"/>
  <c r="K228" i="9"/>
  <c r="M228" i="30"/>
  <c r="P228" i="10"/>
  <c r="P224" i="10"/>
  <c r="M228" i="15"/>
  <c r="K228" i="17"/>
  <c r="K224" i="6"/>
  <c r="L224" i="6"/>
  <c r="M224" i="6"/>
  <c r="N224" i="6"/>
  <c r="O224" i="6"/>
  <c r="P224" i="6"/>
  <c r="P228" i="6"/>
  <c r="L228" i="14"/>
  <c r="P228" i="13"/>
  <c r="P224" i="13"/>
  <c r="K228" i="18"/>
  <c r="K228" i="7"/>
  <c r="J228" i="33"/>
  <c r="M228" i="20"/>
  <c r="M224" i="27"/>
  <c r="M228" i="27"/>
  <c r="M228" i="7"/>
  <c r="M224" i="11"/>
  <c r="N224" i="11"/>
  <c r="N228" i="11"/>
  <c r="M224" i="16"/>
  <c r="M228" i="16"/>
  <c r="N224" i="4"/>
  <c r="O224" i="4"/>
  <c r="P224" i="4"/>
  <c r="P228" i="4"/>
  <c r="I228" i="23"/>
  <c r="I224" i="23"/>
  <c r="J224" i="23"/>
  <c r="K224" i="23"/>
  <c r="L224" i="23"/>
  <c r="M224" i="23"/>
  <c r="M228" i="23"/>
  <c r="N224" i="14"/>
  <c r="O224" i="14"/>
  <c r="P224" i="14"/>
  <c r="P228" i="14"/>
  <c r="J228" i="35"/>
  <c r="N228" i="18"/>
  <c r="M228" i="26"/>
  <c r="L228" i="28"/>
  <c r="M224" i="18"/>
  <c r="N224" i="18"/>
  <c r="O224" i="18"/>
  <c r="P224" i="18"/>
  <c r="P228" i="18"/>
  <c r="O224" i="24"/>
  <c r="O228" i="24"/>
  <c r="J228" i="4"/>
  <c r="P228" i="19"/>
  <c r="P224" i="19"/>
  <c r="O228" i="28"/>
  <c r="N228" i="20"/>
  <c r="O228" i="29"/>
  <c r="K224" i="32"/>
  <c r="L224" i="32"/>
  <c r="M224" i="32"/>
  <c r="M228" i="32"/>
  <c r="K224" i="36"/>
  <c r="L224" i="36"/>
  <c r="M224" i="36"/>
  <c r="N224" i="36"/>
  <c r="O224" i="36"/>
  <c r="O228" i="36"/>
  <c r="I228" i="3"/>
  <c r="I224" i="3"/>
  <c r="J224" i="3"/>
  <c r="K224" i="3"/>
  <c r="L224" i="3"/>
  <c r="M224" i="3"/>
  <c r="M228" i="3"/>
  <c r="N228" i="28"/>
  <c r="J228" i="17"/>
  <c r="I228" i="33"/>
  <c r="I224" i="33"/>
  <c r="J224" i="33"/>
  <c r="K224" i="33"/>
  <c r="K228" i="33"/>
  <c r="I228" i="14"/>
  <c r="I224" i="14"/>
  <c r="J224" i="14"/>
  <c r="K224" i="14"/>
  <c r="L224" i="14"/>
  <c r="M224" i="14"/>
  <c r="M228" i="14"/>
  <c r="M224" i="4"/>
  <c r="M228" i="4"/>
  <c r="L228" i="29"/>
  <c r="I228" i="11"/>
  <c r="I224" i="11"/>
  <c r="J224" i="11"/>
  <c r="K224" i="11"/>
  <c r="L224" i="11"/>
  <c r="L228" i="11"/>
  <c r="I228" i="4"/>
  <c r="I224" i="4"/>
  <c r="J224" i="4"/>
  <c r="K224" i="4"/>
  <c r="L224" i="4"/>
  <c r="L228" i="4"/>
  <c r="J228" i="26"/>
  <c r="K228" i="37"/>
  <c r="K224" i="34"/>
  <c r="K228" i="34"/>
  <c r="I228" i="13"/>
  <c r="I224" i="13"/>
  <c r="J224" i="13"/>
  <c r="K224" i="13"/>
  <c r="L224" i="13"/>
  <c r="M224" i="13"/>
  <c r="N224" i="13"/>
  <c r="O224" i="13"/>
  <c r="O228" i="13"/>
  <c r="I228" i="36"/>
  <c r="I224" i="36"/>
  <c r="J224" i="36"/>
  <c r="J228" i="36"/>
  <c r="K228" i="19"/>
  <c r="K228" i="25"/>
  <c r="L228" i="30"/>
  <c r="I228" i="10"/>
  <c r="I224" i="10"/>
  <c r="J224" i="10"/>
  <c r="K224" i="10"/>
  <c r="L224" i="10"/>
  <c r="M224" i="10"/>
  <c r="N224" i="10"/>
  <c r="O224" i="10"/>
  <c r="O228" i="10"/>
  <c r="L228" i="15"/>
  <c r="I228" i="37"/>
  <c r="I224" i="37"/>
  <c r="J224" i="37"/>
  <c r="K224" i="37"/>
  <c r="L224" i="37"/>
  <c r="L228" i="37"/>
  <c r="M224" i="9"/>
  <c r="M228" i="9"/>
  <c r="I228" i="9"/>
  <c r="I224" i="9"/>
  <c r="J224" i="9"/>
  <c r="K224" i="9"/>
  <c r="L224" i="9"/>
  <c r="L228" i="9"/>
  <c r="I228" i="17"/>
  <c r="I224" i="17"/>
  <c r="J224" i="17"/>
  <c r="K224" i="17"/>
  <c r="L224" i="17"/>
  <c r="M224" i="17"/>
  <c r="M228" i="17"/>
  <c r="K228" i="28"/>
  <c r="J228" i="18"/>
  <c r="J228" i="7"/>
  <c r="L228" i="20"/>
  <c r="I228" i="27"/>
  <c r="I224" i="27"/>
  <c r="J224" i="27"/>
  <c r="K224" i="27"/>
  <c r="L224" i="27"/>
  <c r="L228" i="27"/>
  <c r="N228" i="15"/>
  <c r="L228" i="7"/>
  <c r="I228" i="34"/>
  <c r="I224" i="34"/>
  <c r="J224" i="34"/>
  <c r="J228" i="34"/>
  <c r="I228" i="16"/>
  <c r="I224" i="16"/>
  <c r="J224" i="16"/>
  <c r="K224" i="16"/>
  <c r="L224" i="16"/>
  <c r="L228" i="16"/>
  <c r="M228" i="24"/>
  <c r="I228" i="15"/>
  <c r="I224" i="15"/>
  <c r="J224" i="15"/>
  <c r="K224" i="15"/>
  <c r="L224" i="15"/>
  <c r="M224" i="15"/>
  <c r="N224" i="15"/>
  <c r="O224" i="15"/>
  <c r="O228" i="15"/>
  <c r="I228" i="18"/>
  <c r="I224" i="18"/>
  <c r="J224" i="18"/>
  <c r="K224" i="18"/>
  <c r="L224" i="18"/>
  <c r="L228" i="18"/>
  <c r="I228" i="6"/>
  <c r="I224" i="6"/>
  <c r="J224" i="6"/>
  <c r="J228" i="6"/>
  <c r="I228" i="35"/>
  <c r="I224" i="35"/>
  <c r="J224" i="35"/>
  <c r="K224" i="35"/>
  <c r="L224" i="35"/>
  <c r="M224" i="35"/>
  <c r="N224" i="35"/>
  <c r="O224" i="35"/>
  <c r="O228" i="35"/>
  <c r="I228" i="30"/>
  <c r="I224" i="30"/>
  <c r="J224" i="30"/>
  <c r="K224" i="30"/>
  <c r="L224" i="30"/>
  <c r="M224" i="30"/>
  <c r="N224" i="30"/>
  <c r="O224" i="30"/>
  <c r="O228" i="30"/>
  <c r="L228" i="25"/>
  <c r="I228" i="25"/>
  <c r="I224" i="25"/>
  <c r="J224" i="25"/>
  <c r="K224" i="25"/>
  <c r="L224" i="25"/>
  <c r="M224" i="25"/>
  <c r="M228" i="25"/>
  <c r="I228" i="7"/>
  <c r="I224" i="7"/>
  <c r="J224" i="7"/>
  <c r="K224" i="7"/>
  <c r="L224" i="7"/>
  <c r="M224" i="7"/>
  <c r="N224" i="7"/>
  <c r="N228" i="7"/>
  <c r="I228" i="26"/>
  <c r="I224" i="26"/>
  <c r="J224" i="26"/>
  <c r="K224" i="26"/>
  <c r="L224" i="26"/>
  <c r="M224" i="26"/>
  <c r="N224" i="26"/>
  <c r="O224" i="26"/>
  <c r="O228" i="26"/>
  <c r="I228" i="24"/>
  <c r="I224" i="24"/>
  <c r="J224" i="24"/>
  <c r="K224" i="24"/>
  <c r="L224" i="24"/>
  <c r="M224" i="24"/>
  <c r="N224" i="24"/>
  <c r="N228" i="24"/>
  <c r="I228" i="32"/>
  <c r="I224" i="32"/>
  <c r="J224" i="32"/>
  <c r="J228" i="32"/>
  <c r="I228" i="19"/>
  <c r="I224" i="19"/>
  <c r="J224" i="19"/>
  <c r="K224" i="19"/>
  <c r="L224" i="19"/>
  <c r="M224" i="19"/>
  <c r="N224" i="19"/>
  <c r="O224" i="19"/>
  <c r="O228" i="19"/>
  <c r="I228" i="28"/>
  <c r="I224" i="28"/>
  <c r="J224" i="28"/>
  <c r="K224" i="28"/>
  <c r="L224" i="28"/>
  <c r="M224" i="28"/>
  <c r="N224" i="28"/>
  <c r="O224" i="28"/>
  <c r="P224" i="28"/>
  <c r="P228" i="28"/>
  <c r="I228" i="20"/>
  <c r="I224" i="20"/>
  <c r="J224" i="20"/>
  <c r="K224" i="20"/>
  <c r="L224" i="20"/>
  <c r="M224" i="20"/>
  <c r="N224" i="20"/>
  <c r="O224" i="20"/>
  <c r="O228" i="20"/>
  <c r="I228" i="29"/>
  <c r="I224" i="29"/>
  <c r="J224" i="29"/>
  <c r="K224" i="29"/>
  <c r="L224" i="29"/>
  <c r="M224" i="29"/>
  <c r="N224" i="29"/>
  <c r="O224" i="29"/>
  <c r="P224" i="29"/>
  <c r="P228" i="29"/>
  <c r="I228" i="31"/>
  <c r="I224" i="31"/>
  <c r="J224" i="31"/>
  <c r="K224" i="31"/>
  <c r="L224" i="31"/>
  <c r="M224" i="31"/>
  <c r="N224" i="31"/>
  <c r="O224" i="31"/>
  <c r="O228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T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Nepalgunj Old
081-520242
9815511542</t>
        </r>
      </text>
    </comment>
    <comment ref="U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Nepalgunj New
081-521479
9815511541
9868008212Gyani ram</t>
        </r>
      </text>
    </comment>
    <comment ref="V9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Rajbiraj
031-520059</t>
        </r>
      </text>
    </comment>
    <comment ref="W9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Jaleswor
044-692109
044-520196
9854032196
</t>
        </r>
      </text>
    </comment>
    <comment ref="X9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Birgunj
051-522708</t>
        </r>
      </text>
    </comment>
    <comment ref="Y9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Bisanpur
033-402033
033-520115</t>
        </r>
      </text>
    </comment>
    <comment ref="Z9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Inaruwa
025-560380</t>
        </r>
      </text>
    </comment>
    <comment ref="H14" authorId="0" shapeId="0" xr:uid="{00000000-0006-0000-0000-000008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063-460292
</t>
        </r>
      </text>
    </comment>
    <comment ref="H16" authorId="0" shapeId="0" xr:uid="{00000000-0006-0000-0000-000009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994930045
</t>
        </r>
      </text>
    </comment>
    <comment ref="H17" authorId="0" shapeId="0" xr:uid="{00000000-0006-0000-0000-00000A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9849666612
9860270087
Dam: 9846114860
Er,: 9843102018
</t>
        </r>
      </text>
    </comment>
    <comment ref="M18" authorId="0" shapeId="0" xr:uid="{00000000-0006-0000-0000-00000B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029680611
</t>
        </r>
      </text>
    </comment>
    <comment ref="BJ18" authorId="0" shapeId="0" xr:uid="{00000000-0006-0000-0000-00000C000000}">
      <text/>
    </comment>
    <comment ref="H20" authorId="0" shapeId="0" xr:uid="{00000000-0006-0000-0000-00000D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9851238769
9851066017
</t>
        </r>
      </text>
    </comment>
    <comment ref="M23" authorId="0" shapeId="0" xr:uid="{00000000-0006-0000-0000-00000E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9867665925
</t>
        </r>
      </text>
    </comment>
    <comment ref="M24" authorId="0" shapeId="0" xr:uid="{00000000-0006-0000-0000-00000F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9867665925
</t>
        </r>
      </text>
    </comment>
    <comment ref="M25" authorId="0" shapeId="0" xr:uid="{00000000-0006-0000-0000-000010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016213314
</t>
        </r>
      </text>
    </comment>
    <comment ref="M27" authorId="0" shapeId="0" xr:uid="{00000000-0006-0000-0000-000011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9861821882
</t>
        </r>
      </text>
    </comment>
    <comment ref="H28" authorId="0" shapeId="0" xr:uid="{00000000-0006-0000-0000-000012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010541004
994100004
</t>
        </r>
      </text>
    </comment>
    <comment ref="M28" authorId="0" shapeId="0" xr:uid="{00000000-0006-0000-0000-000013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9840731162
9849921738
</t>
        </r>
      </text>
    </comment>
    <comment ref="H29" authorId="0" shapeId="0" xr:uid="{00000000-0006-0000-0000-000014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9857630975
9846905857
</t>
        </r>
      </text>
    </comment>
    <comment ref="H30" authorId="0" shapeId="0" xr:uid="{00000000-0006-0000-0000-000015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9857630975
9846905857
</t>
        </r>
      </text>
    </comment>
    <comment ref="M31" authorId="0" shapeId="0" xr:uid="{00000000-0006-0000-0000-000016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9847900358
</t>
        </r>
      </text>
    </comment>
    <comment ref="C32" authorId="0" shapeId="0" xr:uid="{00000000-0006-0000-0000-000017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9857062085</t>
        </r>
      </text>
    </comment>
    <comment ref="M32" authorId="0" shapeId="0" xr:uid="{00000000-0006-0000-0000-000018000000}">
      <text>
        <r>
          <rPr>
            <b/>
            <sz val="11"/>
            <color indexed="81"/>
            <rFont val="Tahoma"/>
            <family val="2"/>
          </rPr>
          <t>Windows User:Sipring
9860936535</t>
        </r>
        <r>
          <rPr>
            <sz val="11"/>
            <color indexed="81"/>
            <rFont val="Tahoma"/>
            <family val="2"/>
          </rPr>
          <t xml:space="preserve">
9851165757
</t>
        </r>
      </text>
    </comment>
    <comment ref="M33" authorId="0" shapeId="0" xr:uid="{00000000-0006-0000-0000-000019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9847152647
</t>
        </r>
      </text>
    </comment>
    <comment ref="C35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Multifuel
9852075666
021-420858</t>
        </r>
      </text>
    </comment>
    <comment ref="C36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Tanakpur
919897543001
099413108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6" authorId="0" shapeId="0" xr:uid="{00000000-0006-0000-0000-00001C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016200704
</t>
        </r>
      </text>
    </comment>
    <comment ref="C37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Kataiya
9841307540
9807368484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7" authorId="0" shapeId="0" xr:uid="{00000000-0006-0000-0000-00001E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9801416571
9851111404
</t>
        </r>
      </text>
    </comment>
    <comment ref="C38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Mujaffarpur Phone No:
1424919771413604</t>
        </r>
      </text>
    </comment>
    <comment ref="H38" authorId="0" shapeId="0" xr:uid="{00000000-0006-0000-0000-000020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9801416571
9851111404
</t>
        </r>
      </text>
    </comment>
    <comment ref="M38" authorId="0" shapeId="0" xr:uid="{00000000-0006-0000-0000-000021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011489312
</t>
        </r>
      </text>
    </comment>
    <comment ref="C39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Ramnagar
078520492
9863291876
9847053515</t>
        </r>
      </text>
    </comment>
    <comment ref="H39" authorId="0" shapeId="0" xr:uid="{00000000-0006-0000-0000-000023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9801122862
9810328726
9808314188
9843694489
9880098753
</t>
        </r>
      </text>
    </comment>
    <comment ref="M39" authorId="0" shapeId="0" xr:uid="{00000000-0006-0000-0000-000024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9801827493
</t>
        </r>
      </text>
    </comment>
    <comment ref="C40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051580450
16411
</t>
        </r>
      </text>
    </comment>
    <comment ref="H40" authorId="0" shapeId="0" xr:uid="{00000000-0006-0000-0000-000026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9858033007
</t>
        </r>
      </text>
    </comment>
    <comment ref="M40" authorId="0" shapeId="0" xr:uid="{00000000-0006-0000-0000-000027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9801827493
</t>
        </r>
      </text>
    </comment>
    <comment ref="H42" authorId="0" shapeId="0" xr:uid="{00000000-0006-0000-0000-000028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9857017349
994860106
</t>
        </r>
      </text>
    </comment>
    <comment ref="S44" authorId="0" shapeId="0" xr:uid="{00000000-0006-0000-0000-000029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063-460292
</t>
        </r>
      </text>
    </comment>
    <comment ref="H45" authorId="0" shapeId="0" xr:uid="{00000000-0006-0000-0000-00002A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9801416571
9851111404
</t>
        </r>
      </text>
    </comment>
    <comment ref="M45" authorId="0" shapeId="0" xr:uid="{00000000-0006-0000-0000-00002B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9846922413
</t>
        </r>
      </text>
    </comment>
    <comment ref="H46" authorId="0" shapeId="0" xr:uid="{00000000-0006-0000-0000-00002C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9848639822
9801147081
</t>
        </r>
      </text>
    </comment>
    <comment ref="S46" authorId="0" shapeId="0" xr:uid="{00000000-0006-0000-0000-00002D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994930045
</t>
        </r>
      </text>
    </comment>
    <comment ref="S47" authorId="0" shapeId="0" xr:uid="{00000000-0006-0000-0000-00002E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9849666612
9860270087
Dam: 9846114860
Er,: 9843102018
</t>
        </r>
      </text>
    </comment>
    <comment ref="H49" authorId="0" shapeId="0" xr:uid="{00000000-0006-0000-0000-00002F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9801017707
</t>
        </r>
      </text>
    </comment>
    <comment ref="M49" authorId="0" shapeId="0" xr:uid="{00000000-0006-0000-0000-000030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9843643727
</t>
        </r>
      </text>
    </comment>
    <comment ref="H50" authorId="0" shapeId="0" xr:uid="{00000000-0006-0000-0000-000031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9851173043
</t>
        </r>
      </text>
    </comment>
    <comment ref="M54" authorId="0" shapeId="0" xr:uid="{00000000-0006-0000-0000-000032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9846922413
</t>
        </r>
      </text>
    </comment>
    <comment ref="M56" authorId="0" shapeId="0" xr:uid="{00000000-0006-0000-0000-000033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9801182125
</t>
        </r>
      </text>
    </comment>
    <comment ref="H57" authorId="0" shapeId="0" xr:uid="{00000000-0006-0000-0000-000034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016200425
</t>
        </r>
      </text>
    </comment>
    <comment ref="M57" authorId="0" shapeId="0" xr:uid="{00000000-0006-0000-0000-000035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9846921047
</t>
        </r>
      </text>
    </comment>
    <comment ref="B58" authorId="0" shapeId="0" xr:uid="{00000000-0006-0000-0000-000036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9852045167</t>
        </r>
      </text>
    </comment>
    <comment ref="AH59" authorId="0" shapeId="0" xr:uid="{00000000-0006-0000-0000-000037000000}">
      <text>
        <r>
          <rPr>
            <sz val="9"/>
            <color indexed="81"/>
            <rFont val="Tahoma"/>
            <family val="2"/>
          </rPr>
          <t xml:space="preserve">9847406388
</t>
        </r>
      </text>
    </comment>
    <comment ref="H64" authorId="0" shapeId="0" xr:uid="{00000000-0006-0000-0000-000038000000}">
      <text>
        <r>
          <rPr>
            <b/>
            <sz val="11"/>
            <color indexed="81"/>
            <rFont val="Tahoma"/>
            <family val="2"/>
          </rPr>
          <t>Author:</t>
        </r>
        <r>
          <rPr>
            <sz val="11"/>
            <color indexed="81"/>
            <rFont val="Tahoma"/>
            <family val="2"/>
          </rPr>
          <t xml:space="preserve">
9801237874
</t>
        </r>
      </text>
    </comment>
    <comment ref="H72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9816079376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<sst xmlns="http://schemas.openxmlformats.org/spreadsheetml/2006/main" count="9585" uniqueCount="724">
  <si>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</si>
  <si>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</si>
  <si>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</si>
  <si>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</si>
  <si>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</si>
  <si>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</si>
  <si>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</si>
  <si>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</si>
  <si>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</si>
  <si>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</si>
  <si>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</si>
  <si>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</si>
  <si>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</si>
  <si>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</si>
  <si>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</si>
  <si>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</si>
  <si>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</si>
  <si>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</si>
  <si>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</si>
  <si>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Likhu-IV(52.4)</t>
  </si>
  <si>
    <t>Upper Marsyangdi "A"(50)</t>
  </si>
  <si>
    <t>Upper Bhotekoshi Khola(45)</t>
  </si>
  <si>
    <t>Mistri Khola(42)</t>
  </si>
  <si>
    <t>Upper Balefi (36)</t>
  </si>
  <si>
    <t>Nyadi(30)</t>
  </si>
  <si>
    <t>Likhu Khola A(29.04)</t>
  </si>
  <si>
    <t>Lower Likhu(28)</t>
  </si>
  <si>
    <t>Dordi(27)</t>
  </si>
  <si>
    <t>Upper Madi(25)</t>
  </si>
  <si>
    <t>Kabeli B-1(25)</t>
  </si>
  <si>
    <t>Singati Khola(25)</t>
  </si>
  <si>
    <t>Upper Dordi (25)</t>
  </si>
  <si>
    <t>Solu Khola(23.5)</t>
  </si>
  <si>
    <t>Upper Chaku A(22.2)</t>
  </si>
  <si>
    <t>Tallo Hewa Khola(22.1)</t>
  </si>
  <si>
    <t xml:space="preserve"> Sanima Mai Khola(22)</t>
  </si>
  <si>
    <t>Bagmati Khola Small(22)</t>
  </si>
  <si>
    <t>Lower Modi (20)</t>
  </si>
  <si>
    <t>Middle Modi (18)</t>
  </si>
  <si>
    <t>Hewa Khola A(14.9)</t>
  </si>
  <si>
    <t>Thapa Khola(13.6)</t>
  </si>
  <si>
    <t>Madkyu Khola(13)</t>
  </si>
  <si>
    <t>Dordi12)</t>
  </si>
  <si>
    <t>Jhimruk Khola(12)</t>
  </si>
  <si>
    <t>Upper Khimti(12)</t>
  </si>
  <si>
    <t>Upper Mai Khola (12)</t>
  </si>
  <si>
    <t>Namarjun Madi(11.88)</t>
  </si>
  <si>
    <t>Lower Khare(11)</t>
  </si>
  <si>
    <t>Lower Modi 1(10)</t>
  </si>
  <si>
    <t>Mithila Solar PV Electric Project(10)</t>
  </si>
  <si>
    <t>Other IPP Total</t>
  </si>
  <si>
    <t>Kabeli Corridor</t>
  </si>
  <si>
    <t>Total IPP</t>
  </si>
  <si>
    <t>Upper Tamakoshi(456)</t>
  </si>
  <si>
    <t>Khimti Khola(60)</t>
  </si>
  <si>
    <t>Chilime(22.1)</t>
  </si>
  <si>
    <t>Total NEA SUBSIDIARIES</t>
  </si>
  <si>
    <t>KGA(144)</t>
  </si>
  <si>
    <t>Middle MRS(70)</t>
  </si>
  <si>
    <t>MRS(69)</t>
  </si>
  <si>
    <t>U Trisuli 3A(60)</t>
  </si>
  <si>
    <t>CHM(30)</t>
  </si>
  <si>
    <t>NEA  SOLAR(25)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</si>
  <si>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</si>
  <si>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</si>
  <si>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</si>
  <si>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</si>
  <si>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</si>
  <si>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</si>
  <si>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</si>
  <si>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</si>
  <si>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</si>
  <si>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</si>
  <si>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</si>
  <si>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</si>
  <si>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TANAKPUR</t>
  </si>
  <si>
    <t>KATAIYA</t>
  </si>
  <si>
    <t>MUJAFFARPUR</t>
  </si>
  <si>
    <t>RAMNAGAR</t>
  </si>
  <si>
    <t>RAXAUL 132</t>
  </si>
  <si>
    <t>NANPARA(33kV)</t>
  </si>
  <si>
    <t>BISHANPUR(33kV)</t>
  </si>
  <si>
    <t xml:space="preserve">UTK Discharge Test </t>
  </si>
  <si>
    <t>JALESHWOR(33kV)</t>
  </si>
  <si>
    <t>RAJBIRAJ(33kV)</t>
  </si>
  <si>
    <t>Line1</t>
  </si>
  <si>
    <t>RAXAUL(33kV)</t>
  </si>
  <si>
    <t>Line 2</t>
  </si>
  <si>
    <t>OTHERS IMPORT</t>
  </si>
  <si>
    <t>Total IMPORT</t>
  </si>
  <si>
    <t>MULTI F(39)</t>
  </si>
  <si>
    <t>HTD DIE(14.41)</t>
  </si>
  <si>
    <t>MRS DI()</t>
  </si>
  <si>
    <t>Total THERMAL</t>
  </si>
  <si>
    <t>TOTAL SYSTEM LOAD (ACTUAL)</t>
  </si>
  <si>
    <t>Interruption/Tripping</t>
  </si>
  <si>
    <t>TOTAL SYSTEM LOAD (EXPECTED)</t>
  </si>
  <si>
    <t>TOTAL NATIONAL LOAD (ACTUAL)</t>
  </si>
  <si>
    <t>RAXAUL</t>
  </si>
  <si>
    <t>MUZAFFARPUR</t>
  </si>
  <si>
    <t>OTHERS EXPORT</t>
  </si>
  <si>
    <t>Total EXPORT</t>
  </si>
  <si>
    <t>NET IMPORT</t>
  </si>
  <si>
    <t>HZ</t>
  </si>
  <si>
    <t>HTD 132KV</t>
  </si>
  <si>
    <t xml:space="preserve">SUI 132KV </t>
  </si>
  <si>
    <t xml:space="preserve">DUBI 132KV </t>
  </si>
  <si>
    <t xml:space="preserve">ANAMANI 132KV </t>
  </si>
  <si>
    <t xml:space="preserve">KG-A 132KV </t>
  </si>
  <si>
    <t xml:space="preserve">KOHALPUR 132KV </t>
  </si>
  <si>
    <t xml:space="preserve">SUI 66KV </t>
  </si>
  <si>
    <t/>
  </si>
  <si>
    <t>Kathmandu Load</t>
  </si>
  <si>
    <t>MRS-SYU</t>
  </si>
  <si>
    <t>NMRS-MATA</t>
  </si>
  <si>
    <t>KL2-MATA</t>
  </si>
  <si>
    <t>KL1-SYU</t>
  </si>
  <si>
    <t>KHIMTI-LAMOSAGU</t>
  </si>
  <si>
    <t>DHALKE-CHAPUR I</t>
  </si>
  <si>
    <t>NBHARATPUR-BARDGHAT</t>
  </si>
  <si>
    <t>DAMAK-DUHABI</t>
  </si>
  <si>
    <t>HETAUDA-KAMANE</t>
  </si>
  <si>
    <t>Others IPP Detail</t>
  </si>
  <si>
    <t>Upper Mai Khola(9.98)</t>
  </si>
  <si>
    <t>Kabeli B-1 Cascade(9.94)</t>
  </si>
  <si>
    <t>Iwa Khola(9.9)</t>
  </si>
  <si>
    <t>Sipring Khola(9.658)</t>
  </si>
  <si>
    <t>Super Mai 'A' (9.6)</t>
  </si>
  <si>
    <t>Mai Beni(9.51)</t>
  </si>
  <si>
    <t>Andhi Khola(9.4)</t>
  </si>
  <si>
    <t>Rudi Khola A(8.8)</t>
  </si>
  <si>
    <t>Naugadh gad Khola(8.5)</t>
  </si>
  <si>
    <t>Butwal Solar Project(8.5)</t>
  </si>
  <si>
    <t>Upper Hewa Khola Small(8.5)</t>
  </si>
  <si>
    <t>Ankhu Khola - 1(8.4)</t>
  </si>
  <si>
    <t>Mai sana Cascade(8)</t>
  </si>
  <si>
    <t>Upper Naugad Gad(8)</t>
  </si>
  <si>
    <t>Taksar Pikhuwa(8)</t>
  </si>
  <si>
    <t>Super Mai(7.8)</t>
  </si>
  <si>
    <t>Jogmai(7.6)</t>
  </si>
  <si>
    <t>Indrawati - III (7.5)</t>
  </si>
  <si>
    <t>Upper Khorunga(7.5)</t>
  </si>
  <si>
    <t>Mai Cascade(7)</t>
  </si>
  <si>
    <t>Molung Khola(7)</t>
  </si>
  <si>
    <t>Upper Mardi(7)</t>
  </si>
  <si>
    <t>Upper Khimti II(7)</t>
  </si>
  <si>
    <t>Rudi Khola B(6.6)</t>
  </si>
  <si>
    <t>Sapsup Khola(6.6)</t>
  </si>
  <si>
    <t>Suri Khola(6.4)</t>
  </si>
  <si>
    <t>Lower Jogmai(6.2)</t>
  </si>
  <si>
    <t>Daraudi Khola A(6)</t>
  </si>
  <si>
    <t>Upper Mai C(5.1)</t>
  </si>
  <si>
    <t>Tadi Khola (Thaprek)(5)</t>
  </si>
  <si>
    <t>Mailung Khola(5)</t>
  </si>
  <si>
    <t>Upper Hugdi Khola(5)</t>
  </si>
  <si>
    <t>Pikhuwa Khola(5)</t>
  </si>
  <si>
    <t>Ghalemdi Khola(5)</t>
  </si>
  <si>
    <t>Ghatte Khola(5)</t>
  </si>
  <si>
    <t>Belchautara Solar Project(5)</t>
  </si>
  <si>
    <t>Lower Tadi(4.993)</t>
  </si>
  <si>
    <t>Richet Khola(4.98)</t>
  </si>
  <si>
    <t>Siuri Khola(4.95)</t>
  </si>
  <si>
    <t>Phawa Khola(4.95)</t>
  </si>
  <si>
    <t>Mardi Khola(4.8)</t>
  </si>
  <si>
    <t>Padam Khola(4.8)</t>
  </si>
  <si>
    <t>Mai Khola(4.5)</t>
  </si>
  <si>
    <t>Bijayapur 2 Khola Small(4.5)</t>
  </si>
  <si>
    <t>Hewa Khola(4.455)</t>
  </si>
  <si>
    <t>Bijayapur-1(4.41)</t>
  </si>
  <si>
    <t>Radhi Khola(4.4)</t>
  </si>
  <si>
    <t>Tungun-Thosne(4.36)</t>
  </si>
  <si>
    <t>Baramchi Khola(4.2)</t>
  </si>
  <si>
    <t>Khudi Khola(4)</t>
  </si>
  <si>
    <t>Sabha Khola(4)</t>
  </si>
  <si>
    <t>Puwa Khola -1 (4)</t>
  </si>
  <si>
    <t>Sardi Khola(4)</t>
  </si>
  <si>
    <t>Chandranigahpur Solar Project(4)</t>
  </si>
  <si>
    <t>Upper Chhyangdi Khola(4)</t>
  </si>
  <si>
    <t>Super Mai Cascade(3.8)</t>
  </si>
  <si>
    <t>Dwari Khola(3.75)</t>
  </si>
  <si>
    <t>Charanawati  Khola(3.52)</t>
  </si>
  <si>
    <t>Kapadi Gad(3.33)</t>
  </si>
  <si>
    <t>Piluwa Khola Small(3)</t>
  </si>
  <si>
    <t>Chaku Khola(3)</t>
  </si>
  <si>
    <t>Bhairab Kunda(3)</t>
  </si>
  <si>
    <t>Upper Puwa -1(3)</t>
  </si>
  <si>
    <t>Midim Karapu(3)</t>
  </si>
  <si>
    <t>Upper Rawa(3)</t>
  </si>
  <si>
    <t>Everest Sugar and Chemical Industries Ltd.(3)</t>
  </si>
  <si>
    <t>Indushankar Chini Udhyog Ltd.(3)</t>
  </si>
  <si>
    <t>Dhalkebar Solar Project(3)</t>
  </si>
  <si>
    <t>Chake Khola(2.83)</t>
  </si>
  <si>
    <t>Sunkoshi Small(2.5)</t>
  </si>
  <si>
    <t>Daram Khola A(2.5)</t>
  </si>
  <si>
    <t>Ridi Khola(2.4)</t>
  </si>
  <si>
    <t>Upper Syange Khola(2.4)</t>
  </si>
  <si>
    <t>Jiri Khola Small(2.2)</t>
  </si>
  <si>
    <t>Chhandi(2)</t>
  </si>
  <si>
    <t>Jhyadi Khola(2)</t>
  </si>
  <si>
    <t>Khani Khola(2)</t>
  </si>
  <si>
    <t>Middle Chaku(1.8)</t>
  </si>
  <si>
    <t>Lower Chaku Khola(1.8)</t>
  </si>
  <si>
    <t>Thoppal Khola(1.65)</t>
  </si>
  <si>
    <t>Theule Khola(1.5)</t>
  </si>
  <si>
    <t>Dhalkebar Saurya Aayojana(1)</t>
  </si>
  <si>
    <t>Suspa Bukhari(0.998)</t>
  </si>
  <si>
    <t>Lower Chhote Khola(0.997)</t>
  </si>
  <si>
    <t>Hadi Khola Sunkoshi A(0.997)</t>
  </si>
  <si>
    <t>Pati Khola Small(0.996)</t>
  </si>
  <si>
    <t>Miya Khola(0.996)</t>
  </si>
  <si>
    <t>Jeuligad(0.996)</t>
  </si>
  <si>
    <t>Pheme Khola(0.995)</t>
  </si>
  <si>
    <t>Chhote Khola(0.993)</t>
  </si>
  <si>
    <t>Upper Hadi Khola(0.991)</t>
  </si>
  <si>
    <t>Lower Piluwa Small(0.99)</t>
  </si>
  <si>
    <t>Seti-II(0.979)</t>
  </si>
  <si>
    <t>Bishnu Priya Solar Farm Project(0.96)</t>
  </si>
  <si>
    <t>Sisne Khola Small(0.75)</t>
  </si>
  <si>
    <t>Solar(0.68)</t>
  </si>
  <si>
    <t>Dhunge-Jiri(0.6)</t>
  </si>
  <si>
    <t>Belkhu(0.518)</t>
  </si>
  <si>
    <t>Rairang Khola(0.5)</t>
  </si>
  <si>
    <t>Sali Nadi(0.25)</t>
  </si>
  <si>
    <t>Syange Khola(0.183)</t>
  </si>
  <si>
    <t>Midim Khola(0.1)</t>
  </si>
  <si>
    <t>Sobuwa Khola-2 MHP(0.09)</t>
  </si>
  <si>
    <t>Leguwa Khola(0.04)</t>
  </si>
  <si>
    <t>Syauri Bhumey(0.023)</t>
  </si>
  <si>
    <t>Others IPP Total</t>
  </si>
  <si>
    <t>PANAUTI(2.4)</t>
  </si>
  <si>
    <t>TATOPANI(2)</t>
  </si>
  <si>
    <t>SETI(1.5)</t>
  </si>
  <si>
    <t>FEWA(1)</t>
  </si>
  <si>
    <t>TINAU(1)</t>
  </si>
  <si>
    <t>SUNDARIJAL(0.66)</t>
  </si>
  <si>
    <t>Water Level</t>
  </si>
  <si>
    <t>KGA</t>
  </si>
  <si>
    <t>MMRS</t>
  </si>
  <si>
    <t>MRS</t>
  </si>
  <si>
    <t>KL 1</t>
  </si>
  <si>
    <t>Morning Peak</t>
  </si>
  <si>
    <t>PEAK SUMMARY</t>
  </si>
  <si>
    <t>NEA(RoR+PRoR)</t>
  </si>
  <si>
    <t xml:space="preserve"> Hrs.</t>
  </si>
  <si>
    <t>KL1+KL2+KL3</t>
  </si>
  <si>
    <t>T_Load</t>
  </si>
  <si>
    <t>Import</t>
  </si>
  <si>
    <t>Export</t>
  </si>
  <si>
    <t>Total</t>
  </si>
  <si>
    <t>Time</t>
  </si>
  <si>
    <t>Frequency</t>
  </si>
  <si>
    <t>System Operation Department/Load Dispatch Center</t>
  </si>
  <si>
    <t>KL-1 Reservoir Water  Level (m):</t>
  </si>
  <si>
    <t>Max</t>
  </si>
  <si>
    <t>Vlookup Range R1</t>
  </si>
  <si>
    <t>Vlookup Range R2</t>
  </si>
  <si>
    <t>Unique Code</t>
  </si>
  <si>
    <t>Name of NEA's Plants</t>
  </si>
  <si>
    <t>Total Gen.
(MWh)</t>
  </si>
  <si>
    <t>Max. Load (MW)</t>
  </si>
  <si>
    <t>Evening Peak (MW)</t>
  </si>
  <si>
    <t xml:space="preserve"> DAILY  OPERATION  REPORT</t>
  </si>
  <si>
    <t>Date</t>
  </si>
  <si>
    <t>Level</t>
  </si>
  <si>
    <t>Net Change (last 24 hrs)</t>
  </si>
  <si>
    <t>Net Change from BOY</t>
  </si>
  <si>
    <t>Min</t>
  </si>
  <si>
    <t>$A$14</t>
  </si>
  <si>
    <t>$F$86</t>
  </si>
  <si>
    <t>KGA (144)</t>
  </si>
  <si>
    <t>SUMMARY</t>
  </si>
  <si>
    <t>Energy (MWh)</t>
  </si>
  <si>
    <t>Average (MW)</t>
  </si>
  <si>
    <t>Peak (MW)</t>
  </si>
  <si>
    <t>Date: Shrawan 1, 2079 (July 17, 2022) Sunday</t>
  </si>
  <si>
    <t>F/Y 2078/079 (2021/2022)</t>
  </si>
  <si>
    <t>Peak Hz.:</t>
  </si>
  <si>
    <t>Middle MRS (70)</t>
  </si>
  <si>
    <t>NEA ROR&amp;PROR</t>
  </si>
  <si>
    <t>MRS (69)</t>
  </si>
  <si>
    <t>NEA MAJOR  &amp;  MEDIUM POWER STATIONS</t>
  </si>
  <si>
    <t>079/3/1</t>
  </si>
  <si>
    <t>Recorded peak</t>
  </si>
  <si>
    <t>MW</t>
  </si>
  <si>
    <t>Time (hrs)</t>
  </si>
  <si>
    <t>U Trisuli 3A (60)</t>
  </si>
  <si>
    <t>Date Nepali :</t>
  </si>
  <si>
    <t>NEA Subsidiaries</t>
  </si>
  <si>
    <t>Evening Peak</t>
  </si>
  <si>
    <t>Level at the beginning of month</t>
  </si>
  <si>
    <t>Load (MW) with Interruption</t>
  </si>
  <si>
    <t>System Peak Load =&gt;</t>
  </si>
  <si>
    <t>NEA</t>
  </si>
  <si>
    <t>CHM (30)</t>
  </si>
  <si>
    <t xml:space="preserve">        English :</t>
  </si>
  <si>
    <t>Load (P) MW</t>
  </si>
  <si>
    <t>This month</t>
  </si>
  <si>
    <t>Load (MW)</t>
  </si>
  <si>
    <t>POWER STATIONS</t>
  </si>
  <si>
    <t>M-MRS (70)</t>
  </si>
  <si>
    <t>U-TRI 3A (60)</t>
  </si>
  <si>
    <t>TRI (24)</t>
  </si>
  <si>
    <t>DEVI (14.1)</t>
  </si>
  <si>
    <t>SUN (10.05)</t>
  </si>
  <si>
    <t>TOTAL NEA Mjr&amp;Mdm</t>
  </si>
  <si>
    <t>KL-I (60)</t>
  </si>
  <si>
    <t>KL-II (32)</t>
  </si>
  <si>
    <t>KL-III (14)</t>
  </si>
  <si>
    <t>NEA STORAGE TOTAL</t>
  </si>
  <si>
    <t>PANAUTI (2.4)</t>
  </si>
  <si>
    <t>TATOPANI (2)</t>
  </si>
  <si>
    <t>SETI (1.5)</t>
  </si>
  <si>
    <t>FEWA (1)</t>
  </si>
  <si>
    <t>TINAU (1)</t>
  </si>
  <si>
    <t>SUNDARIJAL (0.9)</t>
  </si>
  <si>
    <t>CHATARA</t>
  </si>
  <si>
    <t>H/D</t>
  </si>
  <si>
    <t>NEA Solar</t>
  </si>
  <si>
    <t>TOTAL</t>
  </si>
  <si>
    <t>Day:</t>
  </si>
  <si>
    <t>India(Import)</t>
  </si>
  <si>
    <t>Frequency (Hz)</t>
  </si>
  <si>
    <t>KL Reservoir W/L</t>
  </si>
  <si>
    <t>Import details from India</t>
  </si>
  <si>
    <t xml:space="preserve">     Generation  (MWh)</t>
  </si>
  <si>
    <t>Internal Purchase</t>
  </si>
  <si>
    <t>GDK (15)</t>
  </si>
  <si>
    <t>SYSTEM Demand</t>
  </si>
  <si>
    <t>Time (Hrs.)</t>
  </si>
  <si>
    <t>Level(m)</t>
  </si>
  <si>
    <t>S/S</t>
  </si>
  <si>
    <t>Nplgj Old</t>
  </si>
  <si>
    <t>Nplgj New</t>
  </si>
  <si>
    <t>RAJBIRAJ</t>
  </si>
  <si>
    <t>Jaleshwor</t>
  </si>
  <si>
    <t>Raxaul</t>
  </si>
  <si>
    <t>Bisanpur</t>
  </si>
  <si>
    <t>Inaruwa</t>
  </si>
  <si>
    <t>Ramnagar</t>
  </si>
  <si>
    <t>D-Mujaffarpur</t>
  </si>
  <si>
    <t>.</t>
  </si>
  <si>
    <t>PEAK</t>
  </si>
  <si>
    <t xml:space="preserve">     Max. Load (MW)</t>
  </si>
  <si>
    <t>Import from India</t>
  </si>
  <si>
    <t>Frequency, (Hz)</t>
  </si>
  <si>
    <t>India(Export)</t>
  </si>
  <si>
    <t>Base Load</t>
  </si>
  <si>
    <t>up/dn</t>
  </si>
  <si>
    <t>Hrs./unit</t>
  </si>
  <si>
    <t>A</t>
  </si>
  <si>
    <t>D-M</t>
  </si>
  <si>
    <t>Daily Log Sheet</t>
  </si>
  <si>
    <t xml:space="preserve">     Load  at  Peak (MW)</t>
  </si>
  <si>
    <t>Power Shedded</t>
  </si>
  <si>
    <t>MODI (14)</t>
  </si>
  <si>
    <t>NATIONAL DEMAND</t>
  </si>
  <si>
    <t>MW/cm</t>
  </si>
  <si>
    <t>POWER HOUSE</t>
  </si>
  <si>
    <t xml:space="preserve">     Load Factor</t>
  </si>
  <si>
    <t>Power Interruption</t>
  </si>
  <si>
    <t>Plant Factor</t>
  </si>
  <si>
    <t>Load Factor of Nepal previous Year</t>
  </si>
  <si>
    <t>Cum. from BOM (MWh)</t>
  </si>
  <si>
    <t>Calculated' System Evening Peak</t>
  </si>
  <si>
    <t>Load Factor of Nepal</t>
  </si>
  <si>
    <t>PUWA (6.2)</t>
  </si>
  <si>
    <t>Avg.</t>
  </si>
  <si>
    <t>P/S</t>
  </si>
  <si>
    <t>Cum. from Srawan 1st (MWh)</t>
  </si>
  <si>
    <t>Calculated' Peak of this day, last year</t>
  </si>
  <si>
    <t>KL1 (60)</t>
  </si>
  <si>
    <t>NEA SMALL &amp; THERMAL POWER STATIONS</t>
  </si>
  <si>
    <t>INTERRUPTION:</t>
  </si>
  <si>
    <t>Calculated' National Evening Peak</t>
  </si>
  <si>
    <t>KL2 (32)</t>
  </si>
  <si>
    <t>Peak Growth%</t>
  </si>
  <si>
    <t>KL3 (14)</t>
  </si>
  <si>
    <t>Upper Balephi(36)</t>
  </si>
  <si>
    <t xml:space="preserve">POWER STATIONS            </t>
  </si>
  <si>
    <t>OTHER NS&amp;TPS</t>
  </si>
  <si>
    <t>TOTAL  NS&amp;TPS</t>
  </si>
  <si>
    <t>NEA TOTAL</t>
  </si>
  <si>
    <t>Region</t>
  </si>
  <si>
    <t>Western</t>
  </si>
  <si>
    <t>Eastern</t>
  </si>
  <si>
    <t>Central</t>
  </si>
  <si>
    <t>Energy (MWh):</t>
  </si>
  <si>
    <t>Sikless/Madkyu Khola(13)</t>
  </si>
  <si>
    <t>Upper Mai Khola(12.0)</t>
  </si>
  <si>
    <t xml:space="preserve"> Sanima Mai Cascade(7)</t>
  </si>
  <si>
    <t>Kuthali/Suspa Bukhari(0.998)</t>
  </si>
  <si>
    <t>Simara Saurya Aayojana MHP(1)</t>
  </si>
  <si>
    <t>Dordi Khola(27)</t>
  </si>
  <si>
    <t>Dordi Khola(12)</t>
  </si>
  <si>
    <t>Chepe(8.85)</t>
  </si>
  <si>
    <t>Upper Dordi(25)</t>
  </si>
  <si>
    <t>Upper Balephi (36)</t>
  </si>
  <si>
    <t>Puwa II(4.96)</t>
  </si>
  <si>
    <t>Mid Solu (9.8)</t>
  </si>
  <si>
    <t>Generation (National Grid only)</t>
  </si>
  <si>
    <t>MWh</t>
  </si>
  <si>
    <t>(Western side interruption)</t>
  </si>
  <si>
    <t>Total Supply (with Import)</t>
  </si>
  <si>
    <t>EnergyGrowth%</t>
  </si>
  <si>
    <t>Calculated Demand (Including  L/S)</t>
  </si>
  <si>
    <t>Cumulative from BOM</t>
  </si>
  <si>
    <t>Cumulative from Srawan 1st</t>
  </si>
  <si>
    <t>SUNDARIJAL (0.66)</t>
  </si>
  <si>
    <t>Cumulative National from BOM</t>
  </si>
  <si>
    <t>Hetauda Diesle (10)</t>
  </si>
  <si>
    <t>INTERNAL PURCHASE</t>
  </si>
  <si>
    <t>TOTAL SUPPLY Cum. from Srawan 1st (MWh)</t>
  </si>
  <si>
    <t>Cumulative National from Srawan 1st</t>
  </si>
  <si>
    <t>NEA Solar (25)</t>
  </si>
  <si>
    <t>CURRENT</t>
  </si>
  <si>
    <t>PREVIOUS</t>
  </si>
  <si>
    <t>Base Load:</t>
  </si>
  <si>
    <t>MLTFL</t>
  </si>
  <si>
    <t>Sanima Mai Khola(22)</t>
  </si>
  <si>
    <t>OTHER</t>
  </si>
  <si>
    <t>IPP TOTAL</t>
  </si>
  <si>
    <t>KTM Valley (MW)</t>
  </si>
  <si>
    <t>Max Load</t>
  </si>
  <si>
    <t>MRS DI</t>
  </si>
  <si>
    <t>Min Load</t>
  </si>
  <si>
    <t>Chatara</t>
  </si>
  <si>
    <t>Temp.</t>
  </si>
  <si>
    <t>IMP</t>
  </si>
  <si>
    <t>KTM</t>
  </si>
  <si>
    <t>Interruption</t>
  </si>
  <si>
    <t>TERAI</t>
  </si>
  <si>
    <t>`</t>
  </si>
  <si>
    <t>IMPORT</t>
  </si>
  <si>
    <t>Total SYSTEM</t>
  </si>
  <si>
    <t>Line</t>
  </si>
  <si>
    <t>Tanakpur</t>
  </si>
  <si>
    <t>MiddleModi (18)</t>
  </si>
  <si>
    <t>Dhalke-Chapur1</t>
  </si>
  <si>
    <t>Kataiya</t>
  </si>
  <si>
    <t>IMPORT  DETAILS</t>
  </si>
  <si>
    <t>NEA SUBSIDIARIES</t>
  </si>
  <si>
    <t>Total NATIONAL</t>
  </si>
  <si>
    <t>KhimtiII-Lamosangu</t>
  </si>
  <si>
    <t>Mujaffarpur</t>
  </si>
  <si>
    <t>Energy</t>
  </si>
  <si>
    <t>Hetauda Diesle</t>
  </si>
  <si>
    <t>IMPORT POINTS</t>
  </si>
  <si>
    <t>BHANTA.</t>
  </si>
  <si>
    <t>RAXUAL 33</t>
  </si>
  <si>
    <t>JAL/JAN</t>
  </si>
  <si>
    <t>NEP.GUNJ</t>
  </si>
  <si>
    <t>SIRAHA</t>
  </si>
  <si>
    <t>IMP. TOTAL</t>
  </si>
  <si>
    <t>U-TAMAKOSHI (456)</t>
  </si>
  <si>
    <t>KHIMTI (60)</t>
  </si>
  <si>
    <t>CHILIME (22.1)</t>
  </si>
  <si>
    <t>NEA SUBSIDAIRIES TOTAL</t>
  </si>
  <si>
    <t>UTK:</t>
  </si>
  <si>
    <t>Raxual 132</t>
  </si>
  <si>
    <t>Energy Meter</t>
  </si>
  <si>
    <t xml:space="preserve">NEA Solar </t>
  </si>
  <si>
    <t>Dordi (12)</t>
  </si>
  <si>
    <t xml:space="preserve">     Import (MWh)</t>
  </si>
  <si>
    <t>Nepalgunj Old</t>
  </si>
  <si>
    <t>MAX</t>
  </si>
  <si>
    <t>Nepalgunj New</t>
  </si>
  <si>
    <t>Peak Max</t>
  </si>
  <si>
    <t xml:space="preserve">     Peak Load (MW)</t>
  </si>
  <si>
    <t>Jaleshwor(33kV)</t>
  </si>
  <si>
    <t>Rajbiraj(33kV)</t>
  </si>
  <si>
    <t>Raxaul(33kV)</t>
  </si>
  <si>
    <t>EXPORT DETAILS</t>
  </si>
  <si>
    <t>Bishanpur(33kV)</t>
  </si>
  <si>
    <t>NANPARA_Import</t>
  </si>
  <si>
    <t>Total NEA Hydro:</t>
  </si>
  <si>
    <t>EXPORT PIONTS</t>
  </si>
  <si>
    <t xml:space="preserve">Ramnagar </t>
  </si>
  <si>
    <t xml:space="preserve">Muzaffarpur </t>
  </si>
  <si>
    <t xml:space="preserve">Tanakpur </t>
  </si>
  <si>
    <t>KL-I Water level</t>
  </si>
  <si>
    <t>IMPORT_Kataiya</t>
  </si>
  <si>
    <t xml:space="preserve">     Export (MWh)</t>
  </si>
  <si>
    <t>To Duhabi</t>
  </si>
  <si>
    <t>To Lahan</t>
  </si>
  <si>
    <t>TOTAL IPP</t>
  </si>
  <si>
    <t>Suresh Bdr. Bhattarai</t>
  </si>
  <si>
    <t>Total Import</t>
  </si>
  <si>
    <t>Chief</t>
  </si>
  <si>
    <t>Ramnagar Export</t>
  </si>
  <si>
    <t>EXPORT</t>
  </si>
  <si>
    <t>Kataiya Export</t>
  </si>
  <si>
    <t>Raxaul Export</t>
  </si>
  <si>
    <t>Muzaffarpur Export</t>
  </si>
  <si>
    <t>Tanakpur Export</t>
  </si>
  <si>
    <t>Total Export</t>
  </si>
  <si>
    <t>Total NEA</t>
  </si>
  <si>
    <t>Nanpara_Import</t>
  </si>
  <si>
    <t>Export_Kataiya</t>
  </si>
  <si>
    <t>Today</t>
  </si>
  <si>
    <t>Yesterday</t>
  </si>
  <si>
    <t>MF</t>
  </si>
  <si>
    <t>Stations Voltage(kV)</t>
  </si>
  <si>
    <t>Krishna Narayan Yadav</t>
  </si>
  <si>
    <t>Umesh Shrestha</t>
  </si>
  <si>
    <t>TOTAL NEA ROR</t>
  </si>
  <si>
    <t>TOTAL STORAGE</t>
  </si>
  <si>
    <t>RAXAUL 132 kV</t>
  </si>
  <si>
    <t>Max Load flow</t>
  </si>
  <si>
    <t>LINE</t>
  </si>
  <si>
    <t>TOTAL IMPORT</t>
  </si>
  <si>
    <t>MULTI FUEL</t>
  </si>
  <si>
    <t>HTD DIESEL</t>
  </si>
  <si>
    <t>TOTAL THERMAL</t>
  </si>
  <si>
    <t>DHALK--KHIMTI</t>
  </si>
  <si>
    <t>DHALK--CHAPUR1</t>
  </si>
  <si>
    <t>TOTAL NATIONAL LOAD (EXPECTED)</t>
  </si>
  <si>
    <t>Other Data Sheet Details</t>
  </si>
  <si>
    <t>Max(MW)</t>
  </si>
  <si>
    <t>Min(MW)</t>
  </si>
  <si>
    <t>Peak(MW)</t>
  </si>
  <si>
    <t>Raxaul export</t>
  </si>
  <si>
    <t>Muzaffarpur</t>
  </si>
  <si>
    <t>Total NEA ROR</t>
  </si>
  <si>
    <t>TOTAL EXPORT</t>
  </si>
  <si>
    <t>FREQUENCY</t>
  </si>
  <si>
    <t>Total Load Shedded/Trip</t>
  </si>
  <si>
    <t>T0TAL SYSTEM LOAD(EXPECTED)</t>
  </si>
  <si>
    <t>OTHER EXPORT</t>
  </si>
  <si>
    <t>SUI 66KV</t>
  </si>
  <si>
    <t>PN</t>
  </si>
  <si>
    <t>T0TAL SYSTEM LOAD(ACTUAL)</t>
  </si>
  <si>
    <t>Import_Kataiya_TOTAL</t>
  </si>
  <si>
    <t>Export_Kataiya_TOTAL</t>
  </si>
  <si>
    <t>KHIMTI-Lamosanghu</t>
  </si>
  <si>
    <t>N. BHARATPUR-BARDGHAT</t>
  </si>
  <si>
    <t>DHALKE-MIRCHYA</t>
  </si>
  <si>
    <t>PEAK DATA</t>
  </si>
  <si>
    <t>Peak Time</t>
  </si>
  <si>
    <t>$R$44</t>
  </si>
  <si>
    <t>$V$47</t>
  </si>
  <si>
    <t>Name of NSP</t>
  </si>
  <si>
    <t>Chilime_22.1</t>
  </si>
  <si>
    <t>Khimti Khola_60</t>
  </si>
  <si>
    <t>Upper Tamakoshi_456</t>
  </si>
  <si>
    <t>$G$14</t>
  </si>
  <si>
    <t>$K$100</t>
  </si>
  <si>
    <t>Name of IPP</t>
  </si>
  <si>
    <t>Andhi Khola_9.4</t>
  </si>
  <si>
    <t>Ankhu Khola - 1_8.4</t>
  </si>
  <si>
    <t>Bagmati Khola Small_22</t>
  </si>
  <si>
    <t>Baramchi Khola_4.2</t>
  </si>
  <si>
    <t>Belchautara Solar Project_5</t>
  </si>
  <si>
    <t>Belkhu_0.518</t>
  </si>
  <si>
    <t>Bhairab Kunda_3</t>
  </si>
  <si>
    <t>Bijayapur 2 Khola Small_4.5</t>
  </si>
  <si>
    <t>Bijayapur-1_4.41</t>
  </si>
  <si>
    <t>Bishnu Priya Solar Farm Project_0.96</t>
  </si>
  <si>
    <t>Butwal Solar Project_8.5</t>
  </si>
  <si>
    <t>Chake Khola_2.83</t>
  </si>
  <si>
    <t>Chaku Khola_3</t>
  </si>
  <si>
    <t>Chandranigahpur Solar Project_4</t>
  </si>
  <si>
    <t>Charanawati  Khola_3.52</t>
  </si>
  <si>
    <t>Chhandi_2</t>
  </si>
  <si>
    <t>Chhote Khola_0.993</t>
  </si>
  <si>
    <t>Daram Khola A_2.5</t>
  </si>
  <si>
    <t>Daraudi Khola A_6</t>
  </si>
  <si>
    <t>Dhalkebar Saurya Aayojana_1</t>
  </si>
  <si>
    <t>Dhalkebar Solar Project_3</t>
  </si>
  <si>
    <t>Dhunge-Jiri_0.6</t>
  </si>
  <si>
    <t>Dwari Khola_3.75</t>
  </si>
  <si>
    <t>Everest Sugar and Chemical Industries Ltd._3</t>
  </si>
  <si>
    <t>Ghalemdi Khola_5</t>
  </si>
  <si>
    <t>Ghatte Khola_5</t>
  </si>
  <si>
    <t>Hadi Khola Sunkoshi A_0.997</t>
  </si>
  <si>
    <t>Hewa Khola_4.455</t>
  </si>
  <si>
    <t>Hewa Khola A_14.9</t>
  </si>
  <si>
    <t>Indrawati - III _7.5</t>
  </si>
  <si>
    <t>Indushankar Chini Udhyog Ltd._3</t>
  </si>
  <si>
    <t>Iwa Khola_9.9</t>
  </si>
  <si>
    <t>Jeuligad_0.996</t>
  </si>
  <si>
    <t>Jhimruk Khola_12</t>
  </si>
  <si>
    <t>Jhyadi Khola_2</t>
  </si>
  <si>
    <t>Jiri Khola Small_2.2</t>
  </si>
  <si>
    <t>Jogmai_7.6</t>
  </si>
  <si>
    <t>Kabeli B-1_25</t>
  </si>
  <si>
    <t>Kabeli B-1 Cascade_9.94</t>
  </si>
  <si>
    <t>Kapadi Gad_3.33</t>
  </si>
  <si>
    <t>Khani Khola_2</t>
  </si>
  <si>
    <t>Khudi Khola_4</t>
  </si>
  <si>
    <t>Kuthali/Suspa Bukhari_0.998</t>
  </si>
  <si>
    <t>Leguwa Khola_0.04</t>
  </si>
  <si>
    <t>Likhu Khola A_24.2</t>
  </si>
  <si>
    <t>Likhu-IV_52.4</t>
  </si>
  <si>
    <t>Lower Chaku Khola_1.8</t>
  </si>
  <si>
    <t>Lower Chhote Khola_0.997</t>
  </si>
  <si>
    <t>Lower Jogmai_6.2</t>
  </si>
  <si>
    <t>Lower Khare_11</t>
  </si>
  <si>
    <t>Lower Modi _20</t>
  </si>
  <si>
    <t>Lower Modi 1_10</t>
  </si>
  <si>
    <t>Lower Piluwa Small_0.99</t>
  </si>
  <si>
    <t>Lower Tadi_4.993</t>
  </si>
  <si>
    <t>Mai Beni_9.51</t>
  </si>
  <si>
    <t>Mai Khola_4.5</t>
  </si>
  <si>
    <t>Mai sana Cascade_8</t>
  </si>
  <si>
    <t>Mailung Khola_5</t>
  </si>
  <si>
    <t>Mardi Khola_4.8</t>
  </si>
  <si>
    <t>Middle Chaku_1.8</t>
  </si>
  <si>
    <t>Midim Karapu_3</t>
  </si>
  <si>
    <t>Midim Khola_0.1</t>
  </si>
  <si>
    <t>Mistri Khola_42</t>
  </si>
  <si>
    <t>Mithila Solar PV Electric Project_10</t>
  </si>
  <si>
    <t>Miya Khola_0.996</t>
  </si>
  <si>
    <t>Molung Khola_7</t>
  </si>
  <si>
    <t>$L$14</t>
  </si>
  <si>
    <t>$P$100</t>
  </si>
  <si>
    <t>Namarjun Madi_11.88</t>
  </si>
  <si>
    <t>Naugadh gad Khola_8.5</t>
  </si>
  <si>
    <t>Nyadi_30</t>
  </si>
  <si>
    <t>Padam Khola_4.8</t>
  </si>
  <si>
    <t>Pati Khola Small_0.996</t>
  </si>
  <si>
    <t>Phawa Khola_4.95</t>
  </si>
  <si>
    <t>Pheme Khola_0.995</t>
  </si>
  <si>
    <t>Pikhuwa Khola_5</t>
  </si>
  <si>
    <t>Piluwa Khola Small_3</t>
  </si>
  <si>
    <t>Puwa Khola -1 _4</t>
  </si>
  <si>
    <t>Radhi Khola_4.4</t>
  </si>
  <si>
    <t>Rairang Khola_0.5</t>
  </si>
  <si>
    <t>Richet Khola_4.98</t>
  </si>
  <si>
    <t>Ridi Khola_2.4</t>
  </si>
  <si>
    <t>Rudi Khola A_8.8</t>
  </si>
  <si>
    <t>Rudi Khola B_6.6</t>
  </si>
  <si>
    <t>Sabha Khola_4</t>
  </si>
  <si>
    <t>Sali Nadi_0.25</t>
  </si>
  <si>
    <t>Sanima Mai Cascade_7</t>
  </si>
  <si>
    <t>Sanima Mai Khola_22</t>
  </si>
  <si>
    <t>Sapsup Khola_6.6</t>
  </si>
  <si>
    <t>Sardi Khola_4</t>
  </si>
  <si>
    <t>Seti-II_0.979</t>
  </si>
  <si>
    <t>Sikless/Madkyu Khola_13</t>
  </si>
  <si>
    <t>Singati Khola_25</t>
  </si>
  <si>
    <t>Sipring Khola_9.658</t>
  </si>
  <si>
    <t>Sisne Khola Small_0.75</t>
  </si>
  <si>
    <t>Siuri Khola_4.95</t>
  </si>
  <si>
    <t>Sobuwa Khola-2 MHP_0.09</t>
  </si>
  <si>
    <t>Solar_0.6804</t>
  </si>
  <si>
    <t>Solu Khola_23.5</t>
  </si>
  <si>
    <t>Sunkoshi Small_2.5</t>
  </si>
  <si>
    <t>Super Mai_7.8</t>
  </si>
  <si>
    <t>Super Mai 'A' _9.6</t>
  </si>
  <si>
    <t>Super Mai Cascade_3.8</t>
  </si>
  <si>
    <t>Suri Khola_6.4</t>
  </si>
  <si>
    <t>Syange Khola_0.183</t>
  </si>
  <si>
    <t>Syauri Bhumey_0.023</t>
  </si>
  <si>
    <t>Tadi Khola (Thaprek)_5</t>
  </si>
  <si>
    <t>Taksar Pikhuwa_8</t>
  </si>
  <si>
    <t>Tallo Hewa Khola_22.1</t>
  </si>
  <si>
    <t>Thapa Khola_13.6</t>
  </si>
  <si>
    <t>Theule Khola_1.5</t>
  </si>
  <si>
    <t>Thoppal Khola_1.65</t>
  </si>
  <si>
    <t>Tungun-Thosne_4.36</t>
  </si>
  <si>
    <t>Upper Bhotekoshi Khola_45</t>
  </si>
  <si>
    <t>Upper Chaku A_22.2</t>
  </si>
  <si>
    <t>Upper Chhyangdi Khola_4</t>
  </si>
  <si>
    <t>Upper Hadi Khola_0.991</t>
  </si>
  <si>
    <t>Upper Hewa Khola Small_8.5</t>
  </si>
  <si>
    <t>Upper Hugdi Khola_5</t>
  </si>
  <si>
    <t>Upper Khimti II_7</t>
  </si>
  <si>
    <t>Upper Khimti_12</t>
  </si>
  <si>
    <t>Upper Khorunga_7.5</t>
  </si>
  <si>
    <t>Upper Madi_25</t>
  </si>
  <si>
    <t>Upper Mai C_5.1</t>
  </si>
  <si>
    <t>Upper Mai Khola_9.98</t>
  </si>
  <si>
    <t>Upper Mardi_7</t>
  </si>
  <si>
    <t>Upper Marsyangdi "A"_50</t>
  </si>
  <si>
    <t>Upper Naugad Gad_8</t>
  </si>
  <si>
    <t>Upper Puwa -1_3</t>
  </si>
  <si>
    <t>Upper Rawa_3</t>
  </si>
  <si>
    <t>Upper Syange Khola_2.4</t>
  </si>
  <si>
    <t>Simara Saurya Aayojana_1</t>
  </si>
  <si>
    <t>Dordi_27</t>
  </si>
  <si>
    <t>Dordi_12</t>
  </si>
  <si>
    <t>Chepe_8.85</t>
  </si>
  <si>
    <t>Lower Likhu_28</t>
  </si>
  <si>
    <t>Upper Dordi_25</t>
  </si>
  <si>
    <t>Upper Balephi_36</t>
  </si>
  <si>
    <t>Middle Modi_18</t>
  </si>
  <si>
    <t>Puwa-II_4.96</t>
  </si>
  <si>
    <t>Mid Solu_18</t>
  </si>
  <si>
    <t>53..2</t>
  </si>
  <si>
    <t>49..96</t>
  </si>
  <si>
    <t>51.3.</t>
  </si>
  <si>
    <t xml:space="preserve"> </t>
  </si>
  <si>
    <t>R</t>
  </si>
  <si>
    <t>I</t>
  </si>
  <si>
    <t>S</t>
  </si>
  <si>
    <t>Y</t>
  </si>
  <si>
    <t>T</t>
  </si>
  <si>
    <t>E</t>
  </si>
  <si>
    <t>M</t>
  </si>
  <si>
    <t>D</t>
  </si>
  <si>
    <t>U</t>
  </si>
  <si>
    <t>B</t>
  </si>
  <si>
    <t>.36.1</t>
  </si>
  <si>
    <t>3.2.9</t>
  </si>
  <si>
    <t>45.3.</t>
  </si>
  <si>
    <t>49..87</t>
  </si>
  <si>
    <t>89..5</t>
  </si>
  <si>
    <t>50.03.9</t>
  </si>
  <si>
    <t>31..6</t>
  </si>
  <si>
    <t>46..9</t>
  </si>
  <si>
    <t>18+38.1</t>
  </si>
  <si>
    <t>63..7</t>
  </si>
  <si>
    <t>14.3.</t>
  </si>
  <si>
    <t xml:space="preserve">                                                                       </t>
  </si>
  <si>
    <t>16..5</t>
  </si>
  <si>
    <t>DHALKE-MIRCHAIYA</t>
  </si>
  <si>
    <t>s</t>
  </si>
  <si>
    <t>y</t>
  </si>
  <si>
    <t>t</t>
  </si>
  <si>
    <t>e</t>
  </si>
  <si>
    <t>m</t>
  </si>
  <si>
    <t>d</t>
  </si>
  <si>
    <t>i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</si>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</sst>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F800]dddd\,\ mmmm\ dd\,\ yyyy"/>
    <numFmt numFmtId="165" formatCode="h:mm;@"/>
    <numFmt numFmtId="166" formatCode="0.0"/>
    <numFmt numFmtId="167" formatCode="[hh]:mm"/>
    <numFmt numFmtId="168" formatCode="00.00"/>
    <numFmt numFmtId="169" formatCode="0.000"/>
    <numFmt numFmtId="170" formatCode="[$-409]d\-mmm\-yyyy;@"/>
    <numFmt numFmtId="171" formatCode="[$-409]mmmm\ d\,\ yyyy;@"/>
    <numFmt numFmtId="172" formatCode="_(* #,##0_);_(* \(#,##0\);_(* &quot;-&quot;??_);_(@_)"/>
    <numFmt numFmtId="173" formatCode="[$-F400]h:mm:ss\ AM/PM"/>
  </numFmts>
  <fonts count="7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sz val="10"/>
      <color indexed="10"/>
      <name val="Times New Roman"/>
      <family val="1"/>
    </font>
    <font>
      <sz val="8"/>
      <name val="Arial Narrow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  <charset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1"/>
      <name val="Times New Roman"/>
      <family val="1"/>
    </font>
    <font>
      <sz val="15"/>
      <name val="Times New Roman"/>
      <family val="1"/>
    </font>
    <font>
      <b/>
      <sz val="15"/>
      <name val="Times New Roman"/>
      <family val="1"/>
    </font>
    <font>
      <b/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9"/>
      <name val="Times New Roman"/>
      <family val="1"/>
    </font>
    <font>
      <b/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8"/>
      <name val="Times New Roman"/>
      <family val="1"/>
    </font>
    <font>
      <sz val="9"/>
      <color theme="1"/>
      <name val="Times New Roman"/>
      <family val="1"/>
    </font>
    <font>
      <b/>
      <sz val="10"/>
      <color indexed="10"/>
      <name val="Times New Roman"/>
      <family val="1"/>
    </font>
    <font>
      <sz val="7"/>
      <color theme="1"/>
      <name val="Times New Roman"/>
      <family val="1"/>
    </font>
    <font>
      <sz val="7"/>
      <color theme="1"/>
      <name val="Calibri"/>
      <family val="2"/>
      <charset val="1"/>
      <scheme val="minor"/>
    </font>
    <font>
      <sz val="7"/>
      <color theme="1"/>
      <name val="Calibri"/>
      <family val="2"/>
      <scheme val="minor"/>
    </font>
    <font>
      <b/>
      <sz val="9"/>
      <color theme="0"/>
      <name val="Times New Roman"/>
      <family val="1"/>
    </font>
    <font>
      <sz val="9"/>
      <color rgb="FFFF0000"/>
      <name val="Times New Roman"/>
      <family val="1"/>
    </font>
    <font>
      <sz val="11"/>
      <color rgb="FFFF0000"/>
      <name val="Times New Roman"/>
      <family val="1"/>
    </font>
    <font>
      <i/>
      <sz val="8"/>
      <color theme="1"/>
      <name val="Times New Roman"/>
      <family val="1"/>
    </font>
    <font>
      <b/>
      <sz val="9"/>
      <color rgb="FFFF0000"/>
      <name val="Times New Roman"/>
      <family val="1"/>
    </font>
    <font>
      <b/>
      <i/>
      <sz val="8"/>
      <color theme="1"/>
      <name val="Times New Roman"/>
      <family val="1"/>
    </font>
    <font>
      <sz val="11"/>
      <color theme="0"/>
      <name val="Times New Roman"/>
      <family val="1"/>
    </font>
    <font>
      <b/>
      <i/>
      <sz val="9"/>
      <name val="Times New Roman"/>
      <family val="1"/>
    </font>
    <font>
      <b/>
      <i/>
      <sz val="10"/>
      <color rgb="FFFF0000"/>
      <name val="Times New Roman"/>
      <family val="1"/>
    </font>
    <font>
      <b/>
      <u/>
      <sz val="10"/>
      <color theme="1"/>
      <name val="Times New Roman"/>
      <family val="1"/>
    </font>
    <font>
      <b/>
      <u/>
      <sz val="11"/>
      <color rgb="FFFF0000"/>
      <name val="Times New Roman"/>
      <family val="1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9"/>
      <color indexed="81"/>
      <name val="Tahoma"/>
      <family val="2"/>
    </font>
    <font>
      <b/>
      <sz val="10"/>
      <color indexed="12"/>
      <name val="Times New Roman"/>
      <family val="1"/>
    </font>
  </fonts>
  <fills count="31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7"/>
        <bgColor indexed="64"/>
      </patternFill>
    </fill>
  </fills>
  <borders count="1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/>
      <bottom style="double">
        <color indexed="64"/>
      </bottom>
      <diagonal style="double">
        <color indexed="64"/>
      </diagonal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164" fontId="1" fillId="0" borderId="0"/>
    <xf numFmtId="164" fontId="33" fillId="0" borderId="0"/>
    <xf numFmtId="164" fontId="34" fillId="0" borderId="0"/>
    <xf numFmtId="0" fontId="35" fillId="0" borderId="0"/>
    <xf numFmtId="0" fontId="36" fillId="0" borderId="0"/>
    <xf numFmtId="44" fontId="1" fillId="0" borderId="0" applyFont="0" applyFill="0" applyBorder="0" applyAlignment="0" applyProtection="0"/>
    <xf numFmtId="0" fontId="33" fillId="0" borderId="0"/>
    <xf numFmtId="0" fontId="34" fillId="0" borderId="0"/>
    <xf numFmtId="164" fontId="1" fillId="0" borderId="0"/>
    <xf numFmtId="164" fontId="33" fillId="0" borderId="0"/>
    <xf numFmtId="164" fontId="34" fillId="0" borderId="0"/>
  </cellStyleXfs>
  <cellXfs count="791">
    <xf numFmtId="0" fontId="0" fillId="0" borderId="0" xfId="0"/>
    <xf numFmtId="164" fontId="1" fillId="0" borderId="0" xfId="2"/>
    <xf numFmtId="164" fontId="1" fillId="0" borderId="0" xfId="2" applyProtection="1">
      <protection locked="0"/>
    </xf>
    <xf numFmtId="164" fontId="6" fillId="0" borderId="0" xfId="2" applyFont="1" applyAlignment="1">
      <alignment vertical="center"/>
    </xf>
    <xf numFmtId="164" fontId="7" fillId="0" borderId="2" xfId="2" applyFont="1" applyBorder="1" applyAlignment="1">
      <alignment vertical="center"/>
    </xf>
    <xf numFmtId="164" fontId="7" fillId="0" borderId="4" xfId="2" applyFont="1" applyBorder="1" applyAlignment="1">
      <alignment vertical="center"/>
    </xf>
    <xf numFmtId="164" fontId="4" fillId="0" borderId="6" xfId="2" applyFont="1" applyBorder="1" applyAlignment="1">
      <alignment horizontal="center" vertical="center"/>
    </xf>
    <xf numFmtId="164" fontId="4" fillId="0" borderId="6" xfId="2" applyFont="1" applyBorder="1" applyAlignment="1">
      <alignment vertical="center"/>
    </xf>
    <xf numFmtId="164" fontId="4" fillId="0" borderId="0" xfId="2" applyFont="1" applyAlignment="1">
      <alignment vertical="center"/>
    </xf>
    <xf numFmtId="14" fontId="8" fillId="0" borderId="0" xfId="2" applyNumberFormat="1" applyFont="1" applyAlignment="1">
      <alignment vertical="center"/>
    </xf>
    <xf numFmtId="43" fontId="9" fillId="3" borderId="0" xfId="1" applyFont="1" applyFill="1" applyAlignment="1">
      <alignment horizontal="center"/>
    </xf>
    <xf numFmtId="164" fontId="9" fillId="3" borderId="0" xfId="2" applyFont="1" applyFill="1"/>
    <xf numFmtId="164" fontId="1" fillId="3" borderId="0" xfId="2" applyFill="1"/>
    <xf numFmtId="164" fontId="10" fillId="0" borderId="0" xfId="2" applyFont="1" applyAlignment="1">
      <alignment horizontal="center" vertical="center"/>
    </xf>
    <xf numFmtId="164" fontId="11" fillId="0" borderId="0" xfId="2" applyFont="1"/>
    <xf numFmtId="164" fontId="12" fillId="0" borderId="0" xfId="2" applyFont="1" applyAlignment="1">
      <alignment vertical="center"/>
    </xf>
    <xf numFmtId="164" fontId="7" fillId="0" borderId="8" xfId="2" applyFont="1" applyBorder="1" applyAlignment="1">
      <alignment vertical="center"/>
    </xf>
    <xf numFmtId="164" fontId="7" fillId="0" borderId="10" xfId="2" applyFont="1" applyBorder="1" applyAlignment="1">
      <alignment vertical="center"/>
    </xf>
    <xf numFmtId="164" fontId="1" fillId="0" borderId="6" xfId="2" applyBorder="1" applyAlignment="1">
      <alignment horizontal="center" vertical="center"/>
    </xf>
    <xf numFmtId="164" fontId="3" fillId="0" borderId="0" xfId="2" applyFont="1" applyAlignment="1">
      <alignment horizontal="center" vertical="center"/>
    </xf>
    <xf numFmtId="164" fontId="3" fillId="0" borderId="0" xfId="2" applyFont="1" applyAlignment="1">
      <alignment vertical="center"/>
    </xf>
    <xf numFmtId="164" fontId="12" fillId="0" borderId="0" xfId="2" applyFont="1" applyAlignment="1">
      <alignment horizontal="center" vertical="center"/>
    </xf>
    <xf numFmtId="43" fontId="13" fillId="3" borderId="0" xfId="1" applyFont="1" applyFill="1" applyAlignment="1">
      <alignment horizontal="center" vertical="center"/>
    </xf>
    <xf numFmtId="20" fontId="1" fillId="0" borderId="0" xfId="2" applyNumberFormat="1" applyAlignment="1">
      <alignment horizontal="center" vertical="center"/>
    </xf>
    <xf numFmtId="165" fontId="14" fillId="0" borderId="0" xfId="2" applyNumberFormat="1" applyFont="1"/>
    <xf numFmtId="164" fontId="15" fillId="4" borderId="0" xfId="2" applyFont="1" applyFill="1" applyAlignment="1">
      <alignment horizontal="right" vertical="center"/>
    </xf>
    <xf numFmtId="164" fontId="16" fillId="0" borderId="0" xfId="2" applyFont="1" applyAlignment="1">
      <alignment vertical="center"/>
    </xf>
    <xf numFmtId="164" fontId="17" fillId="0" borderId="0" xfId="2" applyFont="1" applyAlignment="1">
      <alignment vertical="center"/>
    </xf>
    <xf numFmtId="164" fontId="1" fillId="0" borderId="0" xfId="2" applyAlignment="1">
      <alignment horizontal="center" vertical="center"/>
    </xf>
    <xf numFmtId="164" fontId="15" fillId="4" borderId="0" xfId="2" applyFont="1" applyFill="1" applyAlignment="1">
      <alignment vertical="center"/>
    </xf>
    <xf numFmtId="166" fontId="1" fillId="5" borderId="0" xfId="2" applyNumberFormat="1" applyFill="1"/>
    <xf numFmtId="164" fontId="1" fillId="5" borderId="0" xfId="2" applyFill="1"/>
    <xf numFmtId="164" fontId="15" fillId="4" borderId="0" xfId="2" applyFont="1" applyFill="1" applyAlignment="1">
      <alignment horizontal="left" vertical="center"/>
    </xf>
    <xf numFmtId="164" fontId="18" fillId="3" borderId="0" xfId="2" applyFont="1" applyFill="1"/>
    <xf numFmtId="164" fontId="19" fillId="0" borderId="0" xfId="2" applyFont="1" applyAlignment="1">
      <alignment horizontal="left" vertical="center"/>
    </xf>
    <xf numFmtId="1" fontId="20" fillId="0" borderId="0" xfId="2" applyNumberFormat="1" applyFont="1" applyAlignment="1">
      <alignment horizontal="center" vertical="center"/>
    </xf>
    <xf numFmtId="43" fontId="21" fillId="0" borderId="0" xfId="1" applyFont="1" applyFill="1" applyAlignment="1">
      <alignment horizontal="center" vertical="center"/>
    </xf>
    <xf numFmtId="164" fontId="2" fillId="0" borderId="0" xfId="2" applyFont="1"/>
    <xf numFmtId="164" fontId="12" fillId="0" borderId="12" xfId="2" applyFont="1" applyBorder="1" applyAlignment="1">
      <alignment vertical="center"/>
    </xf>
    <xf numFmtId="2" fontId="12" fillId="6" borderId="16" xfId="2" applyNumberFormat="1" applyFont="1" applyFill="1" applyBorder="1" applyAlignment="1">
      <alignment horizontal="center" vertical="center"/>
    </xf>
    <xf numFmtId="164" fontId="18" fillId="0" borderId="0" xfId="2" applyFont="1" applyAlignment="1">
      <alignment horizontal="center"/>
    </xf>
    <xf numFmtId="164" fontId="18" fillId="0" borderId="0" xfId="2" applyFont="1"/>
    <xf numFmtId="164" fontId="18" fillId="0" borderId="0" xfId="2" applyFont="1" applyAlignment="1">
      <alignment horizontal="left"/>
    </xf>
    <xf numFmtId="164" fontId="1" fillId="0" borderId="0" xfId="2" applyAlignment="1">
      <alignment horizontal="center"/>
    </xf>
    <xf numFmtId="164" fontId="12" fillId="0" borderId="24" xfId="2" applyFont="1" applyBorder="1" applyAlignment="1">
      <alignment horizontal="right" vertical="center"/>
    </xf>
    <xf numFmtId="166" fontId="12" fillId="0" borderId="25" xfId="2" applyNumberFormat="1" applyFont="1" applyBorder="1" applyAlignment="1" applyProtection="1">
      <alignment horizontal="center" vertical="center"/>
      <protection locked="0"/>
    </xf>
    <xf numFmtId="169" fontId="12" fillId="0" borderId="25" xfId="2" applyNumberFormat="1" applyFont="1" applyBorder="1" applyAlignment="1" applyProtection="1">
      <alignment horizontal="center" vertical="center"/>
      <protection locked="0"/>
    </xf>
    <xf numFmtId="166" fontId="1" fillId="0" borderId="0" xfId="2" applyNumberFormat="1" applyAlignment="1" applyProtection="1">
      <alignment horizontal="center"/>
      <protection locked="0"/>
    </xf>
    <xf numFmtId="166" fontId="1" fillId="0" borderId="0" xfId="2" applyNumberFormat="1" applyProtection="1">
      <protection locked="0"/>
    </xf>
    <xf numFmtId="20" fontId="1" fillId="0" borderId="0" xfId="2" applyNumberFormat="1"/>
    <xf numFmtId="169" fontId="12" fillId="0" borderId="26" xfId="2" applyNumberFormat="1" applyFont="1" applyBorder="1" applyAlignment="1" applyProtection="1">
      <alignment horizontal="center" vertical="center"/>
      <protection locked="0"/>
    </xf>
    <xf numFmtId="169" fontId="25" fillId="0" borderId="27" xfId="2" applyNumberFormat="1" applyFont="1" applyBorder="1" applyAlignment="1">
      <alignment horizontal="center" vertical="center"/>
    </xf>
    <xf numFmtId="2" fontId="25" fillId="0" borderId="27" xfId="2" applyNumberFormat="1" applyFont="1" applyBorder="1" applyAlignment="1">
      <alignment horizontal="center" vertical="center"/>
    </xf>
    <xf numFmtId="164" fontId="12" fillId="0" borderId="28" xfId="2" applyFont="1" applyBorder="1" applyAlignment="1">
      <alignment horizontal="right" vertical="center"/>
    </xf>
    <xf numFmtId="169" fontId="25" fillId="0" borderId="29" xfId="2" applyNumberFormat="1" applyFont="1" applyBorder="1" applyAlignment="1">
      <alignment horizontal="center" vertical="center"/>
    </xf>
    <xf numFmtId="164" fontId="26" fillId="0" borderId="28" xfId="2" applyFont="1" applyBorder="1" applyAlignment="1">
      <alignment horizontal="right" vertical="center"/>
    </xf>
    <xf numFmtId="166" fontId="12" fillId="9" borderId="6" xfId="2" applyNumberFormat="1" applyFont="1" applyFill="1" applyBorder="1" applyAlignment="1" applyProtection="1">
      <alignment horizontal="center" vertical="center"/>
      <protection locked="0"/>
    </xf>
    <xf numFmtId="164" fontId="16" fillId="0" borderId="24" xfId="2" applyFont="1" applyBorder="1" applyAlignment="1">
      <alignment horizontal="right" vertical="center"/>
    </xf>
    <xf numFmtId="166" fontId="12" fillId="10" borderId="25" xfId="2" applyNumberFormat="1" applyFont="1" applyFill="1" applyBorder="1" applyAlignment="1" applyProtection="1">
      <alignment horizontal="center" vertical="center"/>
      <protection locked="0"/>
    </xf>
    <xf numFmtId="164" fontId="16" fillId="0" borderId="30" xfId="2" applyFont="1" applyBorder="1" applyAlignment="1">
      <alignment horizontal="left" vertical="center"/>
    </xf>
    <xf numFmtId="166" fontId="16" fillId="0" borderId="31" xfId="2" applyNumberFormat="1" applyFont="1" applyBorder="1" applyAlignment="1">
      <alignment horizontal="center" vertical="center"/>
    </xf>
    <xf numFmtId="169" fontId="16" fillId="0" borderId="31" xfId="2" applyNumberFormat="1" applyFont="1" applyBorder="1" applyAlignment="1">
      <alignment horizontal="center" vertical="center"/>
    </xf>
    <xf numFmtId="164" fontId="12" fillId="0" borderId="32" xfId="2" applyFont="1" applyBorder="1" applyAlignment="1">
      <alignment horizontal="right" vertical="center"/>
    </xf>
    <xf numFmtId="166" fontId="12" fillId="11" borderId="25" xfId="2" applyNumberFormat="1" applyFont="1" applyFill="1" applyBorder="1" applyAlignment="1" applyProtection="1">
      <alignment horizontal="center" vertical="center"/>
      <protection locked="0"/>
    </xf>
    <xf numFmtId="164" fontId="12" fillId="0" borderId="33" xfId="2" applyFont="1" applyBorder="1" applyAlignment="1">
      <alignment horizontal="right" vertical="center"/>
    </xf>
    <xf numFmtId="166" fontId="12" fillId="0" borderId="6" xfId="2" applyNumberFormat="1" applyFont="1" applyBorder="1" applyAlignment="1" applyProtection="1">
      <alignment horizontal="center" vertical="center"/>
      <protection locked="0"/>
    </xf>
    <xf numFmtId="164" fontId="12" fillId="0" borderId="34" xfId="2" applyFont="1" applyBorder="1" applyAlignment="1">
      <alignment horizontal="right" vertical="center"/>
    </xf>
    <xf numFmtId="166" fontId="12" fillId="0" borderId="18" xfId="2" applyNumberFormat="1" applyFont="1" applyBorder="1" applyAlignment="1" applyProtection="1">
      <alignment horizontal="center" vertical="center"/>
      <protection locked="0"/>
    </xf>
    <xf numFmtId="169" fontId="25" fillId="0" borderId="23" xfId="2" applyNumberFormat="1" applyFont="1" applyBorder="1" applyAlignment="1">
      <alignment horizontal="center" vertical="center"/>
    </xf>
    <xf numFmtId="164" fontId="16" fillId="0" borderId="35" xfId="2" applyFont="1" applyBorder="1" applyAlignment="1">
      <alignment horizontal="left" vertical="center"/>
    </xf>
    <xf numFmtId="164" fontId="27" fillId="0" borderId="0" xfId="2" applyFont="1"/>
    <xf numFmtId="164" fontId="12" fillId="0" borderId="36" xfId="2" applyFont="1" applyBorder="1" applyAlignment="1">
      <alignment horizontal="right" vertical="center"/>
    </xf>
    <xf numFmtId="2" fontId="26" fillId="0" borderId="37" xfId="2" applyNumberFormat="1" applyFont="1" applyBorder="1" applyAlignment="1">
      <alignment horizontal="center" vertical="center"/>
    </xf>
    <xf numFmtId="169" fontId="26" fillId="0" borderId="37" xfId="2" applyNumberFormat="1" applyFont="1" applyBorder="1" applyAlignment="1">
      <alignment horizontal="center" vertical="center"/>
    </xf>
    <xf numFmtId="164" fontId="16" fillId="0" borderId="38" xfId="2" applyFont="1" applyBorder="1" applyAlignment="1">
      <alignment horizontal="left" vertical="center"/>
    </xf>
    <xf numFmtId="169" fontId="12" fillId="0" borderId="29" xfId="2" applyNumberFormat="1" applyFont="1" applyBorder="1" applyAlignment="1">
      <alignment horizontal="center" vertical="center"/>
    </xf>
    <xf numFmtId="166" fontId="12" fillId="0" borderId="25" xfId="2" applyNumberFormat="1" applyFont="1" applyBorder="1" applyAlignment="1">
      <alignment horizontal="center" vertical="center"/>
    </xf>
    <xf numFmtId="166" fontId="12" fillId="0" borderId="6" xfId="2" applyNumberFormat="1" applyFont="1" applyBorder="1" applyAlignment="1">
      <alignment horizontal="center" vertical="center"/>
    </xf>
    <xf numFmtId="164" fontId="2" fillId="12" borderId="0" xfId="2" applyFont="1" applyFill="1"/>
    <xf numFmtId="20" fontId="1" fillId="0" borderId="39" xfId="2" applyNumberFormat="1" applyBorder="1"/>
    <xf numFmtId="166" fontId="12" fillId="0" borderId="2" xfId="2" applyNumberFormat="1" applyFont="1" applyBorder="1" applyAlignment="1" applyProtection="1">
      <alignment horizontal="center" vertical="center"/>
      <protection locked="0"/>
    </xf>
    <xf numFmtId="166" fontId="12" fillId="0" borderId="4" xfId="2" applyNumberFormat="1" applyFont="1" applyBorder="1" applyAlignment="1" applyProtection="1">
      <alignment horizontal="center" vertical="center"/>
      <protection locked="0"/>
    </xf>
    <xf numFmtId="164" fontId="0" fillId="0" borderId="5" xfId="2" applyFont="1" applyBorder="1"/>
    <xf numFmtId="166" fontId="12" fillId="0" borderId="40" xfId="2" applyNumberFormat="1" applyFont="1" applyBorder="1" applyAlignment="1" applyProtection="1">
      <alignment horizontal="center" vertical="center"/>
      <protection locked="0"/>
    </xf>
    <xf numFmtId="164" fontId="12" fillId="0" borderId="41" xfId="2" applyFont="1" applyBorder="1" applyAlignment="1">
      <alignment horizontal="right" vertical="center"/>
    </xf>
    <xf numFmtId="169" fontId="12" fillId="0" borderId="42" xfId="2" applyNumberFormat="1" applyFont="1" applyBorder="1" applyAlignment="1">
      <alignment horizontal="center" vertical="center"/>
    </xf>
    <xf numFmtId="164" fontId="1" fillId="0" borderId="5" xfId="2" applyBorder="1"/>
    <xf numFmtId="166" fontId="12" fillId="12" borderId="43" xfId="2" applyNumberFormat="1" applyFont="1" applyFill="1" applyBorder="1" applyAlignment="1" applyProtection="1">
      <alignment horizontal="center" vertical="center"/>
      <protection locked="0"/>
    </xf>
    <xf numFmtId="169" fontId="16" fillId="0" borderId="44" xfId="2" applyNumberFormat="1" applyFont="1" applyBorder="1" applyAlignment="1">
      <alignment horizontal="center" vertical="center"/>
    </xf>
    <xf numFmtId="166" fontId="12" fillId="0" borderId="45" xfId="2" applyNumberFormat="1" applyFont="1" applyBorder="1" applyAlignment="1">
      <alignment horizontal="center" vertical="center"/>
    </xf>
    <xf numFmtId="169" fontId="12" fillId="0" borderId="27" xfId="2" applyNumberFormat="1" applyFont="1" applyBorder="1" applyAlignment="1">
      <alignment horizontal="center" vertical="center"/>
    </xf>
    <xf numFmtId="164" fontId="1" fillId="0" borderId="48" xfId="2" applyBorder="1"/>
    <xf numFmtId="166" fontId="12" fillId="0" borderId="8" xfId="2" applyNumberFormat="1" applyFont="1" applyBorder="1" applyAlignment="1" applyProtection="1">
      <alignment horizontal="center" vertical="center"/>
      <protection locked="0"/>
    </xf>
    <xf numFmtId="166" fontId="12" fillId="0" borderId="10" xfId="2" applyNumberFormat="1" applyFont="1" applyBorder="1" applyAlignment="1" applyProtection="1">
      <alignment horizontal="center" vertical="center"/>
      <protection locked="0"/>
    </xf>
    <xf numFmtId="166" fontId="12" fillId="0" borderId="37" xfId="2" applyNumberFormat="1" applyFont="1" applyBorder="1" applyAlignment="1">
      <alignment horizontal="center" vertical="center"/>
    </xf>
    <xf numFmtId="1" fontId="16" fillId="0" borderId="31" xfId="2" applyNumberFormat="1" applyFont="1" applyBorder="1" applyAlignment="1">
      <alignment horizontal="center" vertical="center"/>
    </xf>
    <xf numFmtId="164" fontId="16" fillId="12" borderId="38" xfId="2" applyFont="1" applyFill="1" applyBorder="1" applyAlignment="1">
      <alignment vertical="center" wrapText="1"/>
    </xf>
    <xf numFmtId="166" fontId="12" fillId="0" borderId="31" xfId="2" applyNumberFormat="1" applyFont="1" applyBorder="1" applyAlignment="1" applyProtection="1">
      <alignment horizontal="center" vertical="center"/>
      <protection locked="0"/>
    </xf>
    <xf numFmtId="169" fontId="25" fillId="0" borderId="42" xfId="2" applyNumberFormat="1" applyFont="1" applyBorder="1" applyAlignment="1">
      <alignment horizontal="center" vertical="center"/>
    </xf>
    <xf numFmtId="164" fontId="16" fillId="0" borderId="38" xfId="2" applyFont="1" applyBorder="1" applyAlignment="1">
      <alignment horizontal="center" vertical="center"/>
    </xf>
    <xf numFmtId="164" fontId="12" fillId="0" borderId="49" xfId="2" applyFont="1" applyBorder="1" applyAlignment="1">
      <alignment horizontal="right" vertical="center"/>
    </xf>
    <xf numFmtId="2" fontId="12" fillId="0" borderId="2" xfId="2" applyNumberFormat="1" applyFont="1" applyBorder="1" applyAlignment="1" applyProtection="1">
      <alignment horizontal="center" vertical="center"/>
      <protection locked="0"/>
    </xf>
    <xf numFmtId="169" fontId="12" fillId="0" borderId="50" xfId="2" applyNumberFormat="1" applyFont="1" applyBorder="1" applyAlignment="1">
      <alignment horizontal="center" vertical="center"/>
    </xf>
    <xf numFmtId="164" fontId="12" fillId="0" borderId="51" xfId="2" applyFont="1" applyBorder="1" applyAlignment="1">
      <alignment horizontal="right" vertical="center"/>
    </xf>
    <xf numFmtId="169" fontId="12" fillId="0" borderId="52" xfId="2" applyNumberFormat="1" applyFont="1" applyBorder="1" applyAlignment="1">
      <alignment horizontal="center" vertical="center"/>
    </xf>
    <xf numFmtId="164" fontId="12" fillId="0" borderId="53" xfId="2" applyFont="1" applyBorder="1" applyAlignment="1">
      <alignment horizontal="right" vertical="center"/>
    </xf>
    <xf numFmtId="166" fontId="12" fillId="0" borderId="6" xfId="2" applyNumberFormat="1" applyFont="1" applyBorder="1" applyAlignment="1" applyProtection="1">
      <alignment horizontal="center"/>
      <protection locked="0"/>
    </xf>
    <xf numFmtId="169" fontId="12" fillId="0" borderId="52" xfId="2" applyNumberFormat="1" applyFont="1" applyBorder="1" applyAlignment="1">
      <alignment horizontal="center"/>
    </xf>
    <xf numFmtId="169" fontId="12" fillId="0" borderId="54" xfId="2" applyNumberFormat="1" applyFont="1" applyBorder="1" applyAlignment="1">
      <alignment horizontal="center" vertical="center"/>
    </xf>
    <xf numFmtId="164" fontId="16" fillId="0" borderId="0" xfId="2" applyFont="1" applyAlignment="1">
      <alignment horizontal="right" vertical="center"/>
    </xf>
    <xf numFmtId="164" fontId="12" fillId="0" borderId="1" xfId="2" applyFont="1" applyBorder="1" applyAlignment="1">
      <alignment vertical="center"/>
    </xf>
    <xf numFmtId="166" fontId="16" fillId="0" borderId="3" xfId="2" applyNumberFormat="1" applyFont="1" applyBorder="1" applyAlignment="1">
      <alignment horizontal="center" vertical="center"/>
    </xf>
    <xf numFmtId="169" fontId="1" fillId="0" borderId="0" xfId="2" applyNumberFormat="1"/>
    <xf numFmtId="166" fontId="12" fillId="0" borderId="55" xfId="2" applyNumberFormat="1" applyFont="1" applyBorder="1" applyAlignment="1" applyProtection="1">
      <alignment horizontal="center" vertical="center"/>
      <protection locked="0"/>
    </xf>
    <xf numFmtId="169" fontId="1" fillId="0" borderId="6" xfId="2" applyNumberFormat="1" applyBorder="1" applyAlignment="1">
      <alignment horizontal="center"/>
    </xf>
    <xf numFmtId="166" fontId="12" fillId="0" borderId="45" xfId="2" applyNumberFormat="1" applyFont="1" applyBorder="1" applyAlignment="1" applyProtection="1">
      <alignment horizontal="center" vertical="center"/>
      <protection locked="0"/>
    </xf>
    <xf numFmtId="164" fontId="12" fillId="0" borderId="56" xfId="2" applyFont="1" applyBorder="1" applyAlignment="1">
      <alignment horizontal="right" vertical="center"/>
    </xf>
    <xf numFmtId="166" fontId="12" fillId="0" borderId="57" xfId="2" applyNumberFormat="1" applyFont="1" applyBorder="1" applyAlignment="1" applyProtection="1">
      <alignment horizontal="center"/>
      <protection locked="0"/>
    </xf>
    <xf numFmtId="169" fontId="1" fillId="0" borderId="37" xfId="2" applyNumberFormat="1" applyBorder="1" applyAlignment="1">
      <alignment horizontal="center"/>
    </xf>
    <xf numFmtId="169" fontId="1" fillId="0" borderId="0" xfId="2" applyNumberFormat="1" applyAlignment="1">
      <alignment horizontal="center"/>
    </xf>
    <xf numFmtId="164" fontId="12" fillId="0" borderId="6" xfId="2" applyFont="1" applyBorder="1" applyAlignment="1">
      <alignment horizontal="right" vertical="center"/>
    </xf>
    <xf numFmtId="164" fontId="16" fillId="0" borderId="48" xfId="2" applyFont="1" applyBorder="1" applyAlignment="1">
      <alignment vertical="center"/>
    </xf>
    <xf numFmtId="164" fontId="1" fillId="0" borderId="58" xfId="2" applyBorder="1" applyAlignment="1">
      <alignment horizontal="center"/>
    </xf>
    <xf numFmtId="169" fontId="1" fillId="0" borderId="59" xfId="2" applyNumberFormat="1" applyBorder="1" applyAlignment="1">
      <alignment horizontal="center"/>
    </xf>
    <xf numFmtId="164" fontId="12" fillId="0" borderId="60" xfId="2" applyFont="1" applyBorder="1" applyAlignment="1">
      <alignment horizontal="right" vertical="center"/>
    </xf>
    <xf numFmtId="2" fontId="12" fillId="0" borderId="25" xfId="2" applyNumberFormat="1" applyFont="1" applyBorder="1" applyAlignment="1">
      <alignment horizontal="center" vertical="center"/>
    </xf>
    <xf numFmtId="2" fontId="12" fillId="0" borderId="25" xfId="2" applyNumberFormat="1" applyFont="1" applyBorder="1" applyAlignment="1" applyProtection="1">
      <alignment horizontal="center" vertical="center"/>
      <protection locked="0"/>
    </xf>
    <xf numFmtId="169" fontId="25" fillId="0" borderId="61" xfId="2" applyNumberFormat="1" applyFont="1" applyBorder="1" applyAlignment="1">
      <alignment horizontal="center" vertical="center"/>
    </xf>
    <xf numFmtId="2" fontId="12" fillId="0" borderId="6" xfId="2" applyNumberFormat="1" applyFont="1" applyBorder="1" applyAlignment="1">
      <alignment horizontal="center" vertical="center"/>
    </xf>
    <xf numFmtId="2" fontId="12" fillId="0" borderId="6" xfId="2" applyNumberFormat="1" applyFont="1" applyBorder="1" applyAlignment="1" applyProtection="1">
      <alignment horizontal="center" vertical="center"/>
      <protection locked="0"/>
    </xf>
    <xf numFmtId="169" fontId="25" fillId="0" borderId="40" xfId="2" applyNumberFormat="1" applyFont="1" applyBorder="1" applyAlignment="1">
      <alignment horizontal="center" vertical="center"/>
    </xf>
    <xf numFmtId="169" fontId="25" fillId="0" borderId="62" xfId="2" applyNumberFormat="1" applyFont="1" applyBorder="1" applyAlignment="1">
      <alignment horizontal="center" vertical="center"/>
    </xf>
    <xf numFmtId="2" fontId="12" fillId="0" borderId="37" xfId="2" applyNumberFormat="1" applyFont="1" applyBorder="1" applyAlignment="1">
      <alignment horizontal="center" vertical="center"/>
    </xf>
    <xf numFmtId="2" fontId="12" fillId="0" borderId="18" xfId="2" applyNumberFormat="1" applyFont="1" applyBorder="1" applyAlignment="1" applyProtection="1">
      <alignment horizontal="center" vertical="center"/>
      <protection locked="0"/>
    </xf>
    <xf numFmtId="164" fontId="12" fillId="0" borderId="35" xfId="2" applyFont="1" applyBorder="1" applyAlignment="1">
      <alignment vertical="center"/>
    </xf>
    <xf numFmtId="2" fontId="12" fillId="0" borderId="63" xfId="2" applyNumberFormat="1" applyFont="1" applyBorder="1" applyAlignment="1">
      <alignment horizontal="center" vertical="center"/>
    </xf>
    <xf numFmtId="2" fontId="12" fillId="0" borderId="31" xfId="2" applyNumberFormat="1" applyFont="1" applyBorder="1" applyAlignment="1">
      <alignment horizontal="center" vertical="center"/>
    </xf>
    <xf numFmtId="2" fontId="12" fillId="0" borderId="64" xfId="2" applyNumberFormat="1" applyFont="1" applyBorder="1" applyAlignment="1">
      <alignment horizontal="center" vertical="center"/>
    </xf>
    <xf numFmtId="169" fontId="25" fillId="0" borderId="35" xfId="2" applyNumberFormat="1" applyFont="1" applyBorder="1" applyAlignment="1">
      <alignment horizontal="center" vertical="center"/>
    </xf>
    <xf numFmtId="2" fontId="1" fillId="0" borderId="0" xfId="2" applyNumberFormat="1" applyAlignment="1">
      <alignment horizontal="center"/>
    </xf>
    <xf numFmtId="2" fontId="12" fillId="0" borderId="2" xfId="2" applyNumberFormat="1" applyFont="1" applyBorder="1" applyAlignment="1">
      <alignment horizontal="center" vertical="center"/>
    </xf>
    <xf numFmtId="169" fontId="28" fillId="0" borderId="4" xfId="2" applyNumberFormat="1" applyFont="1" applyBorder="1" applyAlignment="1">
      <alignment horizontal="center" vertical="center"/>
    </xf>
    <xf numFmtId="169" fontId="28" fillId="0" borderId="40" xfId="2" applyNumberFormat="1" applyFont="1" applyBorder="1" applyAlignment="1">
      <alignment horizontal="center" vertical="center"/>
    </xf>
    <xf numFmtId="169" fontId="28" fillId="0" borderId="62" xfId="2" applyNumberFormat="1" applyFont="1" applyBorder="1" applyAlignment="1">
      <alignment horizontal="center" vertical="center"/>
    </xf>
    <xf numFmtId="164" fontId="12" fillId="0" borderId="63" xfId="2" applyFont="1" applyBorder="1" applyAlignment="1">
      <alignment horizontal="right" vertical="center"/>
    </xf>
    <xf numFmtId="169" fontId="1" fillId="0" borderId="65" xfId="2" applyNumberFormat="1" applyBorder="1" applyAlignment="1">
      <alignment horizontal="center"/>
    </xf>
    <xf numFmtId="164" fontId="16" fillId="0" borderId="49" xfId="2" applyFont="1" applyBorder="1" applyAlignment="1">
      <alignment vertical="center"/>
    </xf>
    <xf numFmtId="2" fontId="29" fillId="0" borderId="2" xfId="2" applyNumberFormat="1" applyFont="1" applyBorder="1" applyAlignment="1">
      <alignment horizontal="center" vertical="center"/>
    </xf>
    <xf numFmtId="2" fontId="29" fillId="0" borderId="4" xfId="2" applyNumberFormat="1" applyFont="1" applyBorder="1" applyAlignment="1">
      <alignment horizontal="center" vertical="center"/>
    </xf>
    <xf numFmtId="164" fontId="16" fillId="0" borderId="60" xfId="2" applyFont="1" applyBorder="1" applyAlignment="1">
      <alignment vertical="center"/>
    </xf>
    <xf numFmtId="2" fontId="29" fillId="0" borderId="25" xfId="2" applyNumberFormat="1" applyFont="1" applyBorder="1" applyAlignment="1">
      <alignment horizontal="center" vertical="center"/>
    </xf>
    <xf numFmtId="2" fontId="29" fillId="0" borderId="61" xfId="2" applyNumberFormat="1" applyFont="1" applyBorder="1" applyAlignment="1">
      <alignment horizontal="center" vertical="center"/>
    </xf>
    <xf numFmtId="164" fontId="1" fillId="0" borderId="66" xfId="2" applyBorder="1" applyAlignment="1">
      <alignment horizontal="center"/>
    </xf>
    <xf numFmtId="164" fontId="16" fillId="0" borderId="51" xfId="2" applyFont="1" applyBorder="1" applyAlignment="1">
      <alignment vertical="center"/>
    </xf>
    <xf numFmtId="2" fontId="29" fillId="0" borderId="6" xfId="2" applyNumberFormat="1" applyFont="1" applyBorder="1" applyAlignment="1">
      <alignment horizontal="center" vertical="center"/>
    </xf>
    <xf numFmtId="2" fontId="29" fillId="0" borderId="40" xfId="2" applyNumberFormat="1" applyFont="1" applyBorder="1" applyAlignment="1">
      <alignment horizontal="center" vertical="center"/>
    </xf>
    <xf numFmtId="164" fontId="16" fillId="0" borderId="67" xfId="2" applyFont="1" applyBorder="1" applyAlignment="1">
      <alignment vertical="center"/>
    </xf>
    <xf numFmtId="2" fontId="29" fillId="0" borderId="8" xfId="2" applyNumberFormat="1" applyFont="1" applyBorder="1" applyAlignment="1">
      <alignment horizontal="center" vertical="center"/>
    </xf>
    <xf numFmtId="2" fontId="29" fillId="0" borderId="10" xfId="2" applyNumberFormat="1" applyFont="1" applyBorder="1" applyAlignment="1">
      <alignment horizontal="center" vertical="center"/>
    </xf>
    <xf numFmtId="164" fontId="12" fillId="13" borderId="6" xfId="2" applyFont="1" applyFill="1" applyBorder="1" applyAlignment="1">
      <alignment vertical="center"/>
    </xf>
    <xf numFmtId="1" fontId="1" fillId="13" borderId="6" xfId="2" applyNumberFormat="1" applyFill="1" applyBorder="1"/>
    <xf numFmtId="20" fontId="30" fillId="13" borderId="6" xfId="2" applyNumberFormat="1" applyFont="1" applyFill="1" applyBorder="1" applyAlignment="1">
      <alignment horizontal="center"/>
    </xf>
    <xf numFmtId="164" fontId="1" fillId="0" borderId="0" xfId="2" applyAlignment="1">
      <alignment horizontal="left"/>
    </xf>
    <xf numFmtId="164" fontId="31" fillId="15" borderId="0" xfId="2" applyFont="1" applyFill="1"/>
    <xf numFmtId="164" fontId="1" fillId="16" borderId="0" xfId="2" applyFill="1" applyProtection="1">
      <protection locked="0"/>
    </xf>
    <xf numFmtId="164" fontId="16" fillId="0" borderId="0" xfId="2" applyFont="1" applyAlignment="1">
      <alignment vertical="top" wrapText="1"/>
    </xf>
    <xf numFmtId="20" fontId="12" fillId="0" borderId="37" xfId="2" applyNumberFormat="1" applyFont="1" applyBorder="1" applyAlignment="1">
      <alignment vertical="center"/>
    </xf>
    <xf numFmtId="167" fontId="12" fillId="0" borderId="68" xfId="2" applyNumberFormat="1" applyFont="1" applyBorder="1" applyAlignment="1">
      <alignment vertical="center"/>
    </xf>
    <xf numFmtId="167" fontId="12" fillId="0" borderId="37" xfId="2" applyNumberFormat="1" applyFont="1" applyBorder="1" applyAlignment="1">
      <alignment vertical="center"/>
    </xf>
    <xf numFmtId="167" fontId="12" fillId="0" borderId="19" xfId="2" applyNumberFormat="1" applyFont="1" applyBorder="1" applyAlignment="1">
      <alignment vertical="center"/>
    </xf>
    <xf numFmtId="1" fontId="1" fillId="0" borderId="0" xfId="2" applyNumberFormat="1" applyAlignment="1">
      <alignment horizontal="center"/>
    </xf>
    <xf numFmtId="165" fontId="1" fillId="16" borderId="0" xfId="2" applyNumberFormat="1" applyFill="1" applyProtection="1">
      <protection locked="0"/>
    </xf>
    <xf numFmtId="164" fontId="1" fillId="0" borderId="6" xfId="2" applyBorder="1"/>
    <xf numFmtId="166" fontId="1" fillId="0" borderId="6" xfId="2" applyNumberFormat="1" applyBorder="1" applyAlignment="1">
      <alignment horizontal="center"/>
    </xf>
    <xf numFmtId="2" fontId="1" fillId="0" borderId="6" xfId="2" applyNumberFormat="1" applyBorder="1" applyAlignment="1">
      <alignment horizont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5" fillId="0" borderId="0" xfId="5" applyAlignment="1">
      <alignment vertical="center"/>
    </xf>
    <xf numFmtId="0" fontId="12" fillId="0" borderId="0" xfId="5" applyFont="1" applyAlignment="1">
      <alignment horizontal="centerContinuous" vertical="center"/>
    </xf>
    <xf numFmtId="0" fontId="39" fillId="0" borderId="0" xfId="5" applyFont="1" applyAlignment="1">
      <alignment horizontal="left" vertical="center"/>
    </xf>
    <xf numFmtId="0" fontId="40" fillId="0" borderId="0" xfId="5" applyFont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5" applyFont="1" applyAlignment="1">
      <alignment vertical="center"/>
    </xf>
    <xf numFmtId="0" fontId="16" fillId="0" borderId="0" xfId="5" quotePrefix="1" applyFont="1" applyAlignment="1">
      <alignment vertical="center"/>
    </xf>
    <xf numFmtId="0" fontId="16" fillId="0" borderId="0" xfId="5" applyFont="1" applyAlignment="1">
      <alignment horizontal="center" vertical="center"/>
    </xf>
    <xf numFmtId="2" fontId="12" fillId="0" borderId="70" xfId="5" applyNumberFormat="1" applyFont="1" applyBorder="1" applyAlignment="1">
      <alignment horizontal="left" vertical="center"/>
    </xf>
    <xf numFmtId="2" fontId="12" fillId="0" borderId="71" xfId="5" applyNumberFormat="1" applyFont="1" applyBorder="1" applyAlignment="1">
      <alignment horizontal="center" vertical="center"/>
    </xf>
    <xf numFmtId="0" fontId="41" fillId="0" borderId="0" xfId="5" applyFont="1" applyAlignment="1">
      <alignment vertical="center"/>
    </xf>
    <xf numFmtId="0" fontId="42" fillId="0" borderId="0" xfId="5" applyFont="1" applyAlignment="1">
      <alignment vertical="center"/>
    </xf>
    <xf numFmtId="0" fontId="0" fillId="10" borderId="0" xfId="0" applyFill="1" applyAlignment="1">
      <alignment vertical="center"/>
    </xf>
    <xf numFmtId="0" fontId="20" fillId="15" borderId="1" xfId="0" applyFont="1" applyFill="1" applyBorder="1" applyAlignment="1">
      <alignment horizontal="center" vertical="center" wrapText="1"/>
    </xf>
    <xf numFmtId="0" fontId="20" fillId="15" borderId="3" xfId="0" applyFont="1" applyFill="1" applyBorder="1" applyAlignment="1">
      <alignment horizontal="center" vertical="center" wrapText="1"/>
    </xf>
    <xf numFmtId="0" fontId="20" fillId="15" borderId="72" xfId="0" applyFont="1" applyFill="1" applyBorder="1" applyAlignment="1">
      <alignment horizontal="center" vertical="center" wrapText="1"/>
    </xf>
    <xf numFmtId="0" fontId="43" fillId="10" borderId="0" xfId="5" applyFont="1" applyFill="1" applyAlignment="1">
      <alignment vertical="center"/>
    </xf>
    <xf numFmtId="0" fontId="39" fillId="10" borderId="0" xfId="5" applyFont="1" applyFill="1" applyAlignment="1">
      <alignment horizontal="center" vertical="center"/>
    </xf>
    <xf numFmtId="0" fontId="12" fillId="10" borderId="0" xfId="5" applyFont="1" applyFill="1" applyAlignment="1">
      <alignment horizontal="centerContinuous" vertical="center"/>
    </xf>
    <xf numFmtId="0" fontId="44" fillId="10" borderId="0" xfId="5" applyFont="1" applyFill="1" applyAlignment="1">
      <alignment horizontal="centerContinuous" vertical="center"/>
    </xf>
    <xf numFmtId="0" fontId="45" fillId="0" borderId="0" xfId="5" quotePrefix="1" applyFont="1" applyAlignment="1">
      <alignment horizontal="center" vertical="center"/>
    </xf>
    <xf numFmtId="0" fontId="16" fillId="0" borderId="69" xfId="5" applyFont="1" applyBorder="1" applyAlignment="1">
      <alignment horizontal="center" vertical="center"/>
    </xf>
    <xf numFmtId="0" fontId="16" fillId="0" borderId="70" xfId="5" applyFont="1" applyBorder="1" applyAlignment="1">
      <alignment horizontal="center" vertical="center"/>
    </xf>
    <xf numFmtId="0" fontId="24" fillId="0" borderId="70" xfId="5" applyFont="1" applyBorder="1" applyAlignment="1">
      <alignment horizontal="center" vertical="center" wrapText="1"/>
    </xf>
    <xf numFmtId="0" fontId="24" fillId="0" borderId="71" xfId="5" applyFont="1" applyBorder="1" applyAlignment="1">
      <alignment horizontal="center" vertical="center" wrapText="1"/>
    </xf>
    <xf numFmtId="2" fontId="12" fillId="0" borderId="6" xfId="5" applyNumberFormat="1" applyFont="1" applyBorder="1" applyAlignment="1">
      <alignment horizontal="left" vertical="center"/>
    </xf>
    <xf numFmtId="2" fontId="12" fillId="0" borderId="29" xfId="5" applyNumberFormat="1" applyFont="1" applyBorder="1" applyAlignment="1">
      <alignment horizontal="center" vertical="center"/>
    </xf>
    <xf numFmtId="0" fontId="24" fillId="0" borderId="0" xfId="5" applyFont="1" applyAlignment="1">
      <alignment horizontal="center" vertical="center" wrapText="1"/>
    </xf>
    <xf numFmtId="0" fontId="46" fillId="0" borderId="0" xfId="5" applyFont="1" applyAlignment="1">
      <alignment vertical="center" wrapText="1"/>
    </xf>
    <xf numFmtId="20" fontId="0" fillId="0" borderId="0" xfId="0" applyNumberFormat="1" applyAlignment="1">
      <alignment vertical="center"/>
    </xf>
    <xf numFmtId="0" fontId="37" fillId="0" borderId="49" xfId="0" applyFont="1" applyBorder="1" applyAlignment="1">
      <alignment vertical="center"/>
    </xf>
    <xf numFmtId="0" fontId="37" fillId="0" borderId="2" xfId="0" applyFont="1" applyBorder="1" applyAlignment="1">
      <alignment vertical="center"/>
    </xf>
    <xf numFmtId="0" fontId="37" fillId="0" borderId="3" xfId="0" applyFont="1" applyBorder="1" applyAlignment="1">
      <alignment vertical="center"/>
    </xf>
    <xf numFmtId="170" fontId="37" fillId="0" borderId="0" xfId="0" applyNumberFormat="1" applyFont="1" applyAlignment="1">
      <alignment vertical="center"/>
    </xf>
    <xf numFmtId="0" fontId="37" fillId="17" borderId="1" xfId="0" applyFont="1" applyFill="1" applyBorder="1" applyAlignment="1">
      <alignment vertical="center"/>
    </xf>
    <xf numFmtId="0" fontId="37" fillId="17" borderId="73" xfId="0" applyFont="1" applyFill="1" applyBorder="1" applyAlignment="1">
      <alignment vertical="center"/>
    </xf>
    <xf numFmtId="0" fontId="37" fillId="17" borderId="3" xfId="0" applyFont="1" applyFill="1" applyBorder="1" applyAlignment="1">
      <alignment vertical="center"/>
    </xf>
    <xf numFmtId="0" fontId="37" fillId="17" borderId="72" xfId="0" applyFont="1" applyFill="1" applyBorder="1" applyAlignment="1">
      <alignment vertical="center"/>
    </xf>
    <xf numFmtId="2" fontId="47" fillId="18" borderId="0" xfId="0" applyNumberFormat="1" applyFont="1" applyFill="1" applyAlignment="1">
      <alignment vertical="center"/>
    </xf>
    <xf numFmtId="2" fontId="47" fillId="14" borderId="0" xfId="0" applyNumberFormat="1" applyFont="1" applyFill="1" applyAlignment="1">
      <alignment vertical="center"/>
    </xf>
    <xf numFmtId="0" fontId="12" fillId="10" borderId="0" xfId="5" applyFont="1" applyFill="1" applyAlignment="1">
      <alignment vertical="center"/>
    </xf>
    <xf numFmtId="0" fontId="48" fillId="0" borderId="0" xfId="5" applyFont="1" applyAlignment="1">
      <alignment horizontal="center" vertical="center"/>
    </xf>
    <xf numFmtId="2" fontId="49" fillId="0" borderId="28" xfId="5" quotePrefix="1" applyNumberFormat="1" applyFont="1" applyBorder="1" applyAlignment="1">
      <alignment horizontal="center" vertical="center"/>
    </xf>
    <xf numFmtId="0" fontId="12" fillId="0" borderId="75" xfId="5" applyFont="1" applyBorder="1" applyAlignment="1">
      <alignment horizontal="left" vertical="center"/>
    </xf>
    <xf numFmtId="2" fontId="12" fillId="10" borderId="76" xfId="5" applyNumberFormat="1" applyFont="1" applyFill="1" applyBorder="1" applyAlignment="1">
      <alignment horizontal="center" vertical="center"/>
    </xf>
    <xf numFmtId="2" fontId="49" fillId="0" borderId="0" xfId="5" quotePrefix="1" applyNumberFormat="1" applyFont="1" applyAlignment="1">
      <alignment horizontal="center" vertical="center"/>
    </xf>
    <xf numFmtId="0" fontId="37" fillId="0" borderId="51" xfId="0" applyFont="1" applyBorder="1" applyAlignment="1">
      <alignment vertical="center"/>
    </xf>
    <xf numFmtId="0" fontId="37" fillId="0" borderId="6" xfId="0" applyFont="1" applyBorder="1" applyAlignment="1">
      <alignment vertical="center"/>
    </xf>
    <xf numFmtId="0" fontId="38" fillId="17" borderId="49" xfId="0" applyFont="1" applyFill="1" applyBorder="1" applyAlignment="1">
      <alignment vertical="center"/>
    </xf>
    <xf numFmtId="0" fontId="38" fillId="17" borderId="77" xfId="0" applyFont="1" applyFill="1" applyBorder="1" applyAlignment="1">
      <alignment vertical="center"/>
    </xf>
    <xf numFmtId="43" fontId="38" fillId="17" borderId="2" xfId="1" applyFont="1" applyFill="1" applyBorder="1" applyAlignment="1">
      <alignment horizontal="right" vertical="center"/>
    </xf>
    <xf numFmtId="43" fontId="38" fillId="17" borderId="2" xfId="0" applyNumberFormat="1" applyFont="1" applyFill="1" applyBorder="1" applyAlignment="1">
      <alignment horizontal="right" vertical="center"/>
    </xf>
    <xf numFmtId="0" fontId="16" fillId="10" borderId="0" xfId="5" applyFont="1" applyFill="1" applyAlignment="1">
      <alignment vertical="center"/>
    </xf>
    <xf numFmtId="2" fontId="12" fillId="0" borderId="0" xfId="5" applyNumberFormat="1" applyFont="1" applyAlignment="1">
      <alignment vertical="center"/>
    </xf>
    <xf numFmtId="0" fontId="16" fillId="0" borderId="0" xfId="5" applyFont="1" applyAlignment="1">
      <alignment vertical="center"/>
    </xf>
    <xf numFmtId="0" fontId="42" fillId="0" borderId="0" xfId="5" applyFont="1" applyAlignment="1">
      <alignment horizontal="center" vertical="center"/>
    </xf>
    <xf numFmtId="0" fontId="37" fillId="0" borderId="58" xfId="0" applyFont="1" applyBorder="1" applyAlignment="1">
      <alignment vertical="center"/>
    </xf>
    <xf numFmtId="0" fontId="50" fillId="0" borderId="78" xfId="0" applyFont="1" applyBorder="1" applyAlignment="1">
      <alignment vertical="center"/>
    </xf>
    <xf numFmtId="0" fontId="38" fillId="17" borderId="51" xfId="0" applyFont="1" applyFill="1" applyBorder="1" applyAlignment="1">
      <alignment vertical="center"/>
    </xf>
    <xf numFmtId="0" fontId="38" fillId="17" borderId="66" xfId="0" applyFont="1" applyFill="1" applyBorder="1" applyAlignment="1">
      <alignment vertical="center"/>
    </xf>
    <xf numFmtId="43" fontId="38" fillId="17" borderId="6" xfId="1" applyFont="1" applyFill="1" applyBorder="1" applyAlignment="1">
      <alignment horizontal="right" vertical="center"/>
    </xf>
    <xf numFmtId="43" fontId="38" fillId="17" borderId="6" xfId="0" applyNumberFormat="1" applyFont="1" applyFill="1" applyBorder="1" applyAlignment="1">
      <alignment horizontal="right" vertical="center"/>
    </xf>
    <xf numFmtId="0" fontId="37" fillId="0" borderId="79" xfId="0" applyFont="1" applyBorder="1" applyAlignment="1">
      <alignment vertical="center"/>
    </xf>
    <xf numFmtId="0" fontId="51" fillId="19" borderId="0" xfId="0" applyFont="1" applyFill="1" applyAlignment="1">
      <alignment vertical="center"/>
    </xf>
    <xf numFmtId="0" fontId="37" fillId="5" borderId="0" xfId="0" applyFont="1" applyFill="1" applyAlignment="1">
      <alignment vertical="center"/>
    </xf>
    <xf numFmtId="2" fontId="12" fillId="0" borderId="0" xfId="5" applyNumberFormat="1" applyFont="1" applyAlignment="1">
      <alignment horizontal="center" vertical="center"/>
    </xf>
    <xf numFmtId="2" fontId="49" fillId="0" borderId="74" xfId="5" applyNumberFormat="1" applyFont="1" applyBorder="1" applyAlignment="1">
      <alignment horizontal="center" vertical="center"/>
    </xf>
    <xf numFmtId="2" fontId="24" fillId="10" borderId="75" xfId="5" applyNumberFormat="1" applyFont="1" applyFill="1" applyBorder="1" applyAlignment="1">
      <alignment horizontal="center" vertical="center"/>
    </xf>
    <xf numFmtId="2" fontId="49" fillId="10" borderId="76" xfId="5" quotePrefix="1" applyNumberFormat="1" applyFont="1" applyFill="1" applyBorder="1" applyAlignment="1">
      <alignment horizontal="center" vertical="center"/>
    </xf>
    <xf numFmtId="0" fontId="16" fillId="0" borderId="69" xfId="5" applyFont="1" applyBorder="1" applyAlignment="1">
      <alignment horizontal="left" vertical="center"/>
    </xf>
    <xf numFmtId="0" fontId="16" fillId="0" borderId="71" xfId="5" applyFont="1" applyBorder="1" applyAlignment="1">
      <alignment horizontal="center" vertical="center"/>
    </xf>
    <xf numFmtId="2" fontId="49" fillId="10" borderId="0" xfId="5" quotePrefix="1" applyNumberFormat="1" applyFont="1" applyFill="1" applyAlignment="1">
      <alignment horizontal="center" vertical="center"/>
    </xf>
    <xf numFmtId="0" fontId="12" fillId="0" borderId="0" xfId="5" applyFont="1" applyAlignment="1">
      <alignment horizontal="center" vertical="center"/>
    </xf>
    <xf numFmtId="1" fontId="42" fillId="0" borderId="0" xfId="5" applyNumberFormat="1" applyFont="1" applyAlignment="1">
      <alignment horizontal="center" vertical="center"/>
    </xf>
    <xf numFmtId="0" fontId="16" fillId="0" borderId="49" xfId="0" applyFont="1" applyBorder="1" applyAlignment="1">
      <alignment horizontal="right" vertical="center"/>
    </xf>
    <xf numFmtId="0" fontId="37" fillId="0" borderId="0" xfId="0" applyFont="1" applyAlignment="1">
      <alignment horizontal="right" vertical="center"/>
    </xf>
    <xf numFmtId="2" fontId="37" fillId="0" borderId="0" xfId="0" applyNumberFormat="1" applyFont="1" applyAlignment="1">
      <alignment vertical="center"/>
    </xf>
    <xf numFmtId="0" fontId="37" fillId="20" borderId="6" xfId="0" applyFont="1" applyFill="1" applyBorder="1" applyAlignment="1">
      <alignment vertical="center"/>
    </xf>
    <xf numFmtId="0" fontId="31" fillId="20" borderId="0" xfId="0" applyFont="1" applyFill="1" applyAlignment="1">
      <alignment horizontal="center" vertical="center"/>
    </xf>
    <xf numFmtId="0" fontId="41" fillId="15" borderId="0" xfId="0" applyFont="1" applyFill="1" applyAlignment="1">
      <alignment vertical="center"/>
    </xf>
    <xf numFmtId="43" fontId="37" fillId="0" borderId="0" xfId="1" applyFont="1" applyAlignment="1">
      <alignment vertical="center"/>
    </xf>
    <xf numFmtId="0" fontId="16" fillId="10" borderId="0" xfId="5" applyFont="1" applyFill="1" applyAlignment="1">
      <alignment horizontal="left" vertical="center"/>
    </xf>
    <xf numFmtId="1" fontId="12" fillId="0" borderId="0" xfId="5" applyNumberFormat="1" applyFont="1" applyAlignment="1">
      <alignment horizontal="center" vertical="center"/>
    </xf>
    <xf numFmtId="0" fontId="52" fillId="0" borderId="82" xfId="5" applyFont="1" applyBorder="1" applyAlignment="1">
      <alignment horizontal="left" vertical="center"/>
    </xf>
    <xf numFmtId="0" fontId="52" fillId="0" borderId="66" xfId="5" applyFont="1" applyBorder="1" applyAlignment="1">
      <alignment horizontal="left" vertical="center"/>
    </xf>
    <xf numFmtId="2" fontId="49" fillId="0" borderId="6" xfId="5" applyNumberFormat="1" applyFont="1" applyBorder="1" applyAlignment="1">
      <alignment horizontal="center" vertical="center"/>
    </xf>
    <xf numFmtId="2" fontId="49" fillId="0" borderId="29" xfId="5" applyNumberFormat="1" applyFont="1" applyBorder="1" applyAlignment="1">
      <alignment horizontal="center" vertical="center"/>
    </xf>
    <xf numFmtId="0" fontId="52" fillId="0" borderId="0" xfId="5" applyFont="1" applyAlignment="1">
      <alignment vertical="center"/>
    </xf>
    <xf numFmtId="0" fontId="37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 wrapText="1"/>
    </xf>
    <xf numFmtId="2" fontId="53" fillId="0" borderId="0" xfId="0" applyNumberFormat="1" applyFont="1" applyAlignment="1">
      <alignment horizontal="center" vertical="center"/>
    </xf>
    <xf numFmtId="0" fontId="16" fillId="0" borderId="51" xfId="0" applyFont="1" applyBorder="1" applyAlignment="1">
      <alignment horizontal="right" vertical="center"/>
    </xf>
    <xf numFmtId="0" fontId="16" fillId="0" borderId="49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43" fontId="38" fillId="6" borderId="4" xfId="1" applyFont="1" applyFill="1" applyBorder="1" applyAlignment="1" applyProtection="1">
      <alignment horizontal="center" vertical="center"/>
      <protection locked="0"/>
    </xf>
    <xf numFmtId="172" fontId="37" fillId="0" borderId="0" xfId="1" applyNumberFormat="1" applyFont="1" applyFill="1" applyBorder="1" applyAlignment="1">
      <alignment vertical="center"/>
    </xf>
    <xf numFmtId="0" fontId="24" fillId="0" borderId="70" xfId="0" applyFont="1" applyBorder="1" applyAlignment="1">
      <alignment horizontal="center" vertical="center" wrapText="1"/>
    </xf>
    <xf numFmtId="0" fontId="24" fillId="10" borderId="70" xfId="0" applyFont="1" applyFill="1" applyBorder="1" applyAlignment="1">
      <alignment horizontal="center" vertical="center" wrapText="1"/>
    </xf>
    <xf numFmtId="0" fontId="24" fillId="0" borderId="71" xfId="5" applyFont="1" applyBorder="1" applyAlignment="1">
      <alignment horizontal="center" vertical="center"/>
    </xf>
    <xf numFmtId="0" fontId="52" fillId="0" borderId="28" xfId="5" applyFont="1" applyBorder="1" applyAlignment="1">
      <alignment horizontal="left" vertical="center"/>
    </xf>
    <xf numFmtId="2" fontId="52" fillId="0" borderId="6" xfId="5" applyNumberFormat="1" applyFont="1" applyBorder="1" applyAlignment="1">
      <alignment horizontal="center" vertical="center"/>
    </xf>
    <xf numFmtId="2" fontId="49" fillId="0" borderId="29" xfId="5" quotePrefix="1" applyNumberFormat="1" applyFont="1" applyBorder="1" applyAlignment="1">
      <alignment horizontal="center" vertical="center"/>
    </xf>
    <xf numFmtId="2" fontId="49" fillId="0" borderId="0" xfId="5" applyNumberFormat="1" applyFont="1" applyAlignment="1">
      <alignment vertical="center"/>
    </xf>
    <xf numFmtId="0" fontId="20" fillId="0" borderId="6" xfId="5" applyFont="1" applyBorder="1" applyAlignment="1">
      <alignment horizontal="left" vertical="center"/>
    </xf>
    <xf numFmtId="0" fontId="46" fillId="0" borderId="6" xfId="5" applyFont="1" applyBorder="1" applyAlignment="1">
      <alignment horizontal="center" vertical="center"/>
    </xf>
    <xf numFmtId="0" fontId="16" fillId="0" borderId="67" xfId="0" applyFont="1" applyBorder="1" applyAlignment="1">
      <alignment horizontal="right" vertical="center"/>
    </xf>
    <xf numFmtId="0" fontId="38" fillId="17" borderId="56" xfId="0" applyFont="1" applyFill="1" applyBorder="1" applyAlignment="1">
      <alignment vertical="center"/>
    </xf>
    <xf numFmtId="0" fontId="38" fillId="17" borderId="68" xfId="0" applyFont="1" applyFill="1" applyBorder="1" applyAlignment="1">
      <alignment vertical="center"/>
    </xf>
    <xf numFmtId="43" fontId="38" fillId="17" borderId="37" xfId="1" applyFont="1" applyFill="1" applyBorder="1" applyAlignment="1">
      <alignment horizontal="right" vertical="center"/>
    </xf>
    <xf numFmtId="43" fontId="38" fillId="17" borderId="37" xfId="0" applyNumberFormat="1" applyFont="1" applyFill="1" applyBorder="1" applyAlignment="1">
      <alignment horizontal="right" vertical="center"/>
    </xf>
    <xf numFmtId="0" fontId="16" fillId="0" borderId="51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43" fontId="38" fillId="6" borderId="40" xfId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horizontal="center" vertical="center"/>
    </xf>
    <xf numFmtId="0" fontId="37" fillId="0" borderId="4" xfId="0" applyFont="1" applyBorder="1" applyAlignment="1">
      <alignment vertical="center"/>
    </xf>
    <xf numFmtId="165" fontId="31" fillId="20" borderId="0" xfId="0" applyNumberFormat="1" applyFont="1" applyFill="1" applyAlignment="1">
      <alignment horizontal="center" vertical="center"/>
    </xf>
    <xf numFmtId="0" fontId="20" fillId="0" borderId="28" xfId="5" applyFont="1" applyBorder="1" applyAlignment="1">
      <alignment vertical="center"/>
    </xf>
    <xf numFmtId="2" fontId="53" fillId="6" borderId="25" xfId="0" applyNumberFormat="1" applyFont="1" applyFill="1" applyBorder="1" applyAlignment="1">
      <alignment horizontal="center" vertical="center"/>
    </xf>
    <xf numFmtId="2" fontId="24" fillId="0" borderId="29" xfId="5" applyNumberFormat="1" applyFont="1" applyBorder="1" applyAlignment="1">
      <alignment horizontal="center" vertical="center"/>
    </xf>
    <xf numFmtId="2" fontId="49" fillId="0" borderId="0" xfId="5" applyNumberFormat="1" applyFont="1" applyAlignment="1">
      <alignment horizontal="center" vertical="center"/>
    </xf>
    <xf numFmtId="2" fontId="42" fillId="0" borderId="6" xfId="5" applyNumberFormat="1" applyFont="1" applyBorder="1" applyAlignment="1">
      <alignment horizontal="center" vertical="center"/>
    </xf>
    <xf numFmtId="0" fontId="37" fillId="17" borderId="63" xfId="0" applyFont="1" applyFill="1" applyBorder="1" applyAlignment="1">
      <alignment vertical="center"/>
    </xf>
    <xf numFmtId="0" fontId="37" fillId="17" borderId="86" xfId="0" applyFont="1" applyFill="1" applyBorder="1" applyAlignment="1">
      <alignment vertical="center"/>
    </xf>
    <xf numFmtId="43" fontId="16" fillId="17" borderId="31" xfId="1" applyFont="1" applyFill="1" applyBorder="1" applyAlignment="1">
      <alignment horizontal="right" vertical="center"/>
    </xf>
    <xf numFmtId="43" fontId="37" fillId="17" borderId="31" xfId="0" applyNumberFormat="1" applyFont="1" applyFill="1" applyBorder="1" applyAlignment="1">
      <alignment horizontal="right" vertical="center"/>
    </xf>
    <xf numFmtId="43" fontId="37" fillId="17" borderId="65" xfId="1" applyFont="1" applyFill="1" applyBorder="1" applyAlignment="1">
      <alignment horizontal="right" vertical="center"/>
    </xf>
    <xf numFmtId="0" fontId="16" fillId="0" borderId="67" xfId="0" applyFont="1" applyBorder="1" applyAlignment="1">
      <alignment vertical="center"/>
    </xf>
    <xf numFmtId="0" fontId="16" fillId="0" borderId="8" xfId="0" applyFont="1" applyBorder="1" applyAlignment="1">
      <alignment vertical="center"/>
    </xf>
    <xf numFmtId="173" fontId="38" fillId="6" borderId="10" xfId="1" applyNumberFormat="1" applyFont="1" applyFill="1" applyBorder="1" applyAlignment="1" applyProtection="1">
      <alignment horizontal="center" vertical="center"/>
      <protection locked="0"/>
    </xf>
    <xf numFmtId="0" fontId="16" fillId="0" borderId="66" xfId="0" applyFont="1" applyBorder="1" applyAlignment="1">
      <alignment horizontal="center" vertical="center"/>
    </xf>
    <xf numFmtId="2" fontId="43" fillId="0" borderId="0" xfId="0" applyNumberFormat="1" applyFont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0" fontId="20" fillId="0" borderId="45" xfId="0" applyFont="1" applyBorder="1" applyAlignment="1">
      <alignment horizontal="center" vertical="center" wrapText="1"/>
    </xf>
    <xf numFmtId="0" fontId="37" fillId="0" borderId="40" xfId="0" applyFont="1" applyBorder="1" applyAlignment="1">
      <alignment vertical="center"/>
    </xf>
    <xf numFmtId="43" fontId="38" fillId="22" borderId="45" xfId="1" applyFont="1" applyFill="1" applyBorder="1" applyAlignment="1" applyProtection="1">
      <alignment horizontal="center" vertical="center"/>
      <protection locked="0"/>
    </xf>
    <xf numFmtId="0" fontId="38" fillId="17" borderId="60" xfId="0" applyFont="1" applyFill="1" applyBorder="1" applyAlignment="1">
      <alignment vertical="center"/>
    </xf>
    <xf numFmtId="0" fontId="38" fillId="17" borderId="87" xfId="0" applyFont="1" applyFill="1" applyBorder="1" applyAlignment="1">
      <alignment vertical="center"/>
    </xf>
    <xf numFmtId="43" fontId="38" fillId="17" borderId="25" xfId="1" applyFont="1" applyFill="1" applyBorder="1" applyAlignment="1">
      <alignment horizontal="right" vertical="center"/>
    </xf>
    <xf numFmtId="43" fontId="38" fillId="17" borderId="31" xfId="0" applyNumberFormat="1" applyFont="1" applyFill="1" applyBorder="1" applyAlignment="1">
      <alignment horizontal="right" vertical="center"/>
    </xf>
    <xf numFmtId="0" fontId="37" fillId="0" borderId="88" xfId="0" applyFont="1" applyBorder="1" applyAlignment="1">
      <alignment vertical="center"/>
    </xf>
    <xf numFmtId="0" fontId="37" fillId="0" borderId="9" xfId="0" applyFont="1" applyBorder="1" applyAlignment="1">
      <alignment vertical="center"/>
    </xf>
    <xf numFmtId="43" fontId="38" fillId="6" borderId="89" xfId="1" applyFont="1" applyFill="1" applyBorder="1" applyAlignment="1" applyProtection="1">
      <alignment horizontal="center" vertical="center"/>
      <protection locked="0"/>
    </xf>
    <xf numFmtId="0" fontId="16" fillId="0" borderId="90" xfId="0" applyFont="1" applyBorder="1" applyAlignment="1">
      <alignment horizontal="center" vertical="center"/>
    </xf>
    <xf numFmtId="0" fontId="54" fillId="0" borderId="84" xfId="0" applyFont="1" applyBorder="1" applyAlignment="1">
      <alignment horizontal="center" vertical="center"/>
    </xf>
    <xf numFmtId="0" fontId="54" fillId="0" borderId="10" xfId="0" applyFont="1" applyBorder="1" applyAlignment="1">
      <alignment vertical="center"/>
    </xf>
    <xf numFmtId="0" fontId="54" fillId="0" borderId="0" xfId="0" applyFont="1" applyAlignment="1">
      <alignment vertical="center"/>
    </xf>
    <xf numFmtId="0" fontId="37" fillId="0" borderId="56" xfId="0" applyFont="1" applyBorder="1" applyAlignment="1">
      <alignment vertical="center"/>
    </xf>
    <xf numFmtId="0" fontId="37" fillId="0" borderId="37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37" fillId="0" borderId="57" xfId="0" applyFont="1" applyBorder="1" applyAlignment="1">
      <alignment horizontal="center" vertical="center"/>
    </xf>
    <xf numFmtId="0" fontId="37" fillId="0" borderId="56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 vertical="center"/>
    </xf>
    <xf numFmtId="0" fontId="37" fillId="23" borderId="0" xfId="0" applyFont="1" applyFill="1" applyAlignment="1">
      <alignment vertical="center"/>
    </xf>
    <xf numFmtId="0" fontId="20" fillId="0" borderId="28" xfId="5" applyFont="1" applyBorder="1" applyAlignment="1">
      <alignment horizontal="left" vertical="center"/>
    </xf>
    <xf numFmtId="2" fontId="52" fillId="0" borderId="66" xfId="5" applyNumberFormat="1" applyFont="1" applyBorder="1" applyAlignment="1">
      <alignment horizontal="center" vertical="center"/>
    </xf>
    <xf numFmtId="0" fontId="46" fillId="0" borderId="0" xfId="5" applyFont="1" applyAlignment="1">
      <alignment vertical="center"/>
    </xf>
    <xf numFmtId="0" fontId="37" fillId="17" borderId="63" xfId="0" applyFont="1" applyFill="1" applyBorder="1" applyAlignment="1">
      <alignment horizontal="center" vertical="center" wrapText="1"/>
    </xf>
    <xf numFmtId="20" fontId="37" fillId="0" borderId="49" xfId="0" applyNumberFormat="1" applyFont="1" applyBorder="1" applyAlignment="1">
      <alignment horizontal="center" vertical="center"/>
    </xf>
    <xf numFmtId="166" fontId="16" fillId="0" borderId="2" xfId="0" applyNumberFormat="1" applyFont="1" applyBorder="1" applyAlignment="1" applyProtection="1">
      <alignment horizontal="center" vertical="center"/>
      <protection locked="0"/>
    </xf>
    <xf numFmtId="166" fontId="37" fillId="0" borderId="2" xfId="0" applyNumberFormat="1" applyFont="1" applyBorder="1" applyAlignment="1" applyProtection="1">
      <alignment horizontal="center" vertical="center"/>
      <protection locked="0"/>
    </xf>
    <xf numFmtId="2" fontId="37" fillId="0" borderId="4" xfId="0" applyNumberFormat="1" applyFont="1" applyBorder="1" applyAlignment="1">
      <alignment horizontal="center" vertical="center"/>
    </xf>
    <xf numFmtId="166" fontId="12" fillId="0" borderId="6" xfId="5" applyNumberFormat="1" applyFont="1" applyBorder="1" applyAlignment="1" applyProtection="1">
      <alignment horizontal="center" vertical="center"/>
      <protection locked="0"/>
    </xf>
    <xf numFmtId="166" fontId="12" fillId="0" borderId="25" xfId="5" applyNumberFormat="1" applyFont="1" applyBorder="1" applyAlignment="1">
      <alignment horizontal="center" vertical="center"/>
    </xf>
    <xf numFmtId="0" fontId="37" fillId="20" borderId="6" xfId="0" applyFont="1" applyFill="1" applyBorder="1" applyAlignment="1">
      <alignment horizontal="center" vertical="center"/>
    </xf>
    <xf numFmtId="2" fontId="49" fillId="0" borderId="6" xfId="0" applyNumberFormat="1" applyFont="1" applyBorder="1" applyAlignment="1">
      <alignment horizontal="center" vertical="center"/>
    </xf>
    <xf numFmtId="2" fontId="49" fillId="0" borderId="29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3" fillId="24" borderId="66" xfId="0" applyFont="1" applyFill="1" applyBorder="1" applyAlignment="1">
      <alignment vertical="center" wrapText="1"/>
    </xf>
    <xf numFmtId="2" fontId="46" fillId="24" borderId="6" xfId="5" applyNumberFormat="1" applyFont="1" applyFill="1" applyBorder="1" applyAlignment="1">
      <alignment vertical="center"/>
    </xf>
    <xf numFmtId="2" fontId="46" fillId="24" borderId="0" xfId="5" applyNumberFormat="1" applyFont="1" applyFill="1" applyAlignment="1">
      <alignment vertical="center"/>
    </xf>
    <xf numFmtId="166" fontId="16" fillId="0" borderId="0" xfId="0" applyNumberFormat="1" applyFont="1" applyAlignment="1">
      <alignment horizontal="center" vertical="center"/>
    </xf>
    <xf numFmtId="20" fontId="37" fillId="0" borderId="51" xfId="0" applyNumberFormat="1" applyFont="1" applyBorder="1" applyAlignment="1">
      <alignment horizontal="center" vertical="center"/>
    </xf>
    <xf numFmtId="166" fontId="16" fillId="0" borderId="6" xfId="0" applyNumberFormat="1" applyFont="1" applyBorder="1" applyAlignment="1" applyProtection="1">
      <alignment horizontal="center" vertical="center"/>
      <protection locked="0"/>
    </xf>
    <xf numFmtId="166" fontId="37" fillId="0" borderId="6" xfId="0" applyNumberFormat="1" applyFont="1" applyBorder="1" applyAlignment="1" applyProtection="1">
      <alignment horizontal="center" vertical="center"/>
      <protection locked="0"/>
    </xf>
    <xf numFmtId="2" fontId="37" fillId="0" borderId="40" xfId="0" applyNumberFormat="1" applyFont="1" applyBorder="1" applyAlignment="1">
      <alignment horizontal="center" vertical="center"/>
    </xf>
    <xf numFmtId="0" fontId="37" fillId="13" borderId="6" xfId="0" applyFont="1" applyFill="1" applyBorder="1" applyProtection="1">
      <protection locked="0"/>
    </xf>
    <xf numFmtId="43" fontId="37" fillId="0" borderId="0" xfId="0" applyNumberFormat="1" applyFont="1" applyAlignment="1">
      <alignment vertical="center"/>
    </xf>
    <xf numFmtId="2" fontId="24" fillId="0" borderId="6" xfId="0" applyNumberFormat="1" applyFont="1" applyBorder="1" applyAlignment="1">
      <alignment horizontal="center" vertical="center"/>
    </xf>
    <xf numFmtId="0" fontId="52" fillId="0" borderId="28" xfId="5" quotePrefix="1" applyFont="1" applyBorder="1" applyAlignment="1">
      <alignment horizontal="left" vertical="center"/>
    </xf>
    <xf numFmtId="2" fontId="20" fillId="0" borderId="6" xfId="5" applyNumberFormat="1" applyFont="1" applyBorder="1" applyAlignment="1">
      <alignment horizontal="center" vertical="center"/>
    </xf>
    <xf numFmtId="2" fontId="24" fillId="0" borderId="6" xfId="5" applyNumberFormat="1" applyFont="1" applyBorder="1" applyAlignment="1">
      <alignment horizontal="center" vertical="center"/>
    </xf>
    <xf numFmtId="165" fontId="24" fillId="0" borderId="29" xfId="5" applyNumberFormat="1" applyFont="1" applyBorder="1" applyAlignment="1">
      <alignment horizontal="center" vertical="center"/>
    </xf>
    <xf numFmtId="0" fontId="42" fillId="24" borderId="66" xfId="5" applyFont="1" applyFill="1" applyBorder="1" applyAlignment="1">
      <alignment vertical="center"/>
    </xf>
    <xf numFmtId="0" fontId="37" fillId="0" borderId="35" xfId="0" applyFont="1" applyBorder="1" applyAlignment="1">
      <alignment horizontal="right" vertical="center"/>
    </xf>
    <xf numFmtId="0" fontId="16" fillId="15" borderId="1" xfId="0" applyFont="1" applyFill="1" applyBorder="1" applyAlignment="1">
      <alignment horizontal="center" vertical="center"/>
    </xf>
    <xf numFmtId="0" fontId="20" fillId="15" borderId="11" xfId="0" applyFont="1" applyFill="1" applyBorder="1" applyAlignment="1">
      <alignment horizontal="center" vertical="center" wrapText="1"/>
    </xf>
    <xf numFmtId="0" fontId="20" fillId="15" borderId="0" xfId="0" applyFont="1" applyFill="1" applyAlignment="1">
      <alignment horizontal="center" vertical="center" wrapText="1"/>
    </xf>
    <xf numFmtId="0" fontId="20" fillId="0" borderId="74" xfId="5" applyFont="1" applyBorder="1" applyAlignment="1">
      <alignment horizontal="left" vertical="center"/>
    </xf>
    <xf numFmtId="2" fontId="24" fillId="0" borderId="75" xfId="0" applyNumberFormat="1" applyFont="1" applyBorder="1" applyAlignment="1">
      <alignment horizontal="center" vertical="center"/>
    </xf>
    <xf numFmtId="0" fontId="52" fillId="0" borderId="74" xfId="5" quotePrefix="1" applyFont="1" applyBorder="1" applyAlignment="1">
      <alignment horizontal="left" vertical="center"/>
    </xf>
    <xf numFmtId="2" fontId="20" fillId="0" borderId="75" xfId="5" applyNumberFormat="1" applyFont="1" applyBorder="1" applyAlignment="1">
      <alignment horizontal="center" vertical="center"/>
    </xf>
    <xf numFmtId="2" fontId="24" fillId="0" borderId="75" xfId="5" applyNumberFormat="1" applyFont="1" applyBorder="1" applyAlignment="1">
      <alignment horizontal="center" vertical="center"/>
    </xf>
    <xf numFmtId="165" fontId="24" fillId="0" borderId="76" xfId="5" applyNumberFormat="1" applyFont="1" applyBorder="1" applyAlignment="1">
      <alignment horizontal="center" vertical="center"/>
    </xf>
    <xf numFmtId="165" fontId="24" fillId="0" borderId="0" xfId="5" applyNumberFormat="1" applyFont="1" applyAlignment="1">
      <alignment horizontal="center" vertical="center"/>
    </xf>
    <xf numFmtId="43" fontId="37" fillId="0" borderId="39" xfId="0" applyNumberFormat="1" applyFont="1" applyBorder="1" applyAlignment="1">
      <alignment vertical="center"/>
    </xf>
    <xf numFmtId="2" fontId="16" fillId="6" borderId="49" xfId="0" applyNumberFormat="1" applyFont="1" applyFill="1" applyBorder="1" applyAlignment="1" applyProtection="1">
      <alignment horizontal="left" vertical="center"/>
      <protection locked="0"/>
    </xf>
    <xf numFmtId="43" fontId="38" fillId="22" borderId="2" xfId="1" applyFont="1" applyFill="1" applyBorder="1" applyAlignment="1" applyProtection="1">
      <alignment horizontal="center" vertical="center"/>
      <protection locked="0"/>
    </xf>
    <xf numFmtId="43" fontId="38" fillId="22" borderId="4" xfId="1" applyFont="1" applyFill="1" applyBorder="1" applyAlignment="1" applyProtection="1">
      <alignment horizontal="center" vertical="center"/>
      <protection locked="0"/>
    </xf>
    <xf numFmtId="0" fontId="38" fillId="6" borderId="92" xfId="1" applyNumberFormat="1" applyFont="1" applyFill="1" applyBorder="1" applyAlignment="1" applyProtection="1">
      <alignment horizontal="center" vertical="center"/>
      <protection locked="0"/>
    </xf>
    <xf numFmtId="43" fontId="38" fillId="6" borderId="2" xfId="1" applyFont="1" applyFill="1" applyBorder="1" applyAlignment="1" applyProtection="1">
      <alignment horizontal="center" vertical="center"/>
      <protection locked="0"/>
    </xf>
    <xf numFmtId="43" fontId="38" fillId="6" borderId="0" xfId="1" applyFont="1" applyFill="1" applyBorder="1" applyAlignment="1" applyProtection="1">
      <alignment horizontal="center" vertical="center"/>
      <protection locked="0"/>
    </xf>
    <xf numFmtId="0" fontId="37" fillId="3" borderId="6" xfId="0" applyFont="1" applyFill="1" applyBorder="1" applyProtection="1">
      <protection locked="0"/>
    </xf>
    <xf numFmtId="0" fontId="16" fillId="0" borderId="0" xfId="5" quotePrefix="1" applyFont="1" applyAlignment="1">
      <alignment horizontal="left" vertical="center"/>
    </xf>
    <xf numFmtId="0" fontId="16" fillId="0" borderId="79" xfId="5" applyFont="1" applyBorder="1" applyAlignment="1">
      <alignment vertical="center"/>
    </xf>
    <xf numFmtId="0" fontId="20" fillId="0" borderId="93" xfId="5" quotePrefix="1" applyFont="1" applyBorder="1" applyAlignment="1">
      <alignment horizontal="left" vertical="center"/>
    </xf>
    <xf numFmtId="0" fontId="20" fillId="0" borderId="94" xfId="5" quotePrefix="1" applyFont="1" applyBorder="1" applyAlignment="1">
      <alignment horizontal="center" vertical="center"/>
    </xf>
    <xf numFmtId="2" fontId="52" fillId="25" borderId="0" xfId="0" applyNumberFormat="1" applyFont="1" applyFill="1" applyAlignment="1">
      <alignment horizontal="center" vertical="center"/>
    </xf>
    <xf numFmtId="0" fontId="55" fillId="0" borderId="0" xfId="5" applyFont="1" applyAlignment="1">
      <alignment vertical="center"/>
    </xf>
    <xf numFmtId="0" fontId="56" fillId="0" borderId="0" xfId="5" applyFont="1" applyAlignment="1">
      <alignment vertical="center"/>
    </xf>
    <xf numFmtId="0" fontId="57" fillId="0" borderId="0" xfId="0" applyFont="1" applyAlignment="1">
      <alignment vertical="center"/>
    </xf>
    <xf numFmtId="20" fontId="57" fillId="0" borderId="0" xfId="0" applyNumberFormat="1" applyFont="1" applyAlignment="1">
      <alignment vertical="center"/>
    </xf>
    <xf numFmtId="0" fontId="57" fillId="10" borderId="0" xfId="0" applyFont="1" applyFill="1" applyAlignment="1">
      <alignment vertical="center"/>
    </xf>
    <xf numFmtId="43" fontId="37" fillId="0" borderId="5" xfId="0" applyNumberFormat="1" applyFont="1" applyBorder="1" applyAlignment="1">
      <alignment vertical="center"/>
    </xf>
    <xf numFmtId="2" fontId="16" fillId="6" borderId="51" xfId="0" applyNumberFormat="1" applyFont="1" applyFill="1" applyBorder="1" applyAlignment="1" applyProtection="1">
      <alignment horizontal="left" vertical="center"/>
      <protection locked="0"/>
    </xf>
    <xf numFmtId="43" fontId="12" fillId="22" borderId="6" xfId="1" applyFont="1" applyFill="1" applyBorder="1" applyAlignment="1">
      <alignment horizontal="center" vertical="center"/>
    </xf>
    <xf numFmtId="43" fontId="38" fillId="22" borderId="6" xfId="1" applyFont="1" applyFill="1" applyBorder="1" applyAlignment="1" applyProtection="1">
      <alignment horizontal="center" vertical="center"/>
      <protection locked="0"/>
    </xf>
    <xf numFmtId="43" fontId="38" fillId="22" borderId="40" xfId="1" applyFont="1" applyFill="1" applyBorder="1" applyAlignment="1" applyProtection="1">
      <alignment horizontal="center" vertical="center"/>
      <protection locked="0"/>
    </xf>
    <xf numFmtId="0" fontId="38" fillId="6" borderId="83" xfId="1" applyNumberFormat="1" applyFont="1" applyFill="1" applyBorder="1" applyAlignment="1" applyProtection="1">
      <alignment horizontal="center" vertical="center"/>
      <protection locked="0"/>
    </xf>
    <xf numFmtId="43" fontId="12" fillId="6" borderId="6" xfId="1" applyFont="1" applyFill="1" applyBorder="1" applyAlignment="1">
      <alignment horizontal="center" vertical="center"/>
    </xf>
    <xf numFmtId="43" fontId="38" fillId="6" borderId="6" xfId="1" applyFont="1" applyFill="1" applyBorder="1" applyAlignment="1" applyProtection="1">
      <alignment horizontal="center" vertical="center"/>
      <protection locked="0"/>
    </xf>
    <xf numFmtId="2" fontId="52" fillId="0" borderId="0" xfId="5" applyNumberFormat="1" applyFont="1" applyAlignment="1">
      <alignment vertical="center"/>
    </xf>
    <xf numFmtId="0" fontId="16" fillId="0" borderId="95" xfId="5" applyFont="1" applyBorder="1" applyAlignment="1">
      <alignment vertical="center"/>
    </xf>
    <xf numFmtId="0" fontId="20" fillId="0" borderId="0" xfId="5" applyFont="1" applyAlignment="1">
      <alignment vertical="center"/>
    </xf>
    <xf numFmtId="43" fontId="38" fillId="6" borderId="6" xfId="1" applyFont="1" applyFill="1" applyBorder="1" applyAlignment="1">
      <alignment horizontal="center" vertical="center"/>
    </xf>
    <xf numFmtId="2" fontId="24" fillId="0" borderId="70" xfId="5" applyNumberFormat="1" applyFont="1" applyBorder="1" applyAlignment="1">
      <alignment horizontal="center" vertical="center" wrapText="1"/>
    </xf>
    <xf numFmtId="0" fontId="24" fillId="0" borderId="69" xfId="5" applyFont="1" applyBorder="1" applyAlignment="1">
      <alignment horizontal="center" vertical="center"/>
    </xf>
    <xf numFmtId="0" fontId="20" fillId="0" borderId="70" xfId="5" applyFont="1" applyBorder="1" applyAlignment="1">
      <alignment horizontal="center" vertical="center"/>
    </xf>
    <xf numFmtId="0" fontId="20" fillId="0" borderId="71" xfId="5" applyFont="1" applyBorder="1" applyAlignment="1">
      <alignment horizontal="center" vertical="center"/>
    </xf>
    <xf numFmtId="0" fontId="58" fillId="0" borderId="0" xfId="5" applyFont="1" applyAlignment="1">
      <alignment horizontal="center" vertical="center"/>
    </xf>
    <xf numFmtId="0" fontId="16" fillId="0" borderId="93" xfId="5" applyFont="1" applyBorder="1" applyAlignment="1">
      <alignment horizontal="center" vertical="center"/>
    </xf>
    <xf numFmtId="0" fontId="16" fillId="0" borderId="94" xfId="5" applyFont="1" applyBorder="1" applyAlignment="1">
      <alignment horizontal="center" vertical="center"/>
    </xf>
    <xf numFmtId="13" fontId="24" fillId="0" borderId="70" xfId="5" applyNumberFormat="1" applyFont="1" applyBorder="1" applyAlignment="1">
      <alignment horizontal="center" vertical="center"/>
    </xf>
    <xf numFmtId="13" fontId="24" fillId="0" borderId="71" xfId="5" applyNumberFormat="1" applyFont="1" applyBorder="1" applyAlignment="1">
      <alignment horizontal="center" vertical="center"/>
    </xf>
    <xf numFmtId="13" fontId="24" fillId="0" borderId="0" xfId="5" applyNumberFormat="1" applyFont="1" applyAlignment="1">
      <alignment horizontal="center" vertical="center"/>
    </xf>
    <xf numFmtId="2" fontId="52" fillId="0" borderId="0" xfId="0" applyNumberFormat="1" applyFont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43" fontId="38" fillId="22" borderId="6" xfId="1" applyFont="1" applyFill="1" applyBorder="1" applyAlignment="1">
      <alignment horizontal="center" vertical="center"/>
    </xf>
    <xf numFmtId="166" fontId="16" fillId="6" borderId="51" xfId="0" applyNumberFormat="1" applyFont="1" applyFill="1" applyBorder="1" applyAlignment="1">
      <alignment horizontal="left" vertical="center"/>
    </xf>
    <xf numFmtId="2" fontId="53" fillId="0" borderId="6" xfId="0" applyNumberFormat="1" applyFont="1" applyBorder="1" applyAlignment="1">
      <alignment horizontal="center" vertical="center"/>
    </xf>
    <xf numFmtId="2" fontId="24" fillId="0" borderId="29" xfId="0" applyNumberFormat="1" applyFont="1" applyBorder="1" applyAlignment="1">
      <alignment horizontal="center" vertical="center"/>
    </xf>
    <xf numFmtId="2" fontId="59" fillId="0" borderId="0" xfId="0" applyNumberFormat="1" applyFont="1" applyAlignment="1">
      <alignment horizontal="center" vertical="center"/>
    </xf>
    <xf numFmtId="2" fontId="53" fillId="0" borderId="29" xfId="0" applyNumberFormat="1" applyFont="1" applyBorder="1" applyAlignment="1">
      <alignment horizontal="center" vertical="center"/>
    </xf>
    <xf numFmtId="0" fontId="60" fillId="0" borderId="0" xfId="5" applyFont="1" applyAlignment="1">
      <alignment vertical="center"/>
    </xf>
    <xf numFmtId="0" fontId="61" fillId="0" borderId="0" xfId="5" applyFont="1" applyAlignment="1">
      <alignment vertical="center"/>
    </xf>
    <xf numFmtId="0" fontId="52" fillId="0" borderId="28" xfId="5" applyFont="1" applyBorder="1" applyAlignment="1">
      <alignment vertical="center"/>
    </xf>
    <xf numFmtId="0" fontId="12" fillId="0" borderId="6" xfId="5" applyFont="1" applyBorder="1" applyAlignment="1">
      <alignment vertical="center"/>
    </xf>
    <xf numFmtId="2" fontId="12" fillId="0" borderId="0" xfId="0" applyNumberFormat="1" applyFont="1" applyAlignment="1">
      <alignment horizontal="center" vertical="center"/>
    </xf>
    <xf numFmtId="0" fontId="20" fillId="0" borderId="6" xfId="5" applyFont="1" applyBorder="1" applyAlignment="1">
      <alignment vertical="center"/>
    </xf>
    <xf numFmtId="2" fontId="2" fillId="0" borderId="6" xfId="0" applyNumberFormat="1" applyFont="1" applyBorder="1" applyAlignment="1">
      <alignment horizontal="center" vertical="center"/>
    </xf>
    <xf numFmtId="43" fontId="12" fillId="6" borderId="6" xfId="1" applyFont="1" applyFill="1" applyBorder="1" applyAlignment="1" applyProtection="1">
      <alignment horizontal="center" vertical="center"/>
      <protection locked="0"/>
    </xf>
    <xf numFmtId="0" fontId="16" fillId="6" borderId="51" xfId="0" applyFont="1" applyFill="1" applyBorder="1" applyAlignment="1">
      <alignment horizontal="left" vertical="center" wrapText="1"/>
    </xf>
    <xf numFmtId="2" fontId="49" fillId="0" borderId="0" xfId="0" applyNumberFormat="1" applyFont="1" applyAlignment="1">
      <alignment horizontal="center" vertical="center"/>
    </xf>
    <xf numFmtId="2" fontId="59" fillId="0" borderId="0" xfId="5" applyNumberFormat="1" applyFont="1" applyAlignment="1">
      <alignment horizontal="center" vertical="center"/>
    </xf>
    <xf numFmtId="2" fontId="52" fillId="26" borderId="0" xfId="0" applyNumberFormat="1" applyFont="1" applyFill="1" applyAlignment="1">
      <alignment horizontal="center" vertical="center"/>
    </xf>
    <xf numFmtId="2" fontId="37" fillId="6" borderId="51" xfId="0" applyNumberFormat="1" applyFont="1" applyFill="1" applyBorder="1" applyAlignment="1" applyProtection="1">
      <alignment horizontal="left" vertical="center"/>
      <protection locked="0"/>
    </xf>
    <xf numFmtId="0" fontId="37" fillId="0" borderId="0" xfId="0" applyFont="1" applyAlignment="1">
      <alignment horizontal="center" vertical="center"/>
    </xf>
    <xf numFmtId="2" fontId="62" fillId="0" borderId="0" xfId="5" applyNumberFormat="1" applyFont="1" applyAlignment="1">
      <alignment horizontal="center" vertical="center"/>
    </xf>
    <xf numFmtId="1" fontId="46" fillId="0" borderId="0" xfId="5" applyNumberFormat="1" applyFont="1" applyAlignment="1">
      <alignment horizontal="center" vertical="center"/>
    </xf>
    <xf numFmtId="2" fontId="49" fillId="10" borderId="6" xfId="0" applyNumberFormat="1" applyFont="1" applyFill="1" applyBorder="1" applyAlignment="1">
      <alignment horizontal="center" vertical="center"/>
    </xf>
    <xf numFmtId="43" fontId="12" fillId="6" borderId="6" xfId="1" applyFont="1" applyFill="1" applyBorder="1" applyAlignment="1">
      <alignment horizontal="center" vertical="center" wrapText="1"/>
    </xf>
    <xf numFmtId="166" fontId="46" fillId="0" borderId="0" xfId="5" applyNumberFormat="1" applyFont="1" applyAlignment="1">
      <alignment horizontal="center" vertical="center"/>
    </xf>
    <xf numFmtId="0" fontId="12" fillId="0" borderId="75" xfId="5" applyFont="1" applyBorder="1" applyAlignment="1">
      <alignment vertical="center"/>
    </xf>
    <xf numFmtId="2" fontId="49" fillId="0" borderId="101" xfId="5" applyNumberFormat="1" applyFont="1" applyBorder="1" applyAlignment="1">
      <alignment horizontal="center" vertical="center"/>
    </xf>
    <xf numFmtId="2" fontId="24" fillId="0" borderId="0" xfId="5" applyNumberFormat="1" applyFont="1" applyAlignment="1">
      <alignment horizontal="center" vertical="center"/>
    </xf>
    <xf numFmtId="2" fontId="43" fillId="0" borderId="0" xfId="5" applyNumberFormat="1" applyFont="1" applyAlignment="1">
      <alignment horizontal="center" vertical="center"/>
    </xf>
    <xf numFmtId="2" fontId="50" fillId="0" borderId="0" xfId="5" applyNumberFormat="1" applyFont="1" applyAlignment="1">
      <alignment vertical="center"/>
    </xf>
    <xf numFmtId="2" fontId="52" fillId="0" borderId="0" xfId="5" applyNumberFormat="1" applyFont="1" applyAlignment="1">
      <alignment horizontal="center" vertical="center"/>
    </xf>
    <xf numFmtId="0" fontId="24" fillId="0" borderId="0" xfId="5" applyFont="1" applyAlignment="1">
      <alignment vertical="center"/>
    </xf>
    <xf numFmtId="0" fontId="24" fillId="0" borderId="0" xfId="5" applyFont="1" applyAlignment="1">
      <alignment horizontal="center" vertical="center"/>
    </xf>
    <xf numFmtId="2" fontId="46" fillId="0" borderId="104" xfId="5" applyNumberFormat="1" applyFont="1" applyBorder="1" applyAlignment="1">
      <alignment vertical="center"/>
    </xf>
    <xf numFmtId="2" fontId="37" fillId="0" borderId="0" xfId="5" applyNumberFormat="1" applyFont="1" applyAlignment="1">
      <alignment vertical="center"/>
    </xf>
    <xf numFmtId="43" fontId="37" fillId="0" borderId="48" xfId="0" applyNumberFormat="1" applyFont="1" applyBorder="1" applyAlignment="1">
      <alignment vertical="center"/>
    </xf>
    <xf numFmtId="2" fontId="16" fillId="6" borderId="56" xfId="0" applyNumberFormat="1" applyFont="1" applyFill="1" applyBorder="1" applyAlignment="1" applyProtection="1">
      <alignment horizontal="left" vertical="center"/>
      <protection locked="0"/>
    </xf>
    <xf numFmtId="43" fontId="38" fillId="22" borderId="37" xfId="1" applyFont="1" applyFill="1" applyBorder="1" applyAlignment="1">
      <alignment horizontal="center" vertical="center"/>
    </xf>
    <xf numFmtId="43" fontId="38" fillId="22" borderId="37" xfId="1" applyFont="1" applyFill="1" applyBorder="1" applyAlignment="1" applyProtection="1">
      <alignment horizontal="center" vertical="center"/>
      <protection locked="0"/>
    </xf>
    <xf numFmtId="43" fontId="38" fillId="22" borderId="62" xfId="1" applyFont="1" applyFill="1" applyBorder="1" applyAlignment="1" applyProtection="1">
      <alignment horizontal="center" vertical="center"/>
      <protection locked="0"/>
    </xf>
    <xf numFmtId="0" fontId="0" fillId="0" borderId="37" xfId="0" applyBorder="1" applyAlignment="1">
      <alignment vertical="center"/>
    </xf>
    <xf numFmtId="2" fontId="49" fillId="13" borderId="37" xfId="5" applyNumberFormat="1" applyFont="1" applyFill="1" applyBorder="1" applyAlignment="1">
      <alignment vertical="center"/>
    </xf>
    <xf numFmtId="2" fontId="49" fillId="0" borderId="37" xfId="5" applyNumberFormat="1" applyFont="1" applyBorder="1" applyAlignment="1">
      <alignment vertical="center"/>
    </xf>
    <xf numFmtId="2" fontId="46" fillId="0" borderId="0" xfId="5" applyNumberFormat="1" applyFont="1" applyAlignment="1">
      <alignment vertical="center"/>
    </xf>
    <xf numFmtId="0" fontId="16" fillId="0" borderId="6" xfId="5" applyFont="1" applyBorder="1" applyAlignment="1">
      <alignment vertical="center"/>
    </xf>
    <xf numFmtId="43" fontId="38" fillId="22" borderId="2" xfId="1" applyFont="1" applyFill="1" applyBorder="1" applyAlignment="1">
      <alignment horizontal="center" vertical="center"/>
    </xf>
    <xf numFmtId="0" fontId="16" fillId="6" borderId="51" xfId="0" applyFont="1" applyFill="1" applyBorder="1" applyAlignment="1">
      <alignment horizontal="left" vertical="center"/>
    </xf>
    <xf numFmtId="166" fontId="37" fillId="6" borderId="51" xfId="0" applyNumberFormat="1" applyFont="1" applyFill="1" applyBorder="1" applyAlignment="1">
      <alignment horizontal="left" vertical="center"/>
    </xf>
    <xf numFmtId="0" fontId="16" fillId="0" borderId="69" xfId="5" applyFont="1" applyBorder="1" applyAlignment="1">
      <alignment horizontal="left" vertical="center" wrapText="1"/>
    </xf>
    <xf numFmtId="0" fontId="24" fillId="0" borderId="70" xfId="5" applyFont="1" applyBorder="1" applyAlignment="1">
      <alignment horizontal="center" vertical="center"/>
    </xf>
    <xf numFmtId="2" fontId="49" fillId="0" borderId="1" xfId="5" applyNumberFormat="1" applyFont="1" applyBorder="1" applyAlignment="1">
      <alignment horizontal="center" vertical="center"/>
    </xf>
    <xf numFmtId="2" fontId="49" fillId="0" borderId="2" xfId="5" applyNumberFormat="1" applyFont="1" applyBorder="1" applyAlignment="1">
      <alignment horizontal="center" vertical="center"/>
    </xf>
    <xf numFmtId="2" fontId="42" fillId="13" borderId="2" xfId="5" applyNumberFormat="1" applyFont="1" applyFill="1" applyBorder="1" applyAlignment="1">
      <alignment horizontal="center" vertical="center"/>
    </xf>
    <xf numFmtId="0" fontId="63" fillId="0" borderId="6" xfId="5" applyFont="1" applyBorder="1" applyAlignment="1">
      <alignment vertical="center"/>
    </xf>
    <xf numFmtId="0" fontId="42" fillId="0" borderId="6" xfId="5" applyFont="1" applyBorder="1" applyAlignment="1">
      <alignment horizontal="center" vertical="center"/>
    </xf>
    <xf numFmtId="2" fontId="62" fillId="0" borderId="0" xfId="0" applyNumberFormat="1" applyFont="1" applyAlignment="1">
      <alignment horizontal="center" vertical="center"/>
    </xf>
    <xf numFmtId="2" fontId="49" fillId="0" borderId="105" xfId="5" applyNumberFormat="1" applyFont="1" applyBorder="1" applyAlignment="1">
      <alignment horizontal="center" vertical="center"/>
    </xf>
    <xf numFmtId="2" fontId="49" fillId="0" borderId="25" xfId="5" applyNumberFormat="1" applyFont="1" applyBorder="1" applyAlignment="1">
      <alignment horizontal="center" vertical="center"/>
    </xf>
    <xf numFmtId="2" fontId="42" fillId="13" borderId="25" xfId="5" applyNumberFormat="1" applyFont="1" applyFill="1" applyBorder="1" applyAlignment="1">
      <alignment horizontal="center" vertical="center"/>
    </xf>
    <xf numFmtId="2" fontId="16" fillId="6" borderId="67" xfId="0" applyNumberFormat="1" applyFont="1" applyFill="1" applyBorder="1" applyAlignment="1" applyProtection="1">
      <alignment horizontal="left" vertical="center"/>
      <protection locked="0"/>
    </xf>
    <xf numFmtId="43" fontId="38" fillId="22" borderId="8" xfId="1" applyFont="1" applyFill="1" applyBorder="1" applyAlignment="1">
      <alignment horizontal="center" vertical="center"/>
    </xf>
    <xf numFmtId="43" fontId="38" fillId="22" borderId="8" xfId="1" applyFont="1" applyFill="1" applyBorder="1" applyAlignment="1" applyProtection="1">
      <alignment horizontal="center" vertical="center"/>
      <protection locked="0"/>
    </xf>
    <xf numFmtId="43" fontId="38" fillId="22" borderId="10" xfId="1" applyFont="1" applyFill="1" applyBorder="1" applyAlignment="1" applyProtection="1">
      <alignment horizontal="center" vertical="center"/>
      <protection locked="0"/>
    </xf>
    <xf numFmtId="0" fontId="38" fillId="6" borderId="6" xfId="0" applyFont="1" applyFill="1" applyBorder="1" applyAlignment="1">
      <alignment horizontal="right" vertical="center"/>
    </xf>
    <xf numFmtId="2" fontId="24" fillId="0" borderId="0" xfId="0" applyNumberFormat="1" applyFont="1" applyAlignment="1">
      <alignment horizontal="center" vertical="center"/>
    </xf>
    <xf numFmtId="2" fontId="42" fillId="10" borderId="6" xfId="5" applyNumberFormat="1" applyFont="1" applyFill="1" applyBorder="1" applyAlignment="1">
      <alignment horizontal="center" vertical="center"/>
    </xf>
    <xf numFmtId="2" fontId="16" fillId="6" borderId="60" xfId="0" applyNumberFormat="1" applyFont="1" applyFill="1" applyBorder="1" applyAlignment="1" applyProtection="1">
      <alignment horizontal="left" vertical="center"/>
      <protection locked="0"/>
    </xf>
    <xf numFmtId="43" fontId="38" fillId="22" borderId="25" xfId="1" applyFont="1" applyFill="1" applyBorder="1" applyAlignment="1">
      <alignment horizontal="center" vertical="center"/>
    </xf>
    <xf numFmtId="43" fontId="38" fillId="22" borderId="61" xfId="1" applyFont="1" applyFill="1" applyBorder="1" applyAlignment="1">
      <alignment horizontal="center" vertical="center"/>
    </xf>
    <xf numFmtId="2" fontId="42" fillId="13" borderId="6" xfId="5" applyNumberFormat="1" applyFont="1" applyFill="1" applyBorder="1" applyAlignment="1">
      <alignment horizontal="center" vertical="center"/>
    </xf>
    <xf numFmtId="43" fontId="38" fillId="22" borderId="40" xfId="1" applyFont="1" applyFill="1" applyBorder="1" applyAlignment="1">
      <alignment horizontal="center" vertical="center"/>
    </xf>
    <xf numFmtId="165" fontId="16" fillId="0" borderId="0" xfId="0" applyNumberFormat="1" applyFont="1" applyAlignment="1">
      <alignment horizontal="center" vertical="center"/>
    </xf>
    <xf numFmtId="2" fontId="49" fillId="0" borderId="37" xfId="0" applyNumberFormat="1" applyFont="1" applyBorder="1" applyAlignment="1">
      <alignment horizontal="center" vertical="center"/>
    </xf>
    <xf numFmtId="2" fontId="42" fillId="13" borderId="37" xfId="5" applyNumberFormat="1" applyFont="1" applyFill="1" applyBorder="1" applyAlignment="1">
      <alignment horizontal="center" vertical="center"/>
    </xf>
    <xf numFmtId="2" fontId="52" fillId="0" borderId="37" xfId="5" applyNumberFormat="1" applyFont="1" applyBorder="1" applyAlignment="1">
      <alignment horizontal="center" vertical="center"/>
    </xf>
    <xf numFmtId="2" fontId="49" fillId="0" borderId="5" xfId="5" applyNumberFormat="1" applyFont="1" applyBorder="1" applyAlignment="1">
      <alignment horizontal="center" vertical="center"/>
    </xf>
    <xf numFmtId="2" fontId="49" fillId="0" borderId="63" xfId="0" applyNumberFormat="1" applyFont="1" applyBorder="1" applyAlignment="1">
      <alignment horizontal="center" vertical="center"/>
    </xf>
    <xf numFmtId="2" fontId="42" fillId="13" borderId="31" xfId="5" applyNumberFormat="1" applyFont="1" applyFill="1" applyBorder="1" applyAlignment="1">
      <alignment horizontal="center" vertical="center"/>
    </xf>
    <xf numFmtId="2" fontId="52" fillId="0" borderId="65" xfId="5" applyNumberFormat="1" applyFont="1" applyBorder="1" applyAlignment="1">
      <alignment horizontal="center" vertical="center"/>
    </xf>
    <xf numFmtId="2" fontId="42" fillId="0" borderId="0" xfId="5" applyNumberFormat="1" applyFont="1" applyAlignment="1">
      <alignment vertical="center"/>
    </xf>
    <xf numFmtId="43" fontId="38" fillId="6" borderId="6" xfId="1" applyFont="1" applyFill="1" applyBorder="1" applyAlignment="1">
      <alignment horizontal="center" vertical="center" wrapText="1"/>
    </xf>
    <xf numFmtId="2" fontId="49" fillId="0" borderId="18" xfId="0" applyNumberFormat="1" applyFont="1" applyBorder="1" applyAlignment="1">
      <alignment horizontal="center" vertical="center"/>
    </xf>
    <xf numFmtId="2" fontId="42" fillId="13" borderId="18" xfId="5" applyNumberFormat="1" applyFont="1" applyFill="1" applyBorder="1" applyAlignment="1">
      <alignment horizontal="center" vertical="center"/>
    </xf>
    <xf numFmtId="2" fontId="52" fillId="0" borderId="43" xfId="5" applyNumberFormat="1" applyFont="1" applyBorder="1" applyAlignment="1">
      <alignment horizontal="center" vertical="center"/>
    </xf>
    <xf numFmtId="0" fontId="42" fillId="0" borderId="6" xfId="5" applyFont="1" applyBorder="1" applyAlignment="1">
      <alignment vertical="center"/>
    </xf>
    <xf numFmtId="2" fontId="16" fillId="0" borderId="0" xfId="5" applyNumberFormat="1" applyFont="1" applyAlignment="1">
      <alignment horizontal="center" vertical="center"/>
    </xf>
    <xf numFmtId="2" fontId="49" fillId="0" borderId="48" xfId="5" applyNumberFormat="1" applyFont="1" applyBorder="1" applyAlignment="1">
      <alignment horizontal="center" vertical="center"/>
    </xf>
    <xf numFmtId="43" fontId="38" fillId="22" borderId="10" xfId="1" applyFont="1" applyFill="1" applyBorder="1" applyAlignment="1">
      <alignment horizontal="center" vertical="center"/>
    </xf>
    <xf numFmtId="2" fontId="41" fillId="0" borderId="0" xfId="5" applyNumberFormat="1" applyFont="1" applyAlignment="1">
      <alignment vertical="center"/>
    </xf>
    <xf numFmtId="0" fontId="12" fillId="0" borderId="0" xfId="5" applyFont="1" applyAlignment="1">
      <alignment vertical="center" wrapText="1"/>
    </xf>
    <xf numFmtId="2" fontId="42" fillId="0" borderId="61" xfId="5" applyNumberFormat="1" applyFont="1" applyBorder="1" applyAlignment="1">
      <alignment horizontal="center" vertical="center"/>
    </xf>
    <xf numFmtId="2" fontId="12" fillId="0" borderId="0" xfId="5" applyNumberFormat="1" applyFont="1" applyAlignment="1">
      <alignment horizontal="left" vertical="center"/>
    </xf>
    <xf numFmtId="43" fontId="37" fillId="0" borderId="106" xfId="0" applyNumberFormat="1" applyFont="1" applyBorder="1" applyAlignment="1">
      <alignment vertical="center"/>
    </xf>
    <xf numFmtId="43" fontId="12" fillId="27" borderId="2" xfId="1" applyFont="1" applyFill="1" applyBorder="1" applyAlignment="1">
      <alignment horizontal="center" vertical="center"/>
    </xf>
    <xf numFmtId="165" fontId="16" fillId="0" borderId="0" xfId="0" applyNumberFormat="1" applyFont="1" applyAlignment="1">
      <alignment vertical="center"/>
    </xf>
    <xf numFmtId="46" fontId="37" fillId="0" borderId="56" xfId="0" quotePrefix="1" applyNumberFormat="1" applyFont="1" applyBorder="1" applyAlignment="1">
      <alignment horizontal="center" vertical="center"/>
    </xf>
    <xf numFmtId="166" fontId="37" fillId="0" borderId="37" xfId="0" applyNumberFormat="1" applyFont="1" applyBorder="1" applyAlignment="1" applyProtection="1">
      <alignment horizontal="center" vertical="center"/>
      <protection locked="0"/>
    </xf>
    <xf numFmtId="2" fontId="37" fillId="0" borderId="62" xfId="0" applyNumberFormat="1" applyFont="1" applyBorder="1" applyAlignment="1">
      <alignment horizontal="center" vertical="center"/>
    </xf>
    <xf numFmtId="2" fontId="24" fillId="0" borderId="71" xfId="5" applyNumberFormat="1" applyFont="1" applyBorder="1" applyAlignment="1">
      <alignment horizontal="center" vertical="center"/>
    </xf>
    <xf numFmtId="0" fontId="16" fillId="0" borderId="102" xfId="5" applyFont="1" applyBorder="1" applyAlignment="1">
      <alignment horizontal="center" vertical="center"/>
    </xf>
    <xf numFmtId="20" fontId="42" fillId="0" borderId="0" xfId="5" applyNumberFormat="1" applyFont="1" applyAlignment="1">
      <alignment vertical="center"/>
    </xf>
    <xf numFmtId="0" fontId="42" fillId="13" borderId="0" xfId="5" applyFont="1" applyFill="1" applyAlignment="1">
      <alignment horizontal="right" vertical="center"/>
    </xf>
    <xf numFmtId="2" fontId="49" fillId="13" borderId="0" xfId="5" applyNumberFormat="1" applyFont="1" applyFill="1" applyAlignment="1">
      <alignment vertical="center"/>
    </xf>
    <xf numFmtId="0" fontId="38" fillId="0" borderId="48" xfId="0" applyFont="1" applyBorder="1" applyAlignment="1">
      <alignment vertical="center"/>
    </xf>
    <xf numFmtId="43" fontId="12" fillId="27" borderId="37" xfId="1" applyFont="1" applyFill="1" applyBorder="1" applyAlignment="1">
      <alignment horizontal="center" vertical="center" wrapText="1"/>
    </xf>
    <xf numFmtId="166" fontId="37" fillId="0" borderId="2" xfId="0" applyNumberFormat="1" applyFont="1" applyBorder="1" applyAlignment="1">
      <alignment vertical="center"/>
    </xf>
    <xf numFmtId="166" fontId="37" fillId="0" borderId="55" xfId="0" applyNumberFormat="1" applyFont="1" applyBorder="1" applyAlignment="1">
      <alignment vertical="center"/>
    </xf>
    <xf numFmtId="166" fontId="37" fillId="0" borderId="49" xfId="0" applyNumberFormat="1" applyFont="1" applyBorder="1" applyAlignment="1">
      <alignment vertical="center"/>
    </xf>
    <xf numFmtId="166" fontId="37" fillId="0" borderId="4" xfId="0" applyNumberFormat="1" applyFont="1" applyBorder="1" applyAlignment="1">
      <alignment vertical="center"/>
    </xf>
    <xf numFmtId="2" fontId="59" fillId="0" borderId="102" xfId="0" applyNumberFormat="1" applyFont="1" applyBorder="1" applyAlignment="1">
      <alignment horizontal="center" vertical="center"/>
    </xf>
    <xf numFmtId="2" fontId="42" fillId="0" borderId="40" xfId="5" applyNumberFormat="1" applyFont="1" applyBorder="1" applyAlignment="1">
      <alignment horizontal="center" vertical="center"/>
    </xf>
    <xf numFmtId="0" fontId="38" fillId="0" borderId="107" xfId="0" applyFont="1" applyBorder="1" applyAlignment="1">
      <alignment vertical="center"/>
    </xf>
    <xf numFmtId="43" fontId="12" fillId="17" borderId="2" xfId="1" applyFont="1" applyFill="1" applyBorder="1" applyAlignment="1" applyProtection="1">
      <alignment horizontal="center" vertical="center"/>
      <protection locked="0"/>
    </xf>
    <xf numFmtId="0" fontId="38" fillId="6" borderId="6" xfId="0" applyFont="1" applyFill="1" applyBorder="1" applyAlignment="1">
      <alignment vertical="center"/>
    </xf>
    <xf numFmtId="166" fontId="37" fillId="0" borderId="6" xfId="0" applyNumberFormat="1" applyFont="1" applyBorder="1" applyAlignment="1">
      <alignment vertical="center"/>
    </xf>
    <xf numFmtId="166" fontId="37" fillId="0" borderId="45" xfId="0" applyNumberFormat="1" applyFont="1" applyBorder="1" applyAlignment="1">
      <alignment vertical="center"/>
    </xf>
    <xf numFmtId="166" fontId="37" fillId="0" borderId="51" xfId="0" applyNumberFormat="1" applyFont="1" applyBorder="1" applyAlignment="1">
      <alignment vertical="center"/>
    </xf>
    <xf numFmtId="166" fontId="37" fillId="0" borderId="40" xfId="0" applyNumberFormat="1" applyFont="1" applyBorder="1" applyAlignment="1">
      <alignment vertical="center"/>
    </xf>
    <xf numFmtId="0" fontId="64" fillId="0" borderId="0" xfId="5" applyFont="1" applyAlignment="1">
      <alignment vertical="center"/>
    </xf>
    <xf numFmtId="0" fontId="38" fillId="0" borderId="53" xfId="0" applyFont="1" applyBorder="1" applyAlignment="1">
      <alignment vertical="center"/>
    </xf>
    <xf numFmtId="43" fontId="38" fillId="17" borderId="6" xfId="1" applyFont="1" applyFill="1" applyBorder="1" applyAlignment="1" applyProtection="1">
      <alignment horizontal="center" vertical="center"/>
      <protection locked="0"/>
    </xf>
    <xf numFmtId="166" fontId="37" fillId="0" borderId="8" xfId="0" applyNumberFormat="1" applyFont="1" applyBorder="1" applyAlignment="1">
      <alignment vertical="center"/>
    </xf>
    <xf numFmtId="166" fontId="37" fillId="0" borderId="84" xfId="0" applyNumberFormat="1" applyFont="1" applyBorder="1" applyAlignment="1">
      <alignment vertical="center"/>
    </xf>
    <xf numFmtId="166" fontId="37" fillId="0" borderId="67" xfId="0" applyNumberFormat="1" applyFont="1" applyBorder="1" applyAlignment="1">
      <alignment vertical="center"/>
    </xf>
    <xf numFmtId="166" fontId="37" fillId="0" borderId="10" xfId="0" applyNumberFormat="1" applyFont="1" applyBorder="1" applyAlignment="1">
      <alignment vertical="center"/>
    </xf>
    <xf numFmtId="2" fontId="52" fillId="13" borderId="37" xfId="5" applyNumberFormat="1" applyFont="1" applyFill="1" applyBorder="1" applyAlignment="1">
      <alignment horizontal="center" vertical="center"/>
    </xf>
    <xf numFmtId="2" fontId="52" fillId="0" borderId="62" xfId="5" applyNumberFormat="1" applyFont="1" applyBorder="1" applyAlignment="1">
      <alignment horizontal="center" vertical="center"/>
    </xf>
    <xf numFmtId="43" fontId="38" fillId="17" borderId="6" xfId="1" applyFont="1" applyFill="1" applyBorder="1" applyAlignment="1">
      <alignment horizontal="center" vertical="center"/>
    </xf>
    <xf numFmtId="2" fontId="52" fillId="13" borderId="31" xfId="5" applyNumberFormat="1" applyFont="1" applyFill="1" applyBorder="1" applyAlignment="1">
      <alignment horizontal="center" vertical="center"/>
    </xf>
    <xf numFmtId="2" fontId="52" fillId="13" borderId="65" xfId="5" applyNumberFormat="1" applyFont="1" applyFill="1" applyBorder="1" applyAlignment="1">
      <alignment horizontal="center" vertical="center"/>
    </xf>
    <xf numFmtId="0" fontId="12" fillId="0" borderId="0" xfId="5" applyFont="1" applyAlignment="1">
      <alignment horizontal="left" vertical="center"/>
    </xf>
    <xf numFmtId="43" fontId="12" fillId="17" borderId="6" xfId="1" applyFont="1" applyFill="1" applyBorder="1" applyAlignment="1">
      <alignment horizontal="center" vertical="center"/>
    </xf>
    <xf numFmtId="166" fontId="0" fillId="0" borderId="0" xfId="0" applyNumberFormat="1" applyAlignment="1">
      <alignment vertical="center"/>
    </xf>
    <xf numFmtId="1" fontId="52" fillId="0" borderId="0" xfId="5" applyNumberFormat="1" applyFont="1" applyAlignment="1">
      <alignment horizontal="center" vertical="center"/>
    </xf>
    <xf numFmtId="0" fontId="52" fillId="0" borderId="0" xfId="5" applyFont="1" applyAlignment="1">
      <alignment horizontal="centerContinuous" vertical="center"/>
    </xf>
    <xf numFmtId="2" fontId="20" fillId="0" borderId="0" xfId="5" applyNumberFormat="1" applyFont="1" applyAlignment="1">
      <alignment horizontal="center" vertical="center"/>
    </xf>
    <xf numFmtId="2" fontId="24" fillId="0" borderId="76" xfId="0" applyNumberFormat="1" applyFont="1" applyBorder="1" applyAlignment="1">
      <alignment horizontal="center" vertical="center"/>
    </xf>
    <xf numFmtId="43" fontId="12" fillId="17" borderId="6" xfId="1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2" fontId="24" fillId="0" borderId="0" xfId="0" applyNumberFormat="1" applyFont="1" applyAlignment="1">
      <alignment vertical="center"/>
    </xf>
    <xf numFmtId="2" fontId="52" fillId="13" borderId="25" xfId="5" applyNumberFormat="1" applyFont="1" applyFill="1" applyBorder="1" applyAlignment="1">
      <alignment horizontal="center" vertical="center"/>
    </xf>
    <xf numFmtId="2" fontId="52" fillId="0" borderId="25" xfId="5" applyNumberFormat="1" applyFont="1" applyBorder="1" applyAlignment="1">
      <alignment horizontal="center" vertical="center"/>
    </xf>
    <xf numFmtId="0" fontId="38" fillId="0" borderId="0" xfId="5" applyFont="1" applyAlignment="1">
      <alignment horizontal="left" vertical="center"/>
    </xf>
    <xf numFmtId="166" fontId="12" fillId="0" borderId="108" xfId="0" applyNumberFormat="1" applyFont="1" applyBorder="1" applyAlignment="1" applyProtection="1">
      <alignment horizontal="center" vertical="center"/>
      <protection locked="0"/>
    </xf>
    <xf numFmtId="2" fontId="24" fillId="13" borderId="6" xfId="5" applyNumberFormat="1" applyFont="1" applyFill="1" applyBorder="1" applyAlignment="1">
      <alignment horizontal="center" vertical="center"/>
    </xf>
    <xf numFmtId="0" fontId="37" fillId="0" borderId="0" xfId="0" applyFont="1" applyAlignment="1" applyProtection="1">
      <alignment vertical="center"/>
      <protection locked="0"/>
    </xf>
    <xf numFmtId="43" fontId="12" fillId="17" borderId="6" xfId="1" applyFont="1" applyFill="1" applyBorder="1" applyAlignment="1" applyProtection="1">
      <alignment horizontal="center" vertical="center"/>
      <protection locked="0"/>
    </xf>
    <xf numFmtId="43" fontId="38" fillId="6" borderId="6" xfId="1" applyFont="1" applyFill="1" applyBorder="1" applyAlignment="1">
      <alignment vertical="center" wrapText="1"/>
    </xf>
    <xf numFmtId="2" fontId="16" fillId="6" borderId="106" xfId="0" applyNumberFormat="1" applyFont="1" applyFill="1" applyBorder="1" applyAlignment="1" applyProtection="1">
      <alignment horizontal="left" vertical="center"/>
      <protection locked="0"/>
    </xf>
    <xf numFmtId="43" fontId="38" fillId="6" borderId="49" xfId="1" applyFont="1" applyFill="1" applyBorder="1" applyAlignment="1" applyProtection="1">
      <alignment horizontal="center" vertical="center"/>
      <protection locked="0"/>
    </xf>
    <xf numFmtId="2" fontId="59" fillId="0" borderId="0" xfId="5" applyNumberFormat="1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166" fontId="12" fillId="6" borderId="6" xfId="0" applyNumberFormat="1" applyFont="1" applyFill="1" applyBorder="1" applyAlignment="1" applyProtection="1">
      <alignment horizontal="center" vertical="center"/>
      <protection locked="0"/>
    </xf>
    <xf numFmtId="2" fontId="16" fillId="6" borderId="53" xfId="0" applyNumberFormat="1" applyFont="1" applyFill="1" applyBorder="1" applyAlignment="1" applyProtection="1">
      <alignment horizontal="left" vertical="center"/>
      <protection locked="0"/>
    </xf>
    <xf numFmtId="43" fontId="12" fillId="6" borderId="51" xfId="1" applyFont="1" applyFill="1" applyBorder="1" applyAlignment="1">
      <alignment horizontal="center" vertical="center"/>
    </xf>
    <xf numFmtId="2" fontId="65" fillId="0" borderId="0" xfId="5" applyNumberFormat="1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38" fillId="0" borderId="109" xfId="0" applyFont="1" applyBorder="1" applyAlignment="1">
      <alignment vertical="center"/>
    </xf>
    <xf numFmtId="43" fontId="12" fillId="17" borderId="37" xfId="1" applyFont="1" applyFill="1" applyBorder="1" applyAlignment="1" applyProtection="1">
      <alignment horizontal="center" vertical="center" wrapText="1"/>
      <protection locked="0"/>
    </xf>
    <xf numFmtId="2" fontId="16" fillId="6" borderId="109" xfId="0" applyNumberFormat="1" applyFont="1" applyFill="1" applyBorder="1" applyAlignment="1" applyProtection="1">
      <alignment horizontal="left" vertical="center"/>
      <protection locked="0"/>
    </xf>
    <xf numFmtId="43" fontId="12" fillId="6" borderId="56" xfId="1" applyFont="1" applyFill="1" applyBorder="1" applyAlignment="1">
      <alignment horizontal="center" vertical="center"/>
    </xf>
    <xf numFmtId="43" fontId="38" fillId="6" borderId="37" xfId="1" applyFont="1" applyFill="1" applyBorder="1" applyAlignment="1" applyProtection="1">
      <alignment horizontal="center" vertical="center"/>
      <protection locked="0"/>
    </xf>
    <xf numFmtId="43" fontId="38" fillId="6" borderId="62" xfId="1" applyFont="1" applyFill="1" applyBorder="1" applyAlignment="1" applyProtection="1">
      <alignment horizontal="center" vertical="center"/>
      <protection locked="0"/>
    </xf>
    <xf numFmtId="2" fontId="24" fillId="0" borderId="29" xfId="7" applyNumberFormat="1" applyFont="1" applyBorder="1" applyAlignment="1">
      <alignment horizontal="center" vertical="center"/>
    </xf>
    <xf numFmtId="0" fontId="49" fillId="0" borderId="0" xfId="0" applyFont="1" applyAlignment="1">
      <alignment horizontal="left" vertical="center"/>
    </xf>
    <xf numFmtId="0" fontId="38" fillId="0" borderId="110" xfId="0" applyFont="1" applyBorder="1" applyAlignment="1">
      <alignment vertical="center"/>
    </xf>
    <xf numFmtId="2" fontId="16" fillId="6" borderId="63" xfId="0" applyNumberFormat="1" applyFont="1" applyFill="1" applyBorder="1" applyAlignment="1" applyProtection="1">
      <alignment horizontal="left" vertical="center"/>
      <protection locked="0"/>
    </xf>
    <xf numFmtId="43" fontId="12" fillId="28" borderId="31" xfId="1" applyFont="1" applyFill="1" applyBorder="1" applyAlignment="1" applyProtection="1">
      <alignment horizontal="center" vertical="center"/>
      <protection locked="0"/>
    </xf>
    <xf numFmtId="43" fontId="38" fillId="22" borderId="31" xfId="1" applyFont="1" applyFill="1" applyBorder="1" applyAlignment="1" applyProtection="1">
      <alignment horizontal="center" vertical="center"/>
      <protection locked="0"/>
    </xf>
    <xf numFmtId="43" fontId="38" fillId="22" borderId="65" xfId="1" applyFont="1" applyFill="1" applyBorder="1" applyAlignment="1" applyProtection="1">
      <alignment horizontal="center" vertical="center"/>
      <protection locked="0"/>
    </xf>
    <xf numFmtId="2" fontId="16" fillId="6" borderId="110" xfId="0" applyNumberFormat="1" applyFont="1" applyFill="1" applyBorder="1" applyAlignment="1" applyProtection="1">
      <alignment horizontal="left" vertical="center"/>
      <protection locked="0"/>
    </xf>
    <xf numFmtId="43" fontId="38" fillId="6" borderId="63" xfId="1" applyFont="1" applyFill="1" applyBorder="1" applyAlignment="1">
      <alignment horizontal="center" vertical="center"/>
    </xf>
    <xf numFmtId="43" fontId="38" fillId="6" borderId="31" xfId="1" applyFont="1" applyFill="1" applyBorder="1" applyAlignment="1">
      <alignment horizontal="center" vertical="center"/>
    </xf>
    <xf numFmtId="43" fontId="38" fillId="6" borderId="65" xfId="1" applyFont="1" applyFill="1" applyBorder="1" applyAlignment="1">
      <alignment horizontal="center" vertical="center"/>
    </xf>
    <xf numFmtId="2" fontId="35" fillId="0" borderId="0" xfId="5" applyNumberFormat="1" applyAlignment="1">
      <alignment vertical="center"/>
    </xf>
    <xf numFmtId="0" fontId="24" fillId="0" borderId="0" xfId="5" applyFont="1" applyAlignment="1">
      <alignment vertical="center" wrapText="1"/>
    </xf>
    <xf numFmtId="0" fontId="38" fillId="0" borderId="0" xfId="5" applyFont="1" applyAlignment="1">
      <alignment vertical="center"/>
    </xf>
    <xf numFmtId="0" fontId="38" fillId="0" borderId="106" xfId="0" applyFont="1" applyBorder="1" applyAlignment="1">
      <alignment vertical="center"/>
    </xf>
    <xf numFmtId="43" fontId="12" fillId="28" borderId="2" xfId="1" applyFont="1" applyFill="1" applyBorder="1" applyAlignment="1" applyProtection="1">
      <alignment horizontal="center" vertical="center"/>
      <protection locked="0"/>
    </xf>
    <xf numFmtId="0" fontId="12" fillId="6" borderId="6" xfId="0" applyFont="1" applyFill="1" applyBorder="1" applyAlignment="1">
      <alignment horizontal="center" vertical="center"/>
    </xf>
    <xf numFmtId="43" fontId="12" fillId="28" borderId="6" xfId="1" applyFont="1" applyFill="1" applyBorder="1" applyAlignment="1" applyProtection="1">
      <alignment horizontal="center" vertical="center"/>
      <protection locked="0"/>
    </xf>
    <xf numFmtId="43" fontId="37" fillId="0" borderId="0" xfId="0" applyNumberFormat="1" applyFont="1" applyAlignment="1">
      <alignment horizontal="center" vertical="center"/>
    </xf>
    <xf numFmtId="166" fontId="37" fillId="0" borderId="0" xfId="0" applyNumberFormat="1" applyFont="1" applyAlignment="1">
      <alignment vertical="center"/>
    </xf>
    <xf numFmtId="20" fontId="37" fillId="0" borderId="0" xfId="0" applyNumberFormat="1" applyFont="1" applyAlignment="1">
      <alignment vertical="center"/>
    </xf>
    <xf numFmtId="0" fontId="38" fillId="0" borderId="111" xfId="0" applyFont="1" applyBorder="1" applyAlignment="1">
      <alignment vertical="center"/>
    </xf>
    <xf numFmtId="43" fontId="12" fillId="28" borderId="37" xfId="1" applyFont="1" applyFill="1" applyBorder="1" applyAlignment="1" applyProtection="1">
      <alignment horizontal="center" vertical="center"/>
      <protection locked="0"/>
    </xf>
    <xf numFmtId="0" fontId="37" fillId="0" borderId="63" xfId="0" applyFont="1" applyBorder="1" applyAlignment="1">
      <alignment vertical="center"/>
    </xf>
    <xf numFmtId="166" fontId="16" fillId="0" borderId="31" xfId="0" applyNumberFormat="1" applyFont="1" applyBorder="1" applyAlignment="1">
      <alignment horizontal="center" vertical="center"/>
    </xf>
    <xf numFmtId="166" fontId="16" fillId="0" borderId="65" xfId="0" applyNumberFormat="1" applyFont="1" applyBorder="1" applyAlignment="1">
      <alignment horizontal="center" vertical="center"/>
    </xf>
    <xf numFmtId="166" fontId="12" fillId="6" borderId="6" xfId="0" applyNumberFormat="1" applyFont="1" applyFill="1" applyBorder="1" applyAlignment="1" applyProtection="1">
      <alignment horizontal="right" vertical="center"/>
      <protection locked="0"/>
    </xf>
    <xf numFmtId="0" fontId="37" fillId="29" borderId="39" xfId="0" applyFont="1" applyFill="1" applyBorder="1" applyAlignment="1">
      <alignment vertical="center"/>
    </xf>
    <xf numFmtId="0" fontId="37" fillId="29" borderId="11" xfId="0" applyFont="1" applyFill="1" applyBorder="1" applyAlignment="1">
      <alignment vertical="center"/>
    </xf>
    <xf numFmtId="0" fontId="37" fillId="29" borderId="63" xfId="0" applyFont="1" applyFill="1" applyBorder="1" applyAlignment="1">
      <alignment vertical="center"/>
    </xf>
    <xf numFmtId="0" fontId="37" fillId="29" borderId="31" xfId="0" applyFont="1" applyFill="1" applyBorder="1" applyAlignment="1">
      <alignment vertical="center"/>
    </xf>
    <xf numFmtId="0" fontId="37" fillId="29" borderId="64" xfId="0" applyFont="1" applyFill="1" applyBorder="1" applyAlignment="1">
      <alignment vertical="center"/>
    </xf>
    <xf numFmtId="0" fontId="37" fillId="29" borderId="49" xfId="0" applyFont="1" applyFill="1" applyBorder="1" applyAlignment="1">
      <alignment vertical="center"/>
    </xf>
    <xf numFmtId="0" fontId="37" fillId="29" borderId="2" xfId="0" applyFont="1" applyFill="1" applyBorder="1" applyAlignment="1">
      <alignment vertical="center"/>
    </xf>
    <xf numFmtId="43" fontId="37" fillId="29" borderId="55" xfId="1" applyFont="1" applyFill="1" applyBorder="1" applyAlignment="1">
      <alignment vertical="center"/>
    </xf>
    <xf numFmtId="0" fontId="37" fillId="29" borderId="51" xfId="0" applyFont="1" applyFill="1" applyBorder="1" applyAlignment="1">
      <alignment vertical="center"/>
    </xf>
    <xf numFmtId="0" fontId="37" fillId="29" borderId="6" xfId="0" applyFont="1" applyFill="1" applyBorder="1" applyAlignment="1">
      <alignment vertical="center"/>
    </xf>
    <xf numFmtId="43" fontId="37" fillId="29" borderId="45" xfId="1" applyFont="1" applyFill="1" applyBorder="1" applyAlignment="1">
      <alignment vertical="center"/>
    </xf>
    <xf numFmtId="0" fontId="37" fillId="0" borderId="113" xfId="0" applyFont="1" applyBorder="1" applyAlignment="1">
      <alignment vertical="center"/>
    </xf>
    <xf numFmtId="0" fontId="37" fillId="29" borderId="112" xfId="0" applyFont="1" applyFill="1" applyBorder="1" applyAlignment="1">
      <alignment vertical="center"/>
    </xf>
    <xf numFmtId="0" fontId="37" fillId="29" borderId="67" xfId="0" applyFont="1" applyFill="1" applyBorder="1" applyAlignment="1">
      <alignment vertical="center"/>
    </xf>
    <xf numFmtId="0" fontId="37" fillId="29" borderId="8" xfId="0" applyFont="1" applyFill="1" applyBorder="1" applyAlignment="1">
      <alignment vertical="center"/>
    </xf>
    <xf numFmtId="43" fontId="37" fillId="29" borderId="84" xfId="1" applyFont="1" applyFill="1" applyBorder="1" applyAlignment="1">
      <alignment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16" fillId="0" borderId="105" xfId="0" applyFont="1" applyBorder="1" applyAlignment="1">
      <alignment vertical="center"/>
    </xf>
    <xf numFmtId="0" fontId="16" fillId="0" borderId="6" xfId="0" applyFont="1" applyBorder="1" applyAlignment="1">
      <alignment horizontal="center" vertical="center"/>
    </xf>
    <xf numFmtId="0" fontId="67" fillId="0" borderId="0" xfId="0" applyFont="1" applyAlignment="1">
      <alignment vertical="center"/>
    </xf>
    <xf numFmtId="0" fontId="16" fillId="6" borderId="51" xfId="0" applyFont="1" applyFill="1" applyBorder="1" applyAlignment="1">
      <alignment vertical="center"/>
    </xf>
    <xf numFmtId="0" fontId="37" fillId="0" borderId="11" xfId="0" applyFont="1" applyBorder="1" applyAlignment="1">
      <alignment vertical="center"/>
    </xf>
    <xf numFmtId="0" fontId="37" fillId="0" borderId="45" xfId="0" applyFont="1" applyBorder="1" applyAlignment="1">
      <alignment vertical="center"/>
    </xf>
    <xf numFmtId="0" fontId="37" fillId="20" borderId="48" xfId="0" applyFont="1" applyFill="1" applyBorder="1" applyAlignment="1">
      <alignment vertical="center"/>
    </xf>
    <xf numFmtId="0" fontId="37" fillId="0" borderId="8" xfId="0" applyFont="1" applyBorder="1" applyAlignment="1">
      <alignment vertical="center"/>
    </xf>
    <xf numFmtId="0" fontId="37" fillId="0" borderId="84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6" fillId="0" borderId="3" xfId="0" applyFont="1" applyBorder="1" applyAlignment="1">
      <alignment horizontal="center" vertical="center"/>
    </xf>
    <xf numFmtId="0" fontId="16" fillId="0" borderId="72" xfId="0" applyFont="1" applyBorder="1" applyAlignment="1">
      <alignment horizontal="center" vertical="center"/>
    </xf>
    <xf numFmtId="0" fontId="16" fillId="0" borderId="106" xfId="0" applyFont="1" applyBorder="1" applyAlignment="1">
      <alignment vertical="center"/>
    </xf>
    <xf numFmtId="43" fontId="38" fillId="22" borderId="49" xfId="1" applyFont="1" applyFill="1" applyBorder="1" applyAlignment="1" applyProtection="1">
      <alignment horizontal="center" vertical="center"/>
      <protection locked="0"/>
    </xf>
    <xf numFmtId="0" fontId="16" fillId="0" borderId="53" xfId="0" applyFont="1" applyBorder="1" applyAlignment="1">
      <alignment vertical="center"/>
    </xf>
    <xf numFmtId="43" fontId="38" fillId="22" borderId="51" xfId="1" applyFont="1" applyFill="1" applyBorder="1" applyAlignment="1" applyProtection="1">
      <alignment horizontal="center" vertical="center"/>
      <protection locked="0"/>
    </xf>
    <xf numFmtId="43" fontId="37" fillId="6" borderId="0" xfId="0" applyNumberFormat="1" applyFont="1" applyFill="1" applyAlignment="1">
      <alignment vertical="center"/>
    </xf>
    <xf numFmtId="0" fontId="16" fillId="0" borderId="111" xfId="0" applyFont="1" applyBorder="1" applyAlignment="1">
      <alignment vertical="center"/>
    </xf>
    <xf numFmtId="43" fontId="38" fillId="22" borderId="67" xfId="1" applyFont="1" applyFill="1" applyBorder="1" applyAlignment="1" applyProtection="1">
      <alignment horizontal="center" vertical="center"/>
      <protection locked="0"/>
    </xf>
    <xf numFmtId="0" fontId="38" fillId="6" borderId="33" xfId="1" applyNumberFormat="1" applyFont="1" applyFill="1" applyBorder="1" applyAlignment="1" applyProtection="1">
      <alignment horizontal="center" vertical="center"/>
      <protection locked="0"/>
    </xf>
    <xf numFmtId="0" fontId="37" fillId="0" borderId="37" xfId="0" applyFont="1" applyBorder="1" applyAlignment="1">
      <alignment vertical="center"/>
    </xf>
    <xf numFmtId="43" fontId="38" fillId="6" borderId="45" xfId="1" applyFont="1" applyFill="1" applyBorder="1" applyAlignment="1" applyProtection="1">
      <alignment horizontal="center" vertical="center"/>
      <protection locked="0"/>
    </xf>
    <xf numFmtId="0" fontId="38" fillId="6" borderId="114" xfId="1" applyNumberFormat="1" applyFont="1" applyFill="1" applyBorder="1" applyAlignment="1" applyProtection="1">
      <alignment horizontal="center" vertical="center"/>
      <protection locked="0"/>
    </xf>
    <xf numFmtId="0" fontId="37" fillId="6" borderId="66" xfId="0" applyFont="1" applyFill="1" applyBorder="1" applyAlignment="1">
      <alignment vertical="center"/>
    </xf>
    <xf numFmtId="0" fontId="37" fillId="6" borderId="6" xfId="0" applyFont="1" applyFill="1" applyBorder="1" applyAlignment="1">
      <alignment vertical="center"/>
    </xf>
    <xf numFmtId="43" fontId="37" fillId="6" borderId="6" xfId="0" applyNumberFormat="1" applyFont="1" applyFill="1" applyBorder="1" applyAlignment="1">
      <alignment vertical="center"/>
    </xf>
    <xf numFmtId="43" fontId="37" fillId="6" borderId="40" xfId="0" applyNumberFormat="1" applyFont="1" applyFill="1" applyBorder="1" applyAlignment="1">
      <alignment vertical="center"/>
    </xf>
    <xf numFmtId="173" fontId="38" fillId="22" borderId="4" xfId="1" applyNumberFormat="1" applyFont="1" applyFill="1" applyBorder="1" applyAlignment="1" applyProtection="1">
      <alignment horizontal="center" vertical="center"/>
      <protection locked="0"/>
    </xf>
    <xf numFmtId="0" fontId="37" fillId="6" borderId="87" xfId="0" applyFont="1" applyFill="1" applyBorder="1" applyAlignment="1">
      <alignment vertical="center"/>
    </xf>
    <xf numFmtId="0" fontId="37" fillId="6" borderId="25" xfId="0" applyFont="1" applyFill="1" applyBorder="1" applyAlignment="1">
      <alignment vertical="center"/>
    </xf>
    <xf numFmtId="43" fontId="37" fillId="6" borderId="25" xfId="0" applyNumberFormat="1" applyFont="1" applyFill="1" applyBorder="1" applyAlignment="1">
      <alignment vertical="center"/>
    </xf>
    <xf numFmtId="43" fontId="37" fillId="6" borderId="61" xfId="0" applyNumberFormat="1" applyFont="1" applyFill="1" applyBorder="1" applyAlignment="1">
      <alignment vertical="center"/>
    </xf>
    <xf numFmtId="173" fontId="38" fillId="22" borderId="40" xfId="1" applyNumberFormat="1" applyFont="1" applyFill="1" applyBorder="1" applyAlignment="1" applyProtection="1">
      <alignment horizontal="center" vertical="center"/>
      <protection locked="0"/>
    </xf>
    <xf numFmtId="173" fontId="38" fillId="22" borderId="10" xfId="1" applyNumberFormat="1" applyFont="1" applyFill="1" applyBorder="1" applyAlignment="1" applyProtection="1">
      <alignment horizontal="center" vertical="center"/>
      <protection locked="0"/>
    </xf>
    <xf numFmtId="20" fontId="37" fillId="0" borderId="0" xfId="0" applyNumberFormat="1" applyFont="1" applyAlignment="1">
      <alignment horizontal="center" vertical="center"/>
    </xf>
    <xf numFmtId="165" fontId="37" fillId="3" borderId="6" xfId="0" applyNumberFormat="1" applyFont="1" applyFill="1" applyBorder="1" applyProtection="1">
      <protection locked="0"/>
    </xf>
    <xf numFmtId="0" fontId="38" fillId="6" borderId="112" xfId="1" applyNumberFormat="1" applyFont="1" applyFill="1" applyBorder="1" applyAlignment="1" applyProtection="1">
      <alignment horizontal="center" vertical="center"/>
      <protection locked="0"/>
    </xf>
    <xf numFmtId="0" fontId="37" fillId="0" borderId="60" xfId="0" applyFont="1" applyBorder="1" applyAlignment="1">
      <alignment vertical="center"/>
    </xf>
    <xf numFmtId="0" fontId="37" fillId="0" borderId="25" xfId="0" applyFont="1" applyBorder="1" applyAlignment="1">
      <alignment vertical="center"/>
    </xf>
    <xf numFmtId="166" fontId="26" fillId="0" borderId="31" xfId="2" applyNumberFormat="1" applyFont="1" applyBorder="1" applyAlignment="1" applyProtection="1">
      <alignment horizontal="center" vertical="center"/>
      <protection locked="0"/>
    </xf>
    <xf numFmtId="166" fontId="12" fillId="0" borderId="25" xfId="2" quotePrefix="1" applyNumberFormat="1" applyFont="1" applyBorder="1" applyAlignment="1" applyProtection="1">
      <alignment horizontal="center" vertical="center"/>
      <protection locked="0"/>
    </xf>
    <xf numFmtId="173" fontId="12" fillId="0" borderId="2" xfId="2" applyNumberFormat="1" applyFont="1" applyBorder="1" applyAlignment="1" applyProtection="1">
      <alignment horizontal="center" vertical="center"/>
      <protection locked="0"/>
    </xf>
    <xf numFmtId="164" fontId="0" fillId="0" borderId="58" xfId="2" applyFont="1" applyBorder="1" applyAlignment="1">
      <alignment horizontal="center"/>
    </xf>
    <xf numFmtId="166" fontId="12" fillId="21" borderId="25" xfId="10" applyNumberFormat="1" applyFont="1" applyFill="1" applyBorder="1" applyAlignment="1" applyProtection="1">
      <alignment horizontal="center" vertical="center"/>
      <protection locked="0"/>
    </xf>
    <xf numFmtId="166" fontId="12" fillId="30" borderId="6" xfId="0" applyNumberFormat="1" applyFont="1" applyFill="1" applyBorder="1" applyAlignment="1">
      <alignment horizontal="center" vertical="top" wrapText="1"/>
    </xf>
    <xf numFmtId="166" fontId="12" fillId="30" borderId="2" xfId="0" applyNumberFormat="1" applyFont="1" applyFill="1" applyBorder="1" applyAlignment="1">
      <alignment horizontal="center" vertical="top" wrapText="1"/>
    </xf>
    <xf numFmtId="166" fontId="12" fillId="21" borderId="6" xfId="10" applyNumberFormat="1" applyFont="1" applyFill="1" applyBorder="1" applyAlignment="1" applyProtection="1">
      <alignment horizontal="center" vertical="center"/>
      <protection locked="0"/>
    </xf>
    <xf numFmtId="166" fontId="12" fillId="30" borderId="25" xfId="0" applyNumberFormat="1" applyFont="1" applyFill="1" applyBorder="1" applyAlignment="1">
      <alignment horizontal="center" vertical="top" wrapText="1"/>
    </xf>
    <xf numFmtId="166" fontId="12" fillId="30" borderId="51" xfId="0" applyNumberFormat="1" applyFont="1" applyFill="1" applyBorder="1" applyAlignment="1" applyProtection="1">
      <alignment horizontal="center" vertical="top" wrapText="1"/>
      <protection locked="0"/>
    </xf>
    <xf numFmtId="166" fontId="26" fillId="30" borderId="37" xfId="0" applyNumberFormat="1" applyFont="1" applyFill="1" applyBorder="1" applyAlignment="1">
      <alignment horizontal="center" vertical="top" wrapText="1"/>
    </xf>
    <xf numFmtId="166" fontId="72" fillId="30" borderId="63" xfId="0" applyNumberFormat="1" applyFont="1" applyFill="1" applyBorder="1" applyAlignment="1">
      <alignment horizontal="center" vertical="top" wrapText="1"/>
    </xf>
    <xf numFmtId="166" fontId="12" fillId="30" borderId="51" xfId="0" applyNumberFormat="1" applyFont="1" applyFill="1" applyBorder="1" applyAlignment="1">
      <alignment horizontal="center" vertical="top" wrapText="1"/>
    </xf>
    <xf numFmtId="166" fontId="12" fillId="30" borderId="37" xfId="0" applyNumberFormat="1" applyFont="1" applyFill="1" applyBorder="1" applyAlignment="1">
      <alignment horizontal="center" vertical="top" wrapText="1"/>
    </xf>
    <xf numFmtId="166" fontId="12" fillId="30" borderId="60" xfId="0" applyNumberFormat="1" applyFont="1" applyFill="1" applyBorder="1" applyAlignment="1" applyProtection="1">
      <alignment horizontal="center" vertical="top" wrapText="1"/>
      <protection locked="0"/>
    </xf>
    <xf numFmtId="164" fontId="0" fillId="0" borderId="0" xfId="2" applyFont="1"/>
    <xf numFmtId="166" fontId="39" fillId="30" borderId="2" xfId="0" applyNumberFormat="1" applyFont="1" applyFill="1" applyBorder="1" applyAlignment="1">
      <alignment horizontal="center" vertical="top" wrapText="1"/>
    </xf>
    <xf numFmtId="166" fontId="39" fillId="30" borderId="6" xfId="0" applyNumberFormat="1" applyFont="1" applyFill="1" applyBorder="1" applyAlignment="1">
      <alignment horizontal="center" vertical="top" wrapText="1"/>
    </xf>
    <xf numFmtId="166" fontId="39" fillId="30" borderId="6" xfId="0" applyNumberFormat="1" applyFont="1" applyFill="1" applyBorder="1" applyAlignment="1" applyProtection="1">
      <alignment horizontal="center" vertical="top" wrapText="1"/>
      <protection locked="0"/>
    </xf>
    <xf numFmtId="166" fontId="39" fillId="30" borderId="37" xfId="0" applyNumberFormat="1" applyFont="1" applyFill="1" applyBorder="1" applyAlignment="1" applyProtection="1">
      <alignment horizontal="center" vertical="top" wrapText="1"/>
      <protection locked="0"/>
    </xf>
    <xf numFmtId="166" fontId="39" fillId="30" borderId="25" xfId="0" applyNumberFormat="1" applyFont="1" applyFill="1" applyBorder="1" applyAlignment="1" applyProtection="1">
      <alignment horizontal="center" vertical="top" wrapText="1"/>
      <protection locked="0"/>
    </xf>
    <xf numFmtId="166" fontId="39" fillId="30" borderId="25" xfId="0" applyNumberFormat="1" applyFont="1" applyFill="1" applyBorder="1" applyAlignment="1">
      <alignment horizontal="center" vertical="top" wrapText="1"/>
    </xf>
    <xf numFmtId="166" fontId="39" fillId="30" borderId="37" xfId="0" applyNumberFormat="1" applyFont="1" applyFill="1" applyBorder="1" applyAlignment="1">
      <alignment horizontal="center" vertical="top" wrapText="1"/>
    </xf>
    <xf numFmtId="166" fontId="39" fillId="30" borderId="60" xfId="0" applyNumberFormat="1" applyFont="1" applyFill="1" applyBorder="1" applyAlignment="1" applyProtection="1">
      <alignment horizontal="center" vertical="top" wrapText="1"/>
      <protection locked="0"/>
    </xf>
    <xf numFmtId="166" fontId="39" fillId="30" borderId="51" xfId="0" applyNumberFormat="1" applyFont="1" applyFill="1" applyBorder="1" applyAlignment="1">
      <alignment horizontal="center" vertical="top" wrapText="1"/>
    </xf>
    <xf numFmtId="166" fontId="39" fillId="30" borderId="51" xfId="0" applyNumberFormat="1" applyFont="1" applyFill="1" applyBorder="1" applyAlignment="1" applyProtection="1">
      <alignment horizontal="center" vertical="top" wrapText="1"/>
      <protection locked="0"/>
    </xf>
    <xf numFmtId="2" fontId="39" fillId="30" borderId="2" xfId="0" applyNumberFormat="1" applyFont="1" applyFill="1" applyBorder="1" applyAlignment="1" applyProtection="1">
      <alignment horizontal="center" vertical="top" wrapText="1"/>
      <protection locked="0"/>
    </xf>
    <xf numFmtId="2" fontId="39" fillId="30" borderId="6" xfId="0" applyNumberFormat="1" applyFont="1" applyFill="1" applyBorder="1" applyAlignment="1" applyProtection="1">
      <alignment horizontal="center" vertical="top" wrapText="1"/>
      <protection locked="0"/>
    </xf>
    <xf numFmtId="2" fontId="39" fillId="30" borderId="8" xfId="0" applyNumberFormat="1" applyFont="1" applyFill="1" applyBorder="1" applyAlignment="1" applyProtection="1">
      <alignment horizontal="center" vertical="top" wrapText="1"/>
      <protection locked="0"/>
    </xf>
    <xf numFmtId="166" fontId="9" fillId="0" borderId="25" xfId="0" applyNumberFormat="1" applyFont="1" applyBorder="1" applyProtection="1">
      <protection locked="0"/>
    </xf>
    <xf numFmtId="166" fontId="9" fillId="0" borderId="6" xfId="0" applyNumberFormat="1" applyFont="1" applyBorder="1" applyProtection="1">
      <protection locked="0"/>
    </xf>
    <xf numFmtId="166" fontId="9" fillId="0" borderId="37" xfId="0" applyNumberFormat="1" applyFont="1" applyBorder="1" applyProtection="1">
      <protection locked="0"/>
    </xf>
    <xf numFmtId="0" fontId="68" fillId="0" borderId="1" xfId="0" applyFont="1" applyBorder="1" applyAlignment="1">
      <alignment horizontal="center" vertical="center"/>
    </xf>
    <xf numFmtId="0" fontId="68" fillId="0" borderId="60" xfId="0" applyFont="1" applyBorder="1" applyAlignment="1">
      <alignment horizontal="center" vertical="center"/>
    </xf>
    <xf numFmtId="0" fontId="31" fillId="20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66" fillId="29" borderId="32" xfId="0" applyFont="1" applyFill="1" applyBorder="1" applyAlignment="1">
      <alignment horizontal="center" vertical="center"/>
    </xf>
    <xf numFmtId="0" fontId="66" fillId="29" borderId="112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79" xfId="5" applyFont="1" applyBorder="1" applyAlignment="1">
      <alignment horizontal="left" vertical="center"/>
    </xf>
    <xf numFmtId="0" fontId="16" fillId="0" borderId="95" xfId="5" applyFont="1" applyBorder="1" applyAlignment="1">
      <alignment horizontal="left" vertical="center"/>
    </xf>
    <xf numFmtId="0" fontId="52" fillId="0" borderId="25" xfId="5" applyFont="1" applyBorder="1" applyAlignment="1">
      <alignment horizontal="center" vertical="center"/>
    </xf>
    <xf numFmtId="0" fontId="42" fillId="0" borderId="6" xfId="5" applyFont="1" applyBorder="1" applyAlignment="1">
      <alignment horizontal="center" vertical="center"/>
    </xf>
    <xf numFmtId="2" fontId="49" fillId="0" borderId="45" xfId="5" applyNumberFormat="1" applyFont="1" applyBorder="1" applyAlignment="1">
      <alignment horizontal="center" vertical="center"/>
    </xf>
    <xf numFmtId="2" fontId="49" fillId="0" borderId="66" xfId="5" applyNumberFormat="1" applyFont="1" applyBorder="1" applyAlignment="1">
      <alignment horizontal="center" vertical="center"/>
    </xf>
    <xf numFmtId="2" fontId="24" fillId="0" borderId="45" xfId="5" applyNumberFormat="1" applyFont="1" applyBorder="1" applyAlignment="1">
      <alignment horizontal="center" vertical="center"/>
    </xf>
    <xf numFmtId="2" fontId="24" fillId="0" borderId="66" xfId="5" applyNumberFormat="1" applyFont="1" applyBorder="1" applyAlignment="1">
      <alignment horizontal="center" vertical="center"/>
    </xf>
    <xf numFmtId="0" fontId="42" fillId="0" borderId="45" xfId="5" applyFont="1" applyBorder="1" applyAlignment="1">
      <alignment horizontal="center" vertical="center"/>
    </xf>
    <xf numFmtId="0" fontId="42" fillId="0" borderId="66" xfId="5" applyFont="1" applyBorder="1" applyAlignment="1">
      <alignment horizontal="center" vertical="center"/>
    </xf>
    <xf numFmtId="0" fontId="16" fillId="0" borderId="0" xfId="5" applyFont="1" applyAlignment="1">
      <alignment horizontal="left" vertical="center"/>
    </xf>
    <xf numFmtId="0" fontId="16" fillId="0" borderId="0" xfId="5" applyFont="1" applyAlignment="1">
      <alignment horizontal="left" vertical="center" wrapText="1"/>
    </xf>
    <xf numFmtId="0" fontId="0" fillId="0" borderId="3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47" fillId="21" borderId="91" xfId="0" applyFont="1" applyFill="1" applyBorder="1" applyAlignment="1">
      <alignment horizontal="center" vertical="center"/>
    </xf>
    <xf numFmtId="0" fontId="20" fillId="0" borderId="82" xfId="5" applyFont="1" applyBorder="1" applyAlignment="1">
      <alignment horizontal="left" vertical="center"/>
    </xf>
    <xf numFmtId="0" fontId="20" fillId="0" borderId="66" xfId="5" applyFont="1" applyBorder="1" applyAlignment="1">
      <alignment horizontal="left" vertical="center"/>
    </xf>
    <xf numFmtId="2" fontId="24" fillId="10" borderId="45" xfId="5" applyNumberFormat="1" applyFont="1" applyFill="1" applyBorder="1" applyAlignment="1">
      <alignment horizontal="center" vertical="center"/>
    </xf>
    <xf numFmtId="2" fontId="24" fillId="10" borderId="52" xfId="5" applyNumberFormat="1" applyFont="1" applyFill="1" applyBorder="1" applyAlignment="1">
      <alignment horizontal="center" vertical="center"/>
    </xf>
    <xf numFmtId="2" fontId="24" fillId="0" borderId="52" xfId="5" applyNumberFormat="1" applyFont="1" applyBorder="1" applyAlignment="1">
      <alignment horizontal="center" vertical="center"/>
    </xf>
    <xf numFmtId="0" fontId="20" fillId="0" borderId="96" xfId="5" applyFont="1" applyBorder="1" applyAlignment="1">
      <alignment horizontal="center" vertical="center" wrapText="1"/>
    </xf>
    <xf numFmtId="0" fontId="20" fillId="0" borderId="68" xfId="5" applyFont="1" applyBorder="1" applyAlignment="1">
      <alignment horizontal="center" vertical="center" wrapText="1"/>
    </xf>
    <xf numFmtId="0" fontId="20" fillId="0" borderId="97" xfId="5" applyFont="1" applyBorder="1" applyAlignment="1">
      <alignment horizontal="center" vertical="center" wrapText="1"/>
    </xf>
    <xf numFmtId="0" fontId="20" fillId="0" borderId="98" xfId="5" applyFont="1" applyBorder="1" applyAlignment="1">
      <alignment horizontal="center" vertical="center" wrapText="1"/>
    </xf>
    <xf numFmtId="2" fontId="24" fillId="0" borderId="57" xfId="5" applyNumberFormat="1" applyFont="1" applyBorder="1" applyAlignment="1">
      <alignment horizontal="center" vertical="center"/>
    </xf>
    <xf numFmtId="2" fontId="24" fillId="0" borderId="54" xfId="5" applyNumberFormat="1" applyFont="1" applyBorder="1" applyAlignment="1">
      <alignment horizontal="center" vertical="center"/>
    </xf>
    <xf numFmtId="2" fontId="24" fillId="0" borderId="99" xfId="5" applyNumberFormat="1" applyFont="1" applyBorder="1" applyAlignment="1">
      <alignment horizontal="center" vertical="center"/>
    </xf>
    <xf numFmtId="2" fontId="24" fillId="0" borderId="100" xfId="5" applyNumberFormat="1" applyFont="1" applyBorder="1" applyAlignment="1">
      <alignment horizontal="center" vertical="center"/>
    </xf>
    <xf numFmtId="2" fontId="24" fillId="0" borderId="102" xfId="5" applyNumberFormat="1" applyFont="1" applyBorder="1" applyAlignment="1">
      <alignment horizontal="center" vertical="center"/>
    </xf>
    <xf numFmtId="2" fontId="24" fillId="0" borderId="0" xfId="5" applyNumberFormat="1" applyFont="1" applyAlignment="1">
      <alignment horizontal="center" vertical="center"/>
    </xf>
    <xf numFmtId="2" fontId="24" fillId="0" borderId="103" xfId="5" applyNumberFormat="1" applyFont="1" applyBorder="1" applyAlignment="1">
      <alignment horizontal="center" vertical="center"/>
    </xf>
    <xf numFmtId="2" fontId="24" fillId="0" borderId="14" xfId="5" applyNumberFormat="1" applyFont="1" applyBorder="1" applyAlignment="1">
      <alignment horizontal="center" vertical="center"/>
    </xf>
    <xf numFmtId="0" fontId="12" fillId="10" borderId="6" xfId="5" applyFont="1" applyFill="1" applyBorder="1" applyAlignment="1">
      <alignment horizontal="center" vertical="center"/>
    </xf>
    <xf numFmtId="0" fontId="46" fillId="0" borderId="57" xfId="5" applyFont="1" applyBorder="1" applyAlignment="1">
      <alignment horizontal="left" vertical="center"/>
    </xf>
    <xf numFmtId="0" fontId="46" fillId="0" borderId="68" xfId="5" applyFont="1" applyBorder="1" applyAlignment="1">
      <alignment horizontal="left" vertical="center"/>
    </xf>
    <xf numFmtId="0" fontId="46" fillId="0" borderId="26" xfId="5" applyFont="1" applyBorder="1" applyAlignment="1">
      <alignment horizontal="left" vertical="center"/>
    </xf>
    <xf numFmtId="0" fontId="46" fillId="0" borderId="87" xfId="5" applyFont="1" applyBorder="1" applyAlignment="1">
      <alignment horizontal="left" vertical="center"/>
    </xf>
    <xf numFmtId="0" fontId="16" fillId="0" borderId="6" xfId="5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 wrapText="1"/>
    </xf>
    <xf numFmtId="0" fontId="16" fillId="0" borderId="67" xfId="0" applyFont="1" applyBorder="1" applyAlignment="1">
      <alignment horizontal="center" vertical="center" wrapText="1"/>
    </xf>
    <xf numFmtId="0" fontId="16" fillId="0" borderId="69" xfId="5" applyFont="1" applyBorder="1" applyAlignment="1">
      <alignment horizontal="center" vertical="center"/>
    </xf>
    <xf numFmtId="0" fontId="16" fillId="0" borderId="28" xfId="5" applyFont="1" applyBorder="1" applyAlignment="1">
      <alignment horizontal="center" vertical="center"/>
    </xf>
    <xf numFmtId="0" fontId="16" fillId="0" borderId="74" xfId="5" applyFont="1" applyBorder="1" applyAlignment="1">
      <alignment horizontal="center" vertical="center"/>
    </xf>
    <xf numFmtId="0" fontId="42" fillId="0" borderId="0" xfId="5" applyFont="1" applyAlignment="1">
      <alignment horizontal="center" vertical="center"/>
    </xf>
    <xf numFmtId="14" fontId="48" fillId="0" borderId="55" xfId="0" quotePrefix="1" applyNumberFormat="1" applyFont="1" applyBorder="1" applyAlignment="1">
      <alignment horizontal="center" vertical="center"/>
    </xf>
    <xf numFmtId="14" fontId="48" fillId="0" borderId="80" xfId="0" quotePrefix="1" applyNumberFormat="1" applyFont="1" applyBorder="1" applyAlignment="1">
      <alignment horizontal="center" vertical="center"/>
    </xf>
    <xf numFmtId="0" fontId="16" fillId="0" borderId="8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47" fillId="21" borderId="0" xfId="0" applyFont="1" applyFill="1" applyAlignment="1">
      <alignment horizontal="right" vertical="center"/>
    </xf>
    <xf numFmtId="170" fontId="48" fillId="0" borderId="45" xfId="0" applyNumberFormat="1" applyFont="1" applyBorder="1" applyAlignment="1">
      <alignment horizontal="center" vertical="center" wrapText="1"/>
    </xf>
    <xf numFmtId="171" fontId="48" fillId="0" borderId="83" xfId="0" applyNumberFormat="1" applyFont="1" applyBorder="1" applyAlignment="1">
      <alignment horizontal="center" vertical="center" wrapText="1"/>
    </xf>
    <xf numFmtId="0" fontId="48" fillId="0" borderId="84" xfId="0" applyFont="1" applyBorder="1" applyAlignment="1">
      <alignment horizontal="center" vertical="center" wrapText="1"/>
    </xf>
    <xf numFmtId="0" fontId="48" fillId="0" borderId="85" xfId="0" applyFont="1" applyBorder="1" applyAlignment="1">
      <alignment horizontal="center" vertical="center" wrapText="1"/>
    </xf>
    <xf numFmtId="0" fontId="16" fillId="0" borderId="77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2" fontId="43" fillId="0" borderId="6" xfId="0" applyNumberFormat="1" applyFont="1" applyBorder="1" applyAlignment="1" applyProtection="1">
      <alignment horizontal="center" vertical="center"/>
      <protection locked="0"/>
    </xf>
    <xf numFmtId="2" fontId="43" fillId="0" borderId="40" xfId="0" applyNumberFormat="1" applyFont="1" applyBorder="1" applyAlignment="1" applyProtection="1">
      <alignment horizontal="center" vertical="center"/>
      <protection locked="0"/>
    </xf>
    <xf numFmtId="164" fontId="4" fillId="0" borderId="0" xfId="2" applyFont="1" applyAlignment="1">
      <alignment horizontal="center" vertical="center" wrapText="1"/>
    </xf>
    <xf numFmtId="164" fontId="5" fillId="2" borderId="0" xfId="2" applyFont="1" applyFill="1" applyAlignment="1">
      <alignment horizontal="center" vertical="center"/>
    </xf>
    <xf numFmtId="164" fontId="4" fillId="0" borderId="1" xfId="2" applyFont="1" applyBorder="1" applyAlignment="1">
      <alignment horizontal="center" vertical="center"/>
    </xf>
    <xf numFmtId="164" fontId="4" fillId="0" borderId="7" xfId="2" applyFont="1" applyBorder="1" applyAlignment="1">
      <alignment horizontal="center" vertical="center"/>
    </xf>
    <xf numFmtId="164" fontId="4" fillId="0" borderId="3" xfId="2" applyFont="1" applyBorder="1" applyAlignment="1">
      <alignment horizontal="center" vertical="center"/>
    </xf>
    <xf numFmtId="164" fontId="4" fillId="0" borderId="9" xfId="2" applyFont="1" applyBorder="1" applyAlignment="1">
      <alignment horizontal="center" vertical="center"/>
    </xf>
    <xf numFmtId="164" fontId="1" fillId="0" borderId="5" xfId="2" applyBorder="1" applyAlignment="1">
      <alignment horizontal="center" textRotation="90"/>
    </xf>
    <xf numFmtId="164" fontId="15" fillId="4" borderId="11" xfId="2" applyFont="1" applyFill="1" applyBorder="1" applyAlignment="1">
      <alignment horizontal="left" vertical="center"/>
    </xf>
    <xf numFmtId="164" fontId="15" fillId="4" borderId="11" xfId="2" applyFont="1" applyFill="1" applyBorder="1" applyAlignment="1">
      <alignment horizontal="center" vertical="center"/>
    </xf>
    <xf numFmtId="2" fontId="22" fillId="0" borderId="13" xfId="2" applyNumberFormat="1" applyFont="1" applyBorder="1" applyAlignment="1">
      <alignment horizontal="center" vertical="center"/>
    </xf>
    <xf numFmtId="2" fontId="22" fillId="0" borderId="14" xfId="2" applyNumberFormat="1" applyFont="1" applyBorder="1" applyAlignment="1">
      <alignment horizontal="center" vertical="center"/>
    </xf>
    <xf numFmtId="2" fontId="22" fillId="0" borderId="15" xfId="2" applyNumberFormat="1" applyFont="1" applyBorder="1" applyAlignment="1">
      <alignment horizontal="center" vertical="center"/>
    </xf>
    <xf numFmtId="2" fontId="23" fillId="0" borderId="13" xfId="2" applyNumberFormat="1" applyFont="1" applyBorder="1" applyAlignment="1">
      <alignment horizontal="center" vertical="center"/>
    </xf>
    <xf numFmtId="2" fontId="23" fillId="0" borderId="14" xfId="2" applyNumberFormat="1" applyFont="1" applyBorder="1" applyAlignment="1">
      <alignment horizontal="center" vertical="center"/>
    </xf>
    <xf numFmtId="2" fontId="23" fillId="0" borderId="15" xfId="2" applyNumberFormat="1" applyFont="1" applyBorder="1" applyAlignment="1">
      <alignment horizontal="center" vertical="center"/>
    </xf>
    <xf numFmtId="164" fontId="16" fillId="0" borderId="17" xfId="2" applyFont="1" applyBorder="1" applyAlignment="1">
      <alignment horizontal="left" vertical="top" wrapText="1"/>
    </xf>
    <xf numFmtId="164" fontId="16" fillId="0" borderId="21" xfId="2" applyFont="1" applyBorder="1" applyAlignment="1">
      <alignment horizontal="left" vertical="top" wrapText="1"/>
    </xf>
    <xf numFmtId="167" fontId="12" fillId="0" borderId="18" xfId="2" applyNumberFormat="1" applyFont="1" applyBorder="1" applyAlignment="1">
      <alignment horizontal="center" vertical="center"/>
    </xf>
    <xf numFmtId="167" fontId="12" fillId="0" borderId="22" xfId="2" applyNumberFormat="1" applyFont="1" applyBorder="1" applyAlignment="1">
      <alignment horizontal="center" vertical="center"/>
    </xf>
    <xf numFmtId="167" fontId="12" fillId="7" borderId="19" xfId="2" applyNumberFormat="1" applyFont="1" applyFill="1" applyBorder="1" applyAlignment="1">
      <alignment horizontal="center" vertical="center"/>
    </xf>
    <xf numFmtId="167" fontId="12" fillId="7" borderId="22" xfId="2" applyNumberFormat="1" applyFont="1" applyFill="1" applyBorder="1" applyAlignment="1">
      <alignment horizontal="center" vertical="center"/>
    </xf>
    <xf numFmtId="167" fontId="12" fillId="0" borderId="19" xfId="2" applyNumberFormat="1" applyFont="1" applyBorder="1" applyAlignment="1">
      <alignment horizontal="center" vertical="center"/>
    </xf>
    <xf numFmtId="166" fontId="16" fillId="12" borderId="46" xfId="2" applyNumberFormat="1" applyFont="1" applyFill="1" applyBorder="1" applyAlignment="1">
      <alignment horizontal="center" vertical="center"/>
    </xf>
    <xf numFmtId="166" fontId="16" fillId="12" borderId="47" xfId="2" applyNumberFormat="1" applyFont="1" applyFill="1" applyBorder="1" applyAlignment="1">
      <alignment horizontal="center" vertical="center"/>
    </xf>
    <xf numFmtId="164" fontId="31" fillId="14" borderId="0" xfId="2" applyFont="1" applyFill="1" applyAlignment="1">
      <alignment horizontal="center"/>
    </xf>
    <xf numFmtId="168" fontId="24" fillId="8" borderId="20" xfId="2" applyNumberFormat="1" applyFont="1" applyFill="1" applyBorder="1" applyAlignment="1">
      <alignment horizontal="center" vertical="center" wrapText="1"/>
    </xf>
    <xf numFmtId="168" fontId="24" fillId="8" borderId="23" xfId="2" applyNumberFormat="1" applyFont="1" applyFill="1" applyBorder="1" applyAlignment="1">
      <alignment horizontal="center" vertical="center" wrapText="1"/>
    </xf>
  </cellXfs>
  <cellStyles count="13">
    <cellStyle name="Comma" xfId="1" builtinId="3"/>
    <cellStyle name="Currency" xfId="7" builtinId="4"/>
    <cellStyle name="Normal" xfId="0" builtinId="0"/>
    <cellStyle name="Normal 2" xfId="2" xr:uid="{00000000-0005-0000-0000-000003000000}"/>
    <cellStyle name="Normal 2 2" xfId="3" xr:uid="{00000000-0005-0000-0000-000004000000}"/>
    <cellStyle name="Normal 2 2 2" xfId="11" xr:uid="{00000000-0005-0000-0000-000005000000}"/>
    <cellStyle name="Normal 2 2 3" xfId="8" xr:uid="{00000000-0005-0000-0000-000006000000}"/>
    <cellStyle name="Normal 2 3" xfId="4" xr:uid="{00000000-0005-0000-0000-000007000000}"/>
    <cellStyle name="Normal 2 3 2" xfId="12" xr:uid="{00000000-0005-0000-0000-000008000000}"/>
    <cellStyle name="Normal 2 3 3" xfId="9" xr:uid="{00000000-0005-0000-0000-000009000000}"/>
    <cellStyle name="Normal 2 4" xfId="5" xr:uid="{00000000-0005-0000-0000-00000A000000}"/>
    <cellStyle name="Normal 2 5" xfId="10" xr:uid="{00000000-0005-0000-0000-00000B000000}"/>
    <cellStyle name="Normal 2_4" xfId="6" xr:uid="{00000000-0005-0000-0000-00000C000000}"/>
  </cellStyles>
  <dxfs count="7235"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E9FA4C"/>
        </patternFill>
      </fill>
    </dxf>
    <dxf>
      <fill>
        <patternFill>
          <bgColor rgb="FFE9FA4C"/>
        </patternFill>
      </fill>
    </dxf>
    <dxf>
      <fill>
        <patternFill>
          <bgColor rgb="FFE9FA4C"/>
        </patternFill>
      </fill>
    </dxf>
    <dxf>
      <fill>
        <patternFill>
          <bgColor rgb="FFE9FA4C"/>
        </patternFill>
      </fill>
    </dxf>
    <dxf>
      <fill>
        <patternFill>
          <bgColor rgb="FFE9FA4C"/>
        </patternFill>
      </fill>
    </dxf>
    <dxf>
      <fill>
        <patternFill>
          <bgColor rgb="FFE9FA4C"/>
        </patternFill>
      </fill>
    </dxf>
    <dxf>
      <fill>
        <patternFill>
          <bgColor rgb="FFE9FA4C"/>
        </patternFill>
      </fill>
    </dxf>
    <dxf>
      <fill>
        <patternFill>
          <bgColor rgb="FFE9FA4C"/>
        </patternFill>
      </fill>
    </dxf>
    <dxf>
      <fill>
        <patternFill>
          <bgColor rgb="FFE9FA4C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5"/>
        </patternFill>
      </fill>
    </dxf>
    <dxf>
      <font>
        <color rgb="FF002060"/>
      </font>
    </dxf>
    <dxf>
      <font>
        <color rgb="FFFF0000"/>
      </font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064960"/>
        <c:axId val="279066880"/>
      </c:lineChart>
      <c:catAx>
        <c:axId val="2790649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066880"/>
        <c:crosses val="autoZero"/>
        <c:auto val="1"/>
        <c:lblAlgn val="ctr"/>
        <c:lblOffset val="100"/>
        <c:noMultiLvlLbl val="0"/>
      </c:catAx>
      <c:valAx>
        <c:axId val="27906688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06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867392"/>
        <c:axId val="279869312"/>
      </c:lineChart>
      <c:catAx>
        <c:axId val="2798673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869312"/>
        <c:crosses val="autoZero"/>
        <c:auto val="1"/>
        <c:lblAlgn val="ctr"/>
        <c:lblOffset val="100"/>
        <c:noMultiLvlLbl val="0"/>
      </c:catAx>
      <c:valAx>
        <c:axId val="2798693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86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512768"/>
        <c:axId val="280514944"/>
      </c:lineChart>
      <c:catAx>
        <c:axId val="2805127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514944"/>
        <c:crosses val="autoZero"/>
        <c:auto val="1"/>
        <c:lblAlgn val="ctr"/>
        <c:lblOffset val="100"/>
        <c:noMultiLvlLbl val="0"/>
      </c:catAx>
      <c:valAx>
        <c:axId val="2805149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51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089536"/>
        <c:axId val="281091456"/>
      </c:lineChart>
      <c:catAx>
        <c:axId val="2810895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091456"/>
        <c:crosses val="autoZero"/>
        <c:auto val="1"/>
        <c:lblAlgn val="ctr"/>
        <c:lblOffset val="100"/>
        <c:noMultiLvlLbl val="0"/>
      </c:catAx>
      <c:valAx>
        <c:axId val="2810914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08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854720"/>
        <c:axId val="281856640"/>
      </c:lineChart>
      <c:catAx>
        <c:axId val="2818547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56640"/>
        <c:crosses val="autoZero"/>
        <c:auto val="1"/>
        <c:lblAlgn val="ctr"/>
        <c:lblOffset val="100"/>
        <c:noMultiLvlLbl val="0"/>
      </c:catAx>
      <c:valAx>
        <c:axId val="2818566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5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4704768"/>
        <c:axId val="284706688"/>
      </c:lineChart>
      <c:catAx>
        <c:axId val="2847047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706688"/>
        <c:crosses val="autoZero"/>
        <c:auto val="1"/>
        <c:lblAlgn val="ctr"/>
        <c:lblOffset val="100"/>
        <c:noMultiLvlLbl val="0"/>
      </c:catAx>
      <c:valAx>
        <c:axId val="2847066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704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5595520"/>
        <c:axId val="285597696"/>
      </c:lineChart>
      <c:catAx>
        <c:axId val="2855955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597696"/>
        <c:crosses val="autoZero"/>
        <c:auto val="1"/>
        <c:lblAlgn val="ctr"/>
        <c:lblOffset val="100"/>
        <c:noMultiLvlLbl val="0"/>
      </c:catAx>
      <c:valAx>
        <c:axId val="2855976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59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422528"/>
        <c:axId val="286424448"/>
      </c:lineChart>
      <c:catAx>
        <c:axId val="2864225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424448"/>
        <c:crosses val="autoZero"/>
        <c:auto val="1"/>
        <c:lblAlgn val="ctr"/>
        <c:lblOffset val="100"/>
        <c:noMultiLvlLbl val="0"/>
      </c:catAx>
      <c:valAx>
        <c:axId val="28642444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422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7254016"/>
        <c:axId val="287255936"/>
      </c:lineChart>
      <c:catAx>
        <c:axId val="2872540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255936"/>
        <c:crosses val="autoZero"/>
        <c:auto val="1"/>
        <c:lblAlgn val="ctr"/>
        <c:lblOffset val="100"/>
        <c:noMultiLvlLbl val="0"/>
      </c:catAx>
      <c:valAx>
        <c:axId val="2872559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25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2713216"/>
        <c:axId val="292715136"/>
      </c:lineChart>
      <c:catAx>
        <c:axId val="2927132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715136"/>
        <c:crosses val="autoZero"/>
        <c:auto val="1"/>
        <c:lblAlgn val="ctr"/>
        <c:lblOffset val="100"/>
        <c:noMultiLvlLbl val="0"/>
      </c:catAx>
      <c:valAx>
        <c:axId val="2927151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71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3475456"/>
        <c:axId val="293477376"/>
      </c:lineChart>
      <c:catAx>
        <c:axId val="2934754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477376"/>
        <c:crosses val="autoZero"/>
        <c:auto val="1"/>
        <c:lblAlgn val="ctr"/>
        <c:lblOffset val="100"/>
        <c:noMultiLvlLbl val="0"/>
      </c:catAx>
      <c:valAx>
        <c:axId val="2934773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47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4422016"/>
        <c:axId val="294423936"/>
      </c:lineChart>
      <c:catAx>
        <c:axId val="2944220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423936"/>
        <c:crosses val="autoZero"/>
        <c:auto val="1"/>
        <c:lblAlgn val="ctr"/>
        <c:lblOffset val="100"/>
        <c:noMultiLvlLbl val="0"/>
      </c:catAx>
      <c:valAx>
        <c:axId val="2944239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42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5403520"/>
        <c:axId val="295405440"/>
      </c:lineChart>
      <c:catAx>
        <c:axId val="2954035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405440"/>
        <c:crosses val="autoZero"/>
        <c:auto val="1"/>
        <c:lblAlgn val="ctr"/>
        <c:lblOffset val="100"/>
        <c:noMultiLvlLbl val="0"/>
      </c:catAx>
      <c:valAx>
        <c:axId val="2954054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40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060800"/>
        <c:axId val="298087552"/>
      </c:lineChart>
      <c:catAx>
        <c:axId val="2980608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087552"/>
        <c:crosses val="autoZero"/>
        <c:auto val="1"/>
        <c:lblAlgn val="ctr"/>
        <c:lblOffset val="100"/>
        <c:noMultiLvlLbl val="0"/>
      </c:catAx>
      <c:valAx>
        <c:axId val="2980875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06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2267008"/>
        <c:axId val="302285568"/>
      </c:lineChart>
      <c:catAx>
        <c:axId val="3022670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285568"/>
        <c:crosses val="autoZero"/>
        <c:auto val="1"/>
        <c:lblAlgn val="ctr"/>
        <c:lblOffset val="100"/>
        <c:noMultiLvlLbl val="0"/>
      </c:catAx>
      <c:valAx>
        <c:axId val="3022855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26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8598656"/>
        <c:axId val="311988224"/>
      </c:lineChart>
      <c:catAx>
        <c:axId val="3085986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988224"/>
        <c:crosses val="autoZero"/>
        <c:auto val="1"/>
        <c:lblAlgn val="ctr"/>
        <c:lblOffset val="100"/>
        <c:noMultiLvlLbl val="0"/>
      </c:catAx>
      <c:valAx>
        <c:axId val="3119882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59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5789440"/>
        <c:axId val="356123392"/>
      </c:lineChart>
      <c:catAx>
        <c:axId val="35578944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123392"/>
        <c:crosses val="autoZero"/>
        <c:auto val="1"/>
        <c:lblAlgn val="ctr"/>
        <c:lblOffset val="100"/>
        <c:noMultiLvlLbl val="0"/>
      </c:catAx>
      <c:valAx>
        <c:axId val="3561233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78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7681408"/>
        <c:axId val="357716352"/>
      </c:lineChart>
      <c:catAx>
        <c:axId val="3576814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716352"/>
        <c:crosses val="autoZero"/>
        <c:auto val="1"/>
        <c:lblAlgn val="ctr"/>
        <c:lblOffset val="100"/>
        <c:noMultiLvlLbl val="0"/>
      </c:catAx>
      <c:valAx>
        <c:axId val="3577163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81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9132160"/>
        <c:axId val="359273600"/>
      </c:lineChart>
      <c:catAx>
        <c:axId val="3591321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73600"/>
        <c:crosses val="autoZero"/>
        <c:auto val="1"/>
        <c:lblAlgn val="ctr"/>
        <c:lblOffset val="100"/>
        <c:noMultiLvlLbl val="0"/>
      </c:catAx>
      <c:valAx>
        <c:axId val="3592736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13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0332288"/>
        <c:axId val="360342656"/>
      </c:lineChart>
      <c:catAx>
        <c:axId val="3603322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42656"/>
        <c:crosses val="autoZero"/>
        <c:auto val="1"/>
        <c:lblAlgn val="ctr"/>
        <c:lblOffset val="100"/>
        <c:noMultiLvlLbl val="0"/>
      </c:catAx>
      <c:valAx>
        <c:axId val="3603426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33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8480896"/>
        <c:axId val="378487168"/>
      </c:lineChart>
      <c:catAx>
        <c:axId val="3784808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487168"/>
        <c:crosses val="autoZero"/>
        <c:auto val="1"/>
        <c:lblAlgn val="ctr"/>
        <c:lblOffset val="100"/>
        <c:noMultiLvlLbl val="0"/>
      </c:catAx>
      <c:valAx>
        <c:axId val="3784871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48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9709696"/>
        <c:axId val="379711872"/>
      </c:lineChart>
      <c:catAx>
        <c:axId val="3797096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711872"/>
        <c:crosses val="autoZero"/>
        <c:auto val="1"/>
        <c:lblAlgn val="ctr"/>
        <c:lblOffset val="100"/>
        <c:noMultiLvlLbl val="0"/>
      </c:catAx>
      <c:valAx>
        <c:axId val="3797118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70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2984064"/>
        <c:axId val="392985984"/>
      </c:lineChart>
      <c:catAx>
        <c:axId val="3929840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985984"/>
        <c:crosses val="autoZero"/>
        <c:auto val="1"/>
        <c:lblAlgn val="ctr"/>
        <c:lblOffset val="100"/>
        <c:noMultiLvlLbl val="0"/>
      </c:catAx>
      <c:valAx>
        <c:axId val="3929859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98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4137600"/>
        <c:axId val="394139520"/>
      </c:lineChart>
      <c:catAx>
        <c:axId val="3941376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139520"/>
        <c:crosses val="autoZero"/>
        <c:auto val="1"/>
        <c:lblAlgn val="ctr"/>
        <c:lblOffset val="100"/>
        <c:noMultiLvlLbl val="0"/>
      </c:catAx>
      <c:valAx>
        <c:axId val="3941395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13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6394880"/>
        <c:axId val="396396800"/>
      </c:lineChart>
      <c:catAx>
        <c:axId val="3963948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396800"/>
        <c:crosses val="autoZero"/>
        <c:auto val="1"/>
        <c:lblAlgn val="ctr"/>
        <c:lblOffset val="100"/>
        <c:noMultiLvlLbl val="0"/>
      </c:catAx>
      <c:valAx>
        <c:axId val="3963968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39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8595200"/>
        <c:axId val="398597120"/>
      </c:lineChart>
      <c:catAx>
        <c:axId val="3985952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597120"/>
        <c:crosses val="autoZero"/>
        <c:auto val="1"/>
        <c:lblAlgn val="ctr"/>
        <c:lblOffset val="100"/>
        <c:noMultiLvlLbl val="0"/>
      </c:catAx>
      <c:valAx>
        <c:axId val="3985971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59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713280"/>
        <c:axId val="405715200"/>
      </c:lineChart>
      <c:catAx>
        <c:axId val="4057132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715200"/>
        <c:crosses val="autoZero"/>
        <c:auto val="1"/>
        <c:lblAlgn val="ctr"/>
        <c:lblOffset val="100"/>
        <c:noMultiLvlLbl val="0"/>
      </c:catAx>
      <c:valAx>
        <c:axId val="4057152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713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1128576"/>
        <c:axId val="431130496"/>
      </c:lineChart>
      <c:catAx>
        <c:axId val="43112857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130496"/>
        <c:crosses val="autoZero"/>
        <c:auto val="1"/>
        <c:lblAlgn val="ctr"/>
        <c:lblOffset val="100"/>
        <c:noMultiLvlLbl val="0"/>
      </c:catAx>
      <c:valAx>
        <c:axId val="4311304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128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4048000"/>
        <c:axId val="434062464"/>
      </c:lineChart>
      <c:catAx>
        <c:axId val="4340480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062464"/>
        <c:crosses val="autoZero"/>
        <c:auto val="1"/>
        <c:lblAlgn val="ctr"/>
        <c:lblOffset val="100"/>
        <c:noMultiLvlLbl val="0"/>
      </c:catAx>
      <c:valAx>
        <c:axId val="4340624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04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6182016"/>
        <c:axId val="436188288"/>
      </c:lineChart>
      <c:catAx>
        <c:axId val="4361820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188288"/>
        <c:crosses val="autoZero"/>
        <c:auto val="1"/>
        <c:lblAlgn val="ctr"/>
        <c:lblOffset val="100"/>
        <c:noMultiLvlLbl val="0"/>
      </c:catAx>
      <c:valAx>
        <c:axId val="4361882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18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'[4]4'!$A$240:$A$244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'[4]4'!$B$240:$B$244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'[4]4'!$S$242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'[4]4'!$T$240:$AX$240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cat>
          <c:val>
            <c:numRef>
              <c:f>'[4]4'!$U$241:$AX$241</c:f>
              <c:numCache>
                <c:formatCode>General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0563968"/>
        <c:axId val="440570240"/>
      </c:lineChart>
      <c:catAx>
        <c:axId val="44056396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570240"/>
        <c:crosses val="autoZero"/>
        <c:auto val="1"/>
        <c:lblAlgn val="ctr"/>
        <c:lblOffset val="100"/>
        <c:noMultiLvlLbl val="0"/>
      </c:catAx>
      <c:valAx>
        <c:axId val="4405702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56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239</xdr:row>
      <xdr:rowOff>57156</xdr:rowOff>
    </xdr:from>
    <xdr:to>
      <xdr:col>15</xdr:col>
      <xdr:colOff>219074</xdr:colOff>
      <xdr:row>261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242</xdr:row>
      <xdr:rowOff>133356</xdr:rowOff>
    </xdr:from>
    <xdr:to>
      <xdr:col>32</xdr:col>
      <xdr:colOff>9524</xdr:colOff>
      <xdr:row>260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dcne/OneDrive/Desktop/F_Y_2078_079_Energy_Import_Export/Daily%20Operation%20Report%2077-7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ta%20Server/AppData/Roaming/Microsoft/AddIns/SkyDateConverter.xla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Local\Microsoft\Windows\INetCache\Content.MSO\Daily-Logsheet-2079-04%20Shrawan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\0%20Data_Collection%2075\Daily_Log_Sheets\Log%20Sheet%202079\Daily-Logsheet-2079-09-Poush.xlsx" TargetMode="External"/><Relationship Id="rId1" Type="http://schemas.openxmlformats.org/officeDocument/2006/relationships/externalLinkPath" Target="Daily-Logsheet-2079-09-Pou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ar"/>
      <sheetName val="Shrawan OLD"/>
      <sheetName val="Sheet4"/>
      <sheetName val="Shrawan"/>
      <sheetName val="Bhadra"/>
      <sheetName val="Ashwin"/>
      <sheetName val="Kartik"/>
      <sheetName val="Mangsir"/>
      <sheetName val="Poush"/>
      <sheetName val="Magh"/>
      <sheetName val="Falgun"/>
      <sheetName val="Chaitra"/>
      <sheetName val="Baishakh"/>
      <sheetName val="Jestha"/>
      <sheetName val="Ashadh"/>
      <sheetName val="Sheet1"/>
      <sheetName val="Sheet2"/>
      <sheetName val="Sheet3"/>
      <sheetName val="Major IPPs Average"/>
      <sheetName val="Growth Rate"/>
      <sheetName val="Peak of This year 777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">
          <cell r="O4" t="str">
            <v>077/3/1</v>
          </cell>
          <cell r="BN4">
            <v>0</v>
          </cell>
        </row>
        <row r="5">
          <cell r="BN5">
            <v>0</v>
          </cell>
        </row>
      </sheetData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Sheet1"/>
      <sheetName val="Sheet2"/>
      <sheetName val="Sheet3"/>
      <sheetName val="SkyDateConverter"/>
    </sheetNames>
    <definedNames>
      <definedName name="DateBStoAD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ample_new"/>
      <sheetName val="Sheet7"/>
      <sheetName val="Sheet8"/>
      <sheetName val="Sheet9"/>
      <sheetName val="Sheet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>
        <row r="233">
          <cell r="A233" t="str">
            <v>IPP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magh1"/>
      <sheetName val="sample"/>
      <sheetName val="Feedback"/>
    </sheetNames>
    <sheetDataSet>
      <sheetData sheetId="0"/>
      <sheetData sheetId="1"/>
      <sheetData sheetId="2"/>
      <sheetData sheetId="3">
        <row r="240">
          <cell r="A240" t="str">
            <v>IPP</v>
          </cell>
          <cell r="B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</row>
        <row r="241">
          <cell r="A241" t="str">
            <v>NEA(RoR+PRoR)</v>
          </cell>
          <cell r="B241">
            <v>0</v>
          </cell>
          <cell r="U241">
            <v>4.1666666666666664E-2</v>
          </cell>
          <cell r="V241">
            <v>8.3333333333333301E-2</v>
          </cell>
          <cell r="W241">
            <v>0.125</v>
          </cell>
          <cell r="X241">
            <v>0.16666666666666699</v>
          </cell>
          <cell r="Y241">
            <v>0.20833333333333301</v>
          </cell>
          <cell r="Z241">
            <v>0.22916666666666666</v>
          </cell>
          <cell r="AA241">
            <v>0.25</v>
          </cell>
          <cell r="AB241">
            <v>0.27083333333333331</v>
          </cell>
          <cell r="AC241">
            <v>0.29166666666666669</v>
          </cell>
          <cell r="AD241">
            <v>0.3125</v>
          </cell>
          <cell r="AE241">
            <v>0.33333333333333331</v>
          </cell>
          <cell r="AF241">
            <v>0.375</v>
          </cell>
          <cell r="AG241">
            <v>0.41666666666666702</v>
          </cell>
          <cell r="AH241">
            <v>0.45833333333333298</v>
          </cell>
          <cell r="AI241">
            <v>0.5</v>
          </cell>
          <cell r="AJ241">
            <v>0.54166666666666696</v>
          </cell>
          <cell r="AK241">
            <v>0.58333333333333304</v>
          </cell>
          <cell r="AL241">
            <v>0.625</v>
          </cell>
          <cell r="AM241">
            <v>0.66666666666666696</v>
          </cell>
          <cell r="AN241">
            <v>0.70833333333333304</v>
          </cell>
          <cell r="AO241">
            <v>0.72916666666666663</v>
          </cell>
          <cell r="AP241">
            <v>0.75</v>
          </cell>
          <cell r="AQ241">
            <v>0.77083333333333337</v>
          </cell>
          <cell r="AR241">
            <v>0.79166666666666663</v>
          </cell>
          <cell r="AS241">
            <v>0.8125</v>
          </cell>
          <cell r="AT241">
            <v>0.83333333333333337</v>
          </cell>
          <cell r="AU241">
            <v>0.85416666666666663</v>
          </cell>
          <cell r="AV241">
            <v>0.875</v>
          </cell>
          <cell r="AW241">
            <v>0.91666666666666696</v>
          </cell>
          <cell r="AX241">
            <v>0.95833333333333304</v>
          </cell>
        </row>
        <row r="242">
          <cell r="A242" t="str">
            <v>KL1+KL2+KL3</v>
          </cell>
          <cell r="B242">
            <v>0</v>
          </cell>
          <cell r="S242" t="str">
            <v>T_Load</v>
          </cell>
        </row>
        <row r="243">
          <cell r="A243" t="str">
            <v>Import</v>
          </cell>
          <cell r="B243">
            <v>0</v>
          </cell>
        </row>
        <row r="244">
          <cell r="A244" t="str">
            <v>Export</v>
          </cell>
          <cell r="B244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V264"/>
  <sheetViews>
    <sheetView topLeftCell="B1" workbookViewId="0">
      <selection activeCell="D7" sqref="D7:E7"/>
    </sheetView>
  </sheetViews>
  <sheetFormatPr defaultColWidth="9.140625" defaultRowHeight="15" x14ac:dyDescent="0.25"/>
  <cols>
    <col min="1" max="1" width="9.140625" style="175" hidden="1" customWidth="1"/>
    <col min="2" max="2" width="17.7109375" style="176" customWidth="1"/>
    <col min="3" max="3" width="17.7109375" style="175" customWidth="1"/>
    <col min="4" max="4" width="15.28515625" style="175" customWidth="1"/>
    <col min="5" max="5" width="13.42578125" style="175" customWidth="1"/>
    <col min="6" max="6" width="15.42578125" style="175" customWidth="1"/>
    <col min="7" max="7" width="15.42578125" style="175" hidden="1" customWidth="1"/>
    <col min="8" max="8" width="35.5703125" style="175" customWidth="1"/>
    <col min="9" max="9" width="12.140625" style="175" customWidth="1"/>
    <col min="10" max="10" width="14.140625" style="175" customWidth="1"/>
    <col min="11" max="11" width="12.85546875" style="175" customWidth="1"/>
    <col min="12" max="12" width="12.85546875" style="175" hidden="1" customWidth="1"/>
    <col min="13" max="13" width="32" style="175" customWidth="1"/>
    <col min="14" max="14" width="12.5703125" style="175" customWidth="1"/>
    <col min="15" max="15" width="14.140625" style="175" customWidth="1"/>
    <col min="16" max="16" width="13.28515625" style="175" customWidth="1"/>
    <col min="17" max="17" width="3.28515625" style="175" customWidth="1"/>
    <col min="18" max="18" width="8.5703125" style="175" hidden="1" customWidth="1"/>
    <col min="19" max="19" width="24.7109375" style="175" customWidth="1"/>
    <col min="20" max="20" width="14.85546875" style="175" customWidth="1"/>
    <col min="21" max="21" width="11.7109375" style="175" customWidth="1"/>
    <col min="22" max="22" width="12.5703125" style="175" customWidth="1"/>
    <col min="23" max="23" width="12" style="175" customWidth="1"/>
    <col min="24" max="24" width="9.140625" style="175" customWidth="1"/>
    <col min="25" max="25" width="10.28515625" style="175" customWidth="1"/>
    <col min="26" max="26" width="9.140625" style="175" customWidth="1"/>
    <col min="27" max="28" width="12.140625" style="175" customWidth="1"/>
    <col min="29" max="31" width="9.140625" style="175" customWidth="1"/>
    <col min="32" max="32" width="4.28515625" style="175" customWidth="1"/>
    <col min="33" max="33" width="11.42578125" style="175" customWidth="1"/>
    <col min="34" max="34" width="32.140625" style="175" customWidth="1"/>
    <col min="35" max="35" width="11.42578125" style="175" customWidth="1"/>
    <col min="36" max="36" width="11.7109375" style="175" customWidth="1"/>
    <col min="37" max="51" width="9.140625" style="175" customWidth="1"/>
    <col min="52" max="52" width="20.85546875" style="175" customWidth="1"/>
    <col min="53" max="53" width="10" style="175" customWidth="1"/>
    <col min="54" max="56" width="9.28515625" style="175" customWidth="1"/>
    <col min="57" max="57" width="11.28515625" style="175" customWidth="1"/>
    <col min="58" max="58" width="10.7109375" style="175" customWidth="1"/>
    <col min="59" max="62" width="9.28515625" style="175" customWidth="1"/>
    <col min="63" max="63" width="10.42578125" style="175" customWidth="1"/>
    <col min="64" max="64" width="11" style="175" customWidth="1"/>
    <col min="65" max="65" width="21.28515625" style="175" customWidth="1"/>
    <col min="66" max="66" width="13.5703125" style="175" customWidth="1"/>
    <col min="67" max="67" width="11.7109375" style="175" customWidth="1"/>
    <col min="68" max="68" width="10.5703125" style="175" customWidth="1"/>
    <col min="69" max="69" width="12" style="175" customWidth="1"/>
    <col min="70" max="70" width="9.140625" style="175" customWidth="1"/>
    <col min="71" max="71" width="9.28515625" style="175" customWidth="1"/>
    <col min="72" max="72" width="21.5703125" style="175" customWidth="1"/>
    <col min="73" max="81" width="9.28515625" style="175" customWidth="1"/>
    <col min="82" max="82" width="10" style="175" customWidth="1"/>
    <col min="83" max="148" width="9.28515625" style="175" customWidth="1"/>
    <col min="149" max="149" width="9.28515625" customWidth="1"/>
    <col min="150" max="186" width="9.28515625" style="175" customWidth="1"/>
    <col min="187" max="187" width="18.42578125" style="175" customWidth="1"/>
    <col min="188" max="188" width="9.28515625" style="175" customWidth="1"/>
    <col min="189" max="261" width="9.140625" style="175" customWidth="1"/>
    <col min="262" max="263" width="15.7109375" style="223" customWidth="1"/>
    <col min="264" max="264" width="11.140625" style="223" customWidth="1"/>
    <col min="265" max="265" width="35.42578125" style="223" customWidth="1"/>
    <col min="266" max="266" width="15.140625" style="223" customWidth="1"/>
    <col min="267" max="267" width="12.7109375" style="223" customWidth="1"/>
    <col min="268" max="268" width="13" style="223" customWidth="1"/>
    <col min="269" max="285" width="9.140625" style="223" customWidth="1"/>
    <col min="286" max="402" width="9.140625" style="175" customWidth="1"/>
    <col min="403" max="403" width="9.140625" style="175" hidden="1" customWidth="1"/>
    <col min="404" max="405" width="15.7109375" style="175" hidden="1" customWidth="1"/>
    <col min="406" max="406" width="11.140625" style="175" hidden="1" customWidth="1"/>
    <col min="407" max="407" width="35.42578125" style="175" hidden="1" customWidth="1"/>
    <col min="408" max="408" width="15.140625" style="175" hidden="1" customWidth="1"/>
    <col min="409" max="409" width="12.7109375" style="175" hidden="1" customWidth="1"/>
    <col min="410" max="410" width="13" style="175" hidden="1" customWidth="1"/>
    <col min="411" max="411" width="9.140625" style="175" hidden="1" customWidth="1"/>
    <col min="412" max="16384" width="9.140625" style="175"/>
  </cols>
  <sheetData>
    <row r="1" spans="1:410" ht="22.5" thickTop="1" thickBot="1" x14ac:dyDescent="0.3">
      <c r="A1" s="175">
        <f ca="1">INT(MID(CELL("filename",D6),FIND("]",CELL("filename",D6))+1,200))</f>
        <v>30</v>
      </c>
      <c r="AZ1" s="177"/>
      <c r="BA1" s="178"/>
      <c r="BB1" s="179"/>
      <c r="BC1" s="178"/>
      <c r="BD1" s="178"/>
      <c r="BE1" s="180" t="s">
        <v>251</v>
      </c>
      <c r="BF1" s="181"/>
      <c r="BG1" s="181"/>
      <c r="BH1" s="182"/>
      <c r="BI1" s="181"/>
      <c r="BJ1" s="183" t="s">
        <v>252</v>
      </c>
      <c r="BK1" s="184"/>
      <c r="BL1" s="184"/>
      <c r="BM1" s="181"/>
      <c r="BN1" s="742" t="s">
        <v>250</v>
      </c>
      <c r="BO1" s="185" t="s">
        <v>253</v>
      </c>
      <c r="BP1" s="186"/>
      <c r="BQ1" s="181"/>
      <c r="BR1" s="184"/>
      <c r="BS1" s="187"/>
      <c r="BT1" s="188"/>
      <c r="BU1" s="188"/>
      <c r="BV1" s="188"/>
      <c r="BW1" s="188"/>
      <c r="BX1" s="188"/>
      <c r="BY1" s="188"/>
      <c r="BZ1" s="181"/>
      <c r="CA1" s="181"/>
      <c r="CB1" s="188"/>
      <c r="CC1" s="188"/>
      <c r="CD1" s="188"/>
      <c r="CE1" s="188"/>
      <c r="CF1" s="188"/>
      <c r="CG1" s="188"/>
      <c r="CH1" s="188"/>
      <c r="CI1" s="188"/>
      <c r="CJ1" s="188"/>
      <c r="CK1" s="188"/>
      <c r="CL1" s="188"/>
      <c r="CM1" s="188"/>
      <c r="CN1" s="188"/>
      <c r="CO1" s="188"/>
      <c r="CP1" s="188"/>
      <c r="CQ1" s="188"/>
      <c r="CR1" s="188"/>
      <c r="CS1" s="188"/>
      <c r="CT1" s="187"/>
      <c r="CU1" s="187"/>
      <c r="CV1" s="187"/>
      <c r="CW1" s="187"/>
      <c r="CX1" s="187"/>
      <c r="CY1" s="181"/>
      <c r="CZ1" s="181"/>
      <c r="DA1" s="181"/>
      <c r="DB1" s="181"/>
      <c r="DC1" s="181"/>
      <c r="DD1" s="181"/>
      <c r="DE1" s="181"/>
      <c r="DF1" s="181"/>
      <c r="DG1" s="181"/>
      <c r="DH1" s="181"/>
      <c r="DI1" s="181"/>
      <c r="DJ1" s="181"/>
      <c r="DK1" s="181"/>
      <c r="DL1" s="181"/>
      <c r="DM1" s="181"/>
      <c r="DN1" s="181"/>
      <c r="DO1" s="181"/>
      <c r="DP1" s="181"/>
      <c r="DQ1" s="181"/>
      <c r="DR1" s="181"/>
      <c r="DS1" s="181"/>
      <c r="DT1" s="181"/>
      <c r="DU1" s="181"/>
      <c r="DV1" s="181"/>
      <c r="DW1" s="181"/>
      <c r="DX1" s="181"/>
      <c r="DY1" s="181"/>
      <c r="DZ1" s="181"/>
      <c r="EA1" s="188"/>
      <c r="EB1" s="181"/>
      <c r="EC1" s="181"/>
      <c r="ED1" s="181"/>
      <c r="EE1" s="181"/>
      <c r="EF1" s="181"/>
      <c r="EG1" s="181"/>
      <c r="EH1" s="181"/>
      <c r="EI1" s="181"/>
      <c r="EJ1" s="181"/>
      <c r="EK1" s="181"/>
      <c r="EL1" s="181"/>
      <c r="EM1" s="181"/>
      <c r="EN1" s="181"/>
      <c r="EO1" s="181"/>
      <c r="EP1" s="189"/>
      <c r="EQ1" s="181"/>
      <c r="ER1" s="181"/>
      <c r="ES1" s="181"/>
      <c r="ET1" s="181"/>
      <c r="EU1" s="181"/>
      <c r="EV1" s="181"/>
      <c r="EW1" s="181"/>
      <c r="EX1" s="181"/>
      <c r="EY1" s="181"/>
      <c r="EZ1" s="181"/>
      <c r="FA1" s="181"/>
      <c r="FB1" s="181"/>
      <c r="FC1" s="181"/>
      <c r="FD1" s="181"/>
      <c r="FE1" s="181"/>
      <c r="FF1" s="181"/>
      <c r="FG1" s="181"/>
      <c r="FH1" s="181"/>
      <c r="FI1" s="181"/>
      <c r="FJ1" s="181"/>
      <c r="FK1" s="181"/>
      <c r="FL1" s="181"/>
      <c r="FM1" s="181"/>
      <c r="FN1" s="181"/>
      <c r="FO1" s="181"/>
      <c r="FP1" s="181"/>
      <c r="FQ1" s="181"/>
      <c r="FR1" s="181"/>
      <c r="FS1" s="181"/>
      <c r="FT1" s="181"/>
      <c r="FU1" s="181"/>
      <c r="FV1" s="181"/>
      <c r="FW1" s="181"/>
      <c r="FX1" s="181"/>
      <c r="FY1" s="181"/>
      <c r="FZ1" s="181"/>
      <c r="GA1" s="181"/>
      <c r="GB1" s="181"/>
      <c r="GC1" s="181"/>
      <c r="GD1" s="181"/>
      <c r="GE1" s="181"/>
      <c r="GF1" s="181"/>
      <c r="JB1" s="175"/>
      <c r="JC1" s="175"/>
      <c r="JD1" s="175"/>
      <c r="JE1" s="175"/>
      <c r="JF1" s="175"/>
      <c r="JG1" s="175"/>
      <c r="JH1" s="175"/>
      <c r="JI1" s="175"/>
      <c r="JJ1" s="175"/>
      <c r="JK1" s="175"/>
      <c r="JL1" s="175"/>
      <c r="JM1" s="175"/>
      <c r="JN1" s="175"/>
      <c r="JO1" s="175"/>
      <c r="JP1" s="175"/>
      <c r="JQ1" s="175"/>
      <c r="JR1" s="175"/>
      <c r="JS1" s="175"/>
      <c r="JT1" s="175"/>
      <c r="JU1" s="175"/>
      <c r="JV1" s="175"/>
      <c r="JW1" s="175"/>
      <c r="JX1" s="175"/>
      <c r="JY1" s="175"/>
      <c r="ON1" s="190" t="s">
        <v>254</v>
      </c>
      <c r="OO1" s="191" t="s">
        <v>255</v>
      </c>
      <c r="OP1" s="191" t="s">
        <v>256</v>
      </c>
      <c r="OQ1" s="191" t="s">
        <v>257</v>
      </c>
      <c r="OR1" s="191" t="s">
        <v>258</v>
      </c>
      <c r="OS1" s="191" t="s">
        <v>259</v>
      </c>
      <c r="OT1" s="192" t="s">
        <v>260</v>
      </c>
    </row>
    <row r="2" spans="1:410" ht="44.45" customHeight="1" thickTop="1" thickBot="1" x14ac:dyDescent="0.3">
      <c r="AZ2" s="181"/>
      <c r="BA2" s="193"/>
      <c r="BB2" s="194"/>
      <c r="BC2" s="195"/>
      <c r="BD2" s="196"/>
      <c r="BE2" s="197" t="s">
        <v>261</v>
      </c>
      <c r="BF2" s="181"/>
      <c r="BG2" s="181"/>
      <c r="BH2" s="182"/>
      <c r="BI2" s="198" t="s">
        <v>262</v>
      </c>
      <c r="BJ2" s="199" t="s">
        <v>263</v>
      </c>
      <c r="BK2" s="200" t="s">
        <v>264</v>
      </c>
      <c r="BL2" s="201" t="s">
        <v>265</v>
      </c>
      <c r="BM2" s="181"/>
      <c r="BN2" s="743"/>
      <c r="BO2" s="202" t="s">
        <v>266</v>
      </c>
      <c r="BP2" s="203"/>
      <c r="BQ2" s="181"/>
      <c r="BR2" s="204"/>
      <c r="BS2" s="181"/>
      <c r="BT2" s="181"/>
      <c r="BU2" s="181"/>
      <c r="BV2" s="745"/>
      <c r="BW2" s="745"/>
      <c r="BX2" s="188"/>
      <c r="BY2" s="188"/>
      <c r="BZ2" s="181"/>
      <c r="CA2" s="181"/>
      <c r="CB2" s="188"/>
      <c r="CC2" s="188"/>
      <c r="CD2" s="205"/>
      <c r="CE2" s="205"/>
      <c r="CF2" s="205"/>
      <c r="CG2" s="205"/>
      <c r="CH2" s="205"/>
      <c r="CI2" s="205"/>
      <c r="CJ2" s="205"/>
      <c r="CK2" s="205"/>
      <c r="CL2" s="205"/>
      <c r="CM2" s="205"/>
      <c r="CN2" s="188"/>
      <c r="CO2" s="188"/>
      <c r="CP2" s="188"/>
      <c r="CQ2" s="188"/>
      <c r="CR2" s="188"/>
      <c r="CS2" s="188"/>
      <c r="CT2" s="187"/>
      <c r="CU2" s="187"/>
      <c r="CV2" s="187"/>
      <c r="CW2" s="187"/>
      <c r="CX2" s="187"/>
      <c r="CY2" s="181"/>
      <c r="CZ2" s="181"/>
      <c r="DA2" s="181"/>
      <c r="DB2" s="181"/>
      <c r="DC2" s="181"/>
      <c r="DD2" s="181"/>
      <c r="DE2" s="181"/>
      <c r="DF2" s="181"/>
      <c r="DG2" s="181"/>
      <c r="DH2" s="181"/>
      <c r="DI2" s="181"/>
      <c r="DJ2" s="181"/>
      <c r="DK2" s="181"/>
      <c r="DL2" s="181"/>
      <c r="DM2" s="181"/>
      <c r="DN2" s="181"/>
      <c r="DO2" s="181"/>
      <c r="DP2" s="181"/>
      <c r="DQ2" s="181"/>
      <c r="DR2" s="181"/>
      <c r="DS2" s="181"/>
      <c r="DT2" s="181"/>
      <c r="DU2" s="181"/>
      <c r="DV2" s="181"/>
      <c r="DW2" s="181"/>
      <c r="DX2" s="181"/>
      <c r="DY2" s="181"/>
      <c r="DZ2" s="181"/>
      <c r="EA2" s="188"/>
      <c r="EB2" s="181"/>
      <c r="EC2" s="206"/>
      <c r="ED2" s="206"/>
      <c r="EE2" s="206"/>
      <c r="EF2" s="181"/>
      <c r="EG2" s="181"/>
      <c r="EH2" s="181"/>
      <c r="EI2" s="181"/>
      <c r="EJ2" s="181"/>
      <c r="EK2" s="181"/>
      <c r="EL2" s="181"/>
      <c r="EM2" s="181"/>
      <c r="EN2" s="181"/>
      <c r="EO2" s="181"/>
      <c r="EP2" s="189"/>
      <c r="EQ2" s="181"/>
      <c r="ER2" s="181"/>
      <c r="ES2" s="181"/>
      <c r="ET2" s="181"/>
      <c r="EU2" s="181"/>
      <c r="EV2" s="181"/>
      <c r="EW2" s="181"/>
      <c r="EX2" s="181"/>
      <c r="EY2" s="181"/>
      <c r="EZ2" s="181"/>
      <c r="FA2" s="181"/>
      <c r="FB2" s="181"/>
      <c r="FC2" s="181"/>
      <c r="FD2" s="181"/>
      <c r="FE2" s="181"/>
      <c r="FF2" s="181"/>
      <c r="FG2" s="181"/>
      <c r="FH2" s="181"/>
      <c r="FI2" s="181"/>
      <c r="FJ2" s="181"/>
      <c r="FK2" s="181"/>
      <c r="FL2" s="181"/>
      <c r="FM2" s="181"/>
      <c r="FN2" s="181"/>
      <c r="FO2" s="181"/>
      <c r="FP2" s="181"/>
      <c r="FQ2" s="181"/>
      <c r="FR2" s="181"/>
      <c r="FS2" s="181"/>
      <c r="FT2" s="181"/>
      <c r="FU2" s="181"/>
      <c r="FV2" s="181"/>
      <c r="FW2" s="181"/>
      <c r="FX2" s="181"/>
      <c r="FY2" s="181"/>
      <c r="FZ2" s="181"/>
      <c r="GA2" s="181"/>
      <c r="GB2" s="181"/>
      <c r="GC2" s="181"/>
      <c r="GD2" s="181"/>
      <c r="GE2" s="181"/>
      <c r="GF2" s="181"/>
      <c r="JB2" s="175"/>
      <c r="JC2" s="175"/>
      <c r="JD2" s="175"/>
      <c r="JE2" s="175"/>
      <c r="JF2" s="175"/>
      <c r="JG2" s="175"/>
      <c r="JH2" s="175"/>
      <c r="JI2" s="175"/>
      <c r="JJ2" s="175"/>
      <c r="JK2" s="175"/>
      <c r="JL2" s="175"/>
      <c r="JM2" s="175"/>
      <c r="JN2" s="175"/>
      <c r="JO2" s="175"/>
      <c r="JP2" s="175"/>
      <c r="JQ2" s="175"/>
      <c r="JR2" s="175"/>
      <c r="JS2" s="175"/>
      <c r="JT2" s="175"/>
      <c r="JU2" s="175"/>
      <c r="JV2" s="175"/>
      <c r="JW2" s="175"/>
      <c r="JX2" s="175"/>
      <c r="JY2" s="175"/>
      <c r="ON2" s="207" t="s">
        <v>267</v>
      </c>
      <c r="OO2" s="208" t="s">
        <v>268</v>
      </c>
      <c r="OP2" s="208">
        <v>1001</v>
      </c>
      <c r="OQ2" s="208" t="s">
        <v>269</v>
      </c>
      <c r="OR2" s="209">
        <f ca="1">VLOOKUP($OP2,INDIRECT($ON2):INDIRECT($OO2),4,FALSE)</f>
        <v>1535.19</v>
      </c>
      <c r="OS2" s="209">
        <f ca="1">VLOOKUP($OP2,INDIRECT($ON2):INDIRECT($OO2),5,FALSE)</f>
        <v>142</v>
      </c>
      <c r="OT2" s="209">
        <f ca="1">VLOOKUP($OP2,INDIRECT($ON2):INDIRECT($OO2),6,FALSE)</f>
        <v>131</v>
      </c>
    </row>
    <row r="3" spans="1:410" ht="21" customHeight="1" thickBot="1" x14ac:dyDescent="0.3">
      <c r="E3" s="210"/>
      <c r="F3" s="211" t="s">
        <v>270</v>
      </c>
      <c r="G3" s="212"/>
      <c r="H3" s="213" t="s">
        <v>271</v>
      </c>
      <c r="I3" s="213" t="s">
        <v>272</v>
      </c>
      <c r="J3" s="214" t="s">
        <v>273</v>
      </c>
      <c r="N3" s="215"/>
      <c r="O3" s="216"/>
      <c r="AZ3" s="193" t="s">
        <v>274</v>
      </c>
      <c r="BA3" s="217"/>
      <c r="BB3" s="217"/>
      <c r="BC3" s="217"/>
      <c r="BD3" s="178"/>
      <c r="BE3" s="218" t="s">
        <v>275</v>
      </c>
      <c r="BF3" s="181"/>
      <c r="BG3" s="181"/>
      <c r="BH3" s="182"/>
      <c r="BI3" s="219">
        <f>[1]Ashadh!BN4</f>
        <v>0</v>
      </c>
      <c r="BJ3" s="219"/>
      <c r="BK3" s="219"/>
      <c r="BL3" s="219"/>
      <c r="BM3" s="181"/>
      <c r="BN3" s="744"/>
      <c r="BO3" s="220" t="s">
        <v>276</v>
      </c>
      <c r="BP3" s="221"/>
      <c r="BQ3" s="181"/>
      <c r="BR3" s="222"/>
      <c r="BS3" s="181"/>
      <c r="BT3" s="181"/>
      <c r="BU3" s="181"/>
      <c r="BV3" s="188"/>
      <c r="BW3" s="188"/>
      <c r="BX3" s="188"/>
      <c r="BY3" s="188"/>
      <c r="BZ3" s="181"/>
      <c r="CA3" s="181"/>
      <c r="CB3" s="188"/>
      <c r="CC3" s="188"/>
      <c r="CD3" s="205"/>
      <c r="CE3" s="205"/>
      <c r="CF3" s="205"/>
      <c r="CG3" s="205"/>
      <c r="CH3" s="205"/>
      <c r="CI3" s="205"/>
      <c r="CJ3" s="205"/>
      <c r="CK3" s="205"/>
      <c r="CL3" s="205"/>
      <c r="CM3" s="205"/>
      <c r="CN3" s="188"/>
      <c r="CO3" s="188"/>
      <c r="CP3" s="188"/>
      <c r="CQ3" s="188"/>
      <c r="CR3" s="188"/>
      <c r="CS3" s="188"/>
      <c r="CT3" s="187"/>
      <c r="CU3" s="187"/>
      <c r="CV3" s="187"/>
      <c r="CW3" s="187"/>
      <c r="CX3" s="187"/>
      <c r="CY3" s="177"/>
      <c r="CZ3" s="177"/>
      <c r="DA3" s="181"/>
      <c r="DB3" s="181"/>
      <c r="DC3" s="181"/>
      <c r="DD3" s="181"/>
      <c r="DE3" s="181"/>
      <c r="DF3" s="181"/>
      <c r="DG3" s="181"/>
      <c r="DH3" s="181"/>
      <c r="DI3" s="181"/>
      <c r="DJ3" s="181"/>
      <c r="DK3" s="181"/>
      <c r="DL3" s="181"/>
      <c r="DM3" s="181"/>
      <c r="DN3" s="181"/>
      <c r="DO3" s="181"/>
      <c r="DP3" s="181"/>
      <c r="DQ3" s="181"/>
      <c r="DR3" s="181"/>
      <c r="DS3" s="181"/>
      <c r="DT3" s="181"/>
      <c r="DU3" s="181"/>
      <c r="DV3" s="181"/>
      <c r="DW3" s="181"/>
      <c r="DX3" s="181"/>
      <c r="DY3" s="181"/>
      <c r="DZ3" s="181"/>
      <c r="EA3" s="188"/>
      <c r="EB3" s="181"/>
      <c r="EC3" s="206"/>
      <c r="ED3" s="206"/>
      <c r="EE3" s="206"/>
      <c r="EF3" s="181"/>
      <c r="EG3" s="181"/>
      <c r="EH3" s="181"/>
      <c r="EI3" s="181"/>
      <c r="EJ3" s="181"/>
      <c r="EK3" s="181"/>
      <c r="EL3" s="181"/>
      <c r="EM3" s="181"/>
      <c r="EN3" s="181"/>
      <c r="EO3" s="181"/>
      <c r="EP3" s="189"/>
      <c r="EQ3" s="181"/>
      <c r="ER3" s="181"/>
      <c r="ES3" s="181"/>
      <c r="ET3" s="181"/>
      <c r="EU3" s="181"/>
      <c r="EV3" s="181"/>
      <c r="EW3" s="181"/>
      <c r="EX3" s="181"/>
      <c r="EY3" s="181"/>
      <c r="EZ3" s="181"/>
      <c r="FA3" s="181"/>
      <c r="FB3" s="181"/>
      <c r="FC3" s="181"/>
      <c r="FD3" s="181"/>
      <c r="FE3" s="181"/>
      <c r="FF3" s="181"/>
      <c r="FG3" s="181"/>
      <c r="FH3" s="181"/>
      <c r="FI3" s="181"/>
      <c r="FJ3" s="181"/>
      <c r="FK3" s="181"/>
      <c r="FL3" s="181"/>
      <c r="FM3" s="181"/>
      <c r="FN3" s="181"/>
      <c r="FO3" s="181"/>
      <c r="FP3" s="181"/>
      <c r="FQ3" s="181"/>
      <c r="FR3" s="181"/>
      <c r="FS3" s="181"/>
      <c r="FT3" s="181"/>
      <c r="FU3" s="181"/>
      <c r="FV3" s="181"/>
      <c r="FW3" s="181"/>
      <c r="FX3" s="181"/>
      <c r="FY3" s="181"/>
      <c r="FZ3" s="181"/>
      <c r="GA3" s="181"/>
      <c r="GB3" s="181"/>
      <c r="GC3" s="181"/>
      <c r="GD3" s="181"/>
      <c r="GE3" s="181"/>
      <c r="GF3" s="181"/>
      <c r="JB3" s="175"/>
      <c r="JC3" s="175"/>
      <c r="JD3" s="175"/>
      <c r="JE3" s="175"/>
      <c r="JF3" s="175"/>
      <c r="JG3" s="175"/>
      <c r="JH3" s="175"/>
      <c r="JI3" s="175"/>
      <c r="JJ3" s="175"/>
      <c r="JK3" s="175"/>
      <c r="JL3" s="175"/>
      <c r="JM3" s="175"/>
      <c r="JN3" s="175"/>
      <c r="JO3" s="175"/>
      <c r="JP3" s="175"/>
      <c r="JQ3" s="175"/>
      <c r="JR3" s="175"/>
      <c r="JS3" s="175"/>
      <c r="JT3" s="175"/>
      <c r="JU3" s="175"/>
      <c r="JV3" s="175"/>
      <c r="JW3" s="175"/>
      <c r="JX3" s="175"/>
      <c r="JY3" s="175"/>
      <c r="ON3" s="223" t="s">
        <v>267</v>
      </c>
      <c r="OO3" s="224" t="s">
        <v>268</v>
      </c>
      <c r="OP3" s="224">
        <v>1002</v>
      </c>
      <c r="OQ3" s="224" t="s">
        <v>277</v>
      </c>
      <c r="OR3" s="224">
        <f ca="1">VLOOKUP($OP3,INDIRECT($ON3):INDIRECT($OO3),4,FALSE)</f>
        <v>866.25</v>
      </c>
      <c r="OS3" s="224">
        <f ca="1">VLOOKUP($OP3,INDIRECT($ON3):INDIRECT($OO3),5,FALSE)</f>
        <v>72</v>
      </c>
      <c r="OT3" s="224">
        <f ca="1">VLOOKUP($OP3,INDIRECT($ON3):INDIRECT($OO3),6,FALSE)</f>
        <v>49.3</v>
      </c>
    </row>
    <row r="4" spans="1:410" ht="21" customHeight="1" thickTop="1" thickBot="1" x14ac:dyDescent="0.3">
      <c r="F4" s="225" t="s">
        <v>278</v>
      </c>
      <c r="G4" s="226"/>
      <c r="H4" s="227">
        <f>SUM(D14:D24,D28:D35)</f>
        <v>5753.2849999999999</v>
      </c>
      <c r="I4" s="228">
        <f t="shared" ref="I4:I11" si="0">H4/24</f>
        <v>239.72020833333332</v>
      </c>
      <c r="J4" s="227">
        <f>SUM(F14:F24,F28:F35)</f>
        <v>351.57583333333332</v>
      </c>
      <c r="AZ4" s="229"/>
      <c r="BA4" s="229"/>
      <c r="BB4" s="229"/>
      <c r="BC4" s="229"/>
      <c r="BD4" s="181"/>
      <c r="BE4" s="230"/>
      <c r="BF4" s="182"/>
      <c r="BG4" s="231"/>
      <c r="BH4" s="217"/>
      <c r="BI4" s="219">
        <f>[1]Ashadh!BN5</f>
        <v>0</v>
      </c>
      <c r="BJ4" s="219"/>
      <c r="BK4" s="219"/>
      <c r="BL4" s="219"/>
      <c r="BM4" s="181"/>
      <c r="BN4" s="181"/>
      <c r="BO4" s="181"/>
      <c r="BP4" s="181"/>
      <c r="BQ4" s="181"/>
      <c r="BR4" s="222"/>
      <c r="BS4" s="181"/>
      <c r="BT4" s="181"/>
      <c r="BU4" s="181"/>
      <c r="BV4" s="232"/>
      <c r="BW4" s="232"/>
      <c r="BX4" s="188"/>
      <c r="BY4" s="188"/>
      <c r="BZ4" s="181"/>
      <c r="CA4" s="181"/>
      <c r="CB4" s="188"/>
      <c r="CC4" s="188"/>
      <c r="CD4" s="205">
        <f ca="1">CC8/7</f>
        <v>0</v>
      </c>
      <c r="CE4" s="205"/>
      <c r="CF4" s="205"/>
      <c r="CG4" s="205"/>
      <c r="CH4" s="205"/>
      <c r="CI4" s="205"/>
      <c r="CJ4" s="205"/>
      <c r="CK4" s="205"/>
      <c r="CL4" s="205"/>
      <c r="CM4" s="205"/>
      <c r="CN4" s="188"/>
      <c r="CO4" s="188"/>
      <c r="CP4" s="188"/>
      <c r="CQ4" s="188"/>
      <c r="CR4" s="188"/>
      <c r="CS4" s="188"/>
      <c r="CT4" s="187"/>
      <c r="CU4" s="187"/>
      <c r="CV4" s="187"/>
      <c r="CW4" s="187"/>
      <c r="CX4" s="187"/>
      <c r="CY4" s="177"/>
      <c r="CZ4" s="177"/>
      <c r="DA4" s="181"/>
      <c r="DB4" s="181"/>
      <c r="DC4" s="181"/>
      <c r="DD4" s="181"/>
      <c r="DE4" s="181"/>
      <c r="DF4" s="181"/>
      <c r="DG4" s="181"/>
      <c r="DH4" s="181"/>
      <c r="DI4" s="181"/>
      <c r="DJ4" s="181"/>
      <c r="DK4" s="181"/>
      <c r="DL4" s="181"/>
      <c r="DM4" s="181"/>
      <c r="DN4" s="181"/>
      <c r="DO4" s="181"/>
      <c r="DP4" s="181"/>
      <c r="DQ4" s="181"/>
      <c r="DR4" s="181"/>
      <c r="DS4" s="181"/>
      <c r="DT4" s="181"/>
      <c r="DU4" s="181"/>
      <c r="DV4" s="181"/>
      <c r="DW4" s="181"/>
      <c r="DX4" s="181"/>
      <c r="DY4" s="181"/>
      <c r="DZ4" s="181"/>
      <c r="EA4" s="188"/>
      <c r="EB4" s="181"/>
      <c r="EC4" s="206"/>
      <c r="ED4" s="206"/>
      <c r="EE4" s="206"/>
      <c r="EF4" s="181"/>
      <c r="EG4" s="181"/>
      <c r="EH4" s="181"/>
      <c r="EI4" s="181"/>
      <c r="EJ4" s="181"/>
      <c r="EK4" s="181"/>
      <c r="EL4" s="181"/>
      <c r="EM4" s="181"/>
      <c r="EN4" s="181"/>
      <c r="EO4" s="181"/>
      <c r="EP4" s="189"/>
      <c r="EQ4" s="181"/>
      <c r="ER4" s="181"/>
      <c r="ES4" s="181"/>
      <c r="ET4" s="181"/>
      <c r="EU4" s="181"/>
      <c r="EV4" s="181"/>
      <c r="EW4" s="181"/>
      <c r="EX4" s="181"/>
      <c r="EY4" s="181"/>
      <c r="EZ4" s="181"/>
      <c r="FA4" s="181"/>
      <c r="FB4" s="181"/>
      <c r="FC4" s="181"/>
      <c r="FD4" s="181"/>
      <c r="FE4" s="181"/>
      <c r="FF4" s="181"/>
      <c r="FG4" s="181"/>
      <c r="FH4" s="181"/>
      <c r="FI4" s="181"/>
      <c r="FJ4" s="181"/>
      <c r="FK4" s="181"/>
      <c r="FL4" s="181"/>
      <c r="FM4" s="181"/>
      <c r="FN4" s="181"/>
      <c r="FO4" s="181"/>
      <c r="FP4" s="181"/>
      <c r="FQ4" s="181"/>
      <c r="FR4" s="181"/>
      <c r="FS4" s="181"/>
      <c r="FT4" s="181"/>
      <c r="FU4" s="181"/>
      <c r="FV4" s="181"/>
      <c r="FW4" s="181"/>
      <c r="FX4" s="181"/>
      <c r="FY4" s="181"/>
      <c r="FZ4" s="181"/>
      <c r="GA4" s="181"/>
      <c r="GB4" s="181"/>
      <c r="GC4" s="181"/>
      <c r="GD4" s="181"/>
      <c r="GE4" s="181"/>
      <c r="GF4" s="181"/>
      <c r="JB4" s="175"/>
      <c r="JC4" s="175"/>
      <c r="JD4" s="175"/>
      <c r="JE4" s="175"/>
      <c r="JF4" s="175"/>
      <c r="JG4" s="175"/>
      <c r="JH4" s="175"/>
      <c r="JI4" s="175"/>
      <c r="JJ4" s="175"/>
      <c r="JK4" s="175"/>
      <c r="JL4" s="175"/>
      <c r="JM4" s="175"/>
      <c r="JN4" s="175"/>
      <c r="JO4" s="175"/>
      <c r="JP4" s="175"/>
      <c r="JQ4" s="175"/>
      <c r="JR4" s="175"/>
      <c r="JS4" s="175"/>
      <c r="JT4" s="175"/>
      <c r="JU4" s="175"/>
      <c r="JV4" s="175"/>
      <c r="JW4" s="175"/>
      <c r="JX4" s="175"/>
      <c r="JY4" s="175"/>
      <c r="ON4" s="223" t="s">
        <v>267</v>
      </c>
      <c r="OO4" s="224" t="s">
        <v>268</v>
      </c>
      <c r="OP4" s="224">
        <v>1003</v>
      </c>
      <c r="OQ4" s="224" t="s">
        <v>279</v>
      </c>
      <c r="OR4" s="224">
        <f ca="1">VLOOKUP($OP4,INDIRECT($ON4):INDIRECT($OO4),4,FALSE)</f>
        <v>937.3</v>
      </c>
      <c r="OS4" s="224">
        <f ca="1">VLOOKUP($OP4,INDIRECT($ON4):INDIRECT($OO4),5,FALSE)</f>
        <v>68</v>
      </c>
      <c r="OT4" s="224">
        <f ca="1">VLOOKUP($OP4,INDIRECT($ON4):INDIRECT($OO4),6,FALSE)</f>
        <v>69</v>
      </c>
    </row>
    <row r="5" spans="1:410" ht="21" customHeight="1" thickTop="1" thickBot="1" x14ac:dyDescent="0.3">
      <c r="C5" s="233"/>
      <c r="D5" s="233"/>
      <c r="E5" s="234">
        <f ca="1">INT(MID(CELL("filename",D6),FIND("]",CELL("filename",D6))+1,200))</f>
        <v>30</v>
      </c>
      <c r="F5" s="235" t="s">
        <v>12</v>
      </c>
      <c r="G5" s="236"/>
      <c r="H5" s="237">
        <f>SUM(D25:D27)</f>
        <v>93.84</v>
      </c>
      <c r="I5" s="238">
        <f t="shared" si="0"/>
        <v>3.91</v>
      </c>
      <c r="J5" s="237">
        <f>SUM(F25:F27)</f>
        <v>19.2</v>
      </c>
      <c r="K5" s="239"/>
      <c r="L5" s="239"/>
      <c r="M5" s="239"/>
      <c r="N5" s="239"/>
      <c r="O5" s="239"/>
      <c r="P5" s="239"/>
      <c r="Q5" s="239"/>
      <c r="R5" s="239"/>
      <c r="S5" s="239"/>
      <c r="AN5" s="240" t="s">
        <v>7</v>
      </c>
      <c r="AO5" s="241"/>
      <c r="AZ5" s="229" t="s">
        <v>280</v>
      </c>
      <c r="BA5" s="229"/>
      <c r="BB5" s="229"/>
      <c r="BC5" s="229"/>
      <c r="BD5" s="242"/>
      <c r="BE5" s="242"/>
      <c r="BF5" s="242"/>
      <c r="BG5" s="242"/>
      <c r="BH5" s="231"/>
      <c r="BI5" s="243" t="s">
        <v>281</v>
      </c>
      <c r="BJ5" s="244" t="e">
        <f>BK5+#REF!</f>
        <v>#REF!</v>
      </c>
      <c r="BK5" s="244">
        <v>0.74</v>
      </c>
      <c r="BL5" s="245" t="e">
        <f>BK5+#REF!</f>
        <v>#REF!</v>
      </c>
      <c r="BM5" s="181"/>
      <c r="BN5" s="246" t="s">
        <v>282</v>
      </c>
      <c r="BO5" s="199"/>
      <c r="BP5" s="199" t="s">
        <v>283</v>
      </c>
      <c r="BQ5" s="247" t="s">
        <v>284</v>
      </c>
      <c r="BR5" s="248"/>
      <c r="BS5" s="249"/>
      <c r="BT5" s="250"/>
      <c r="BU5" s="188"/>
      <c r="BV5" s="188"/>
      <c r="BW5" s="188"/>
      <c r="BX5" s="188"/>
      <c r="BY5" s="188"/>
      <c r="BZ5" s="188"/>
      <c r="CA5" s="188"/>
      <c r="CB5" s="188"/>
      <c r="CC5" s="188"/>
      <c r="CD5" s="205"/>
      <c r="CE5" s="205"/>
      <c r="CF5" s="205"/>
      <c r="CG5" s="205"/>
      <c r="CH5" s="205"/>
      <c r="CI5" s="205"/>
      <c r="CJ5" s="205"/>
      <c r="CK5" s="205"/>
      <c r="CL5" s="205"/>
      <c r="CM5" s="205"/>
      <c r="CN5" s="188"/>
      <c r="CO5" s="188"/>
      <c r="CP5" s="188"/>
      <c r="CQ5" s="188"/>
      <c r="CR5" s="188"/>
      <c r="CS5" s="188"/>
      <c r="CT5" s="187"/>
      <c r="CU5" s="187"/>
      <c r="CV5" s="187"/>
      <c r="CW5" s="187"/>
      <c r="CX5" s="187"/>
      <c r="CY5" s="177"/>
      <c r="CZ5" s="177"/>
      <c r="DA5" s="181"/>
      <c r="DB5" s="181"/>
      <c r="DC5" s="181"/>
      <c r="DD5" s="181"/>
      <c r="DE5" s="181"/>
      <c r="DF5" s="181"/>
      <c r="DG5" s="181"/>
      <c r="DH5" s="181"/>
      <c r="DI5" s="181"/>
      <c r="DJ5" s="181"/>
      <c r="DK5" s="181"/>
      <c r="DL5" s="181"/>
      <c r="DM5" s="181"/>
      <c r="DN5" s="181"/>
      <c r="DO5" s="181"/>
      <c r="DP5" s="181"/>
      <c r="DQ5" s="181"/>
      <c r="DR5" s="181"/>
      <c r="DS5" s="181"/>
      <c r="DT5" s="181"/>
      <c r="DU5" s="181"/>
      <c r="DV5" s="181"/>
      <c r="DW5" s="181"/>
      <c r="DX5" s="181"/>
      <c r="DY5" s="181"/>
      <c r="DZ5" s="181"/>
      <c r="EA5" s="188"/>
      <c r="EB5" s="181"/>
      <c r="EC5" s="206"/>
      <c r="ED5" s="206"/>
      <c r="EE5" s="206"/>
      <c r="EF5" s="181"/>
      <c r="EG5" s="181"/>
      <c r="EH5" s="181"/>
      <c r="EI5" s="181"/>
      <c r="EJ5" s="181"/>
      <c r="EK5" s="181"/>
      <c r="EL5" s="181"/>
      <c r="EM5" s="181"/>
      <c r="EN5" s="181"/>
      <c r="EO5" s="181"/>
      <c r="EP5" s="189"/>
      <c r="EQ5" s="181"/>
      <c r="ER5" s="181"/>
      <c r="ES5" s="181"/>
      <c r="ET5" s="181"/>
      <c r="EU5" s="181"/>
      <c r="EV5" s="181"/>
      <c r="EW5" s="181"/>
      <c r="EX5" s="181"/>
      <c r="EY5" s="181"/>
      <c r="EZ5" s="181"/>
      <c r="FA5" s="181"/>
      <c r="FB5" s="181"/>
      <c r="FC5" s="181"/>
      <c r="FD5" s="181"/>
      <c r="FE5" s="181"/>
      <c r="FF5" s="181"/>
      <c r="FG5" s="181"/>
      <c r="FH5" s="181"/>
      <c r="FI5" s="181"/>
      <c r="FJ5" s="181"/>
      <c r="FK5" s="181"/>
      <c r="FL5" s="181"/>
      <c r="FM5" s="181"/>
      <c r="FN5" s="181"/>
      <c r="FO5" s="181"/>
      <c r="FP5" s="181"/>
      <c r="FQ5" s="181"/>
      <c r="FR5" s="181"/>
      <c r="FS5" s="181"/>
      <c r="FT5" s="181"/>
      <c r="FU5" s="181"/>
      <c r="FV5" s="181"/>
      <c r="FW5" s="181"/>
      <c r="FX5" s="181"/>
      <c r="FY5" s="181"/>
      <c r="FZ5" s="181"/>
      <c r="GA5" s="181"/>
      <c r="GB5" s="181"/>
      <c r="GC5" s="181"/>
      <c r="GD5" s="181"/>
      <c r="GE5" s="181"/>
      <c r="GF5" s="181"/>
      <c r="JB5" s="175"/>
      <c r="JC5" s="175"/>
      <c r="JD5" s="175"/>
      <c r="JE5" s="175"/>
      <c r="JF5" s="175"/>
      <c r="JG5" s="175"/>
      <c r="JH5" s="175"/>
      <c r="JI5" s="175"/>
      <c r="JJ5" s="175"/>
      <c r="JK5" s="175"/>
      <c r="JL5" s="175"/>
      <c r="JM5" s="175"/>
      <c r="JN5" s="175"/>
      <c r="JO5" s="175"/>
      <c r="JP5" s="175"/>
      <c r="JQ5" s="175"/>
      <c r="JR5" s="175"/>
      <c r="JS5" s="175"/>
      <c r="JT5" s="175"/>
      <c r="JU5" s="175"/>
      <c r="JV5" s="175"/>
      <c r="JW5" s="175"/>
      <c r="JX5" s="175"/>
      <c r="JY5" s="175"/>
      <c r="ON5" s="223" t="s">
        <v>267</v>
      </c>
      <c r="OO5" s="224" t="s">
        <v>268</v>
      </c>
      <c r="OP5" s="224">
        <v>1004</v>
      </c>
      <c r="OQ5" s="224" t="s">
        <v>285</v>
      </c>
      <c r="OR5" s="224">
        <f ca="1">VLOOKUP($OP5,INDIRECT($ON5):INDIRECT($OO5),4,FALSE)</f>
        <v>1230</v>
      </c>
      <c r="OS5" s="224">
        <f ca="1">VLOOKUP($OP5,INDIRECT($ON5):INDIRECT($OO5),5,FALSE)</f>
        <v>58.2</v>
      </c>
      <c r="OT5" s="224">
        <f ca="1">VLOOKUP($OP5,INDIRECT($ON5):INDIRECT($OO5),6,FALSE)</f>
        <v>47.6</v>
      </c>
    </row>
    <row r="6" spans="1:410" ht="21" customHeight="1" thickBot="1" x14ac:dyDescent="0.3">
      <c r="C6" s="251" t="s">
        <v>286</v>
      </c>
      <c r="D6" s="746" t="str">
        <f ca="1">"2079/"&amp;"9/"&amp;INT(MID(CELL("filename",D6),FIND("]",CELL("filename",D6))+1,200))</f>
        <v>2079/9/30</v>
      </c>
      <c r="E6" s="747"/>
      <c r="F6" s="235" t="s">
        <v>287</v>
      </c>
      <c r="G6" s="236"/>
      <c r="H6" s="237">
        <f>T47</f>
        <v>3270.29</v>
      </c>
      <c r="I6" s="238">
        <f t="shared" si="0"/>
        <v>136.26208333333332</v>
      </c>
      <c r="J6" s="237">
        <f>V47</f>
        <v>282.3</v>
      </c>
      <c r="K6" s="748" t="s">
        <v>288</v>
      </c>
      <c r="L6" s="749"/>
      <c r="M6" s="750"/>
      <c r="O6" s="252" t="s">
        <v>289</v>
      </c>
      <c r="P6" s="253" t="e">
        <f ca="1">INDIRECT("'0'!O9")</f>
        <v>#REF!</v>
      </c>
      <c r="Q6" s="253"/>
      <c r="AG6" s="175">
        <v>1</v>
      </c>
      <c r="AH6" s="254" t="s">
        <v>290</v>
      </c>
      <c r="AI6" s="751" t="s">
        <v>291</v>
      </c>
      <c r="AJ6" s="751"/>
      <c r="AK6" s="255">
        <v>1582.7400000000002</v>
      </c>
      <c r="AL6" s="697"/>
      <c r="AM6" s="697"/>
      <c r="AN6" s="256"/>
      <c r="AO6" s="257">
        <v>4</v>
      </c>
      <c r="AZ6" s="258"/>
      <c r="BA6" s="258">
        <v>1001</v>
      </c>
      <c r="BB6" s="258">
        <v>1002</v>
      </c>
      <c r="BC6" s="258">
        <v>1003</v>
      </c>
      <c r="BD6" s="259">
        <v>1004</v>
      </c>
      <c r="BE6" s="259">
        <v>1005</v>
      </c>
      <c r="BF6" s="259">
        <v>1006</v>
      </c>
      <c r="BG6" s="259">
        <v>1008</v>
      </c>
      <c r="BH6" s="231">
        <v>1010</v>
      </c>
      <c r="BI6" s="230"/>
      <c r="BJ6">
        <v>1012</v>
      </c>
      <c r="BK6">
        <v>1013</v>
      </c>
      <c r="BL6">
        <v>1014</v>
      </c>
      <c r="BM6" s="182"/>
      <c r="BN6" s="260" t="s">
        <v>292</v>
      </c>
      <c r="BO6" s="261"/>
      <c r="BP6" s="262"/>
      <c r="BQ6" s="263"/>
      <c r="BR6" s="248"/>
      <c r="BS6" s="187"/>
      <c r="BT6" s="264" t="s">
        <v>292</v>
      </c>
      <c r="BU6" s="265">
        <v>1015</v>
      </c>
      <c r="BV6" s="266">
        <v>1016</v>
      </c>
      <c r="BW6" s="267">
        <v>1017</v>
      </c>
      <c r="BX6" s="267">
        <v>1018</v>
      </c>
      <c r="BY6" s="267">
        <v>1019</v>
      </c>
      <c r="BZ6">
        <v>1020</v>
      </c>
      <c r="CA6" s="188">
        <v>2025</v>
      </c>
      <c r="CB6">
        <v>1021</v>
      </c>
      <c r="CC6">
        <v>1022</v>
      </c>
      <c r="CD6" s="188"/>
      <c r="CE6" s="205"/>
      <c r="CF6" s="205"/>
      <c r="CG6" s="205"/>
      <c r="CH6" s="205"/>
      <c r="CI6" s="205"/>
      <c r="CJ6" s="205"/>
      <c r="CK6" s="205"/>
      <c r="CL6" s="205"/>
      <c r="CM6" s="205"/>
      <c r="CN6" s="205"/>
      <c r="CO6" s="188"/>
      <c r="CP6" s="188"/>
      <c r="CQ6" s="188"/>
      <c r="CR6" s="188"/>
      <c r="CS6" s="188"/>
      <c r="CT6" s="188"/>
      <c r="CU6" s="187"/>
      <c r="CV6" s="187"/>
      <c r="CW6" s="187"/>
      <c r="CX6" s="187"/>
      <c r="CY6" s="187"/>
      <c r="CZ6" s="177"/>
      <c r="DA6" s="177"/>
      <c r="DB6" s="181"/>
      <c r="DC6" s="181"/>
      <c r="DD6" s="181"/>
      <c r="DE6" s="181"/>
      <c r="DF6" s="181"/>
      <c r="DG6" s="181"/>
      <c r="DH6" s="181"/>
      <c r="DI6" s="181"/>
      <c r="DJ6" s="181"/>
      <c r="DK6" s="181"/>
      <c r="DL6" s="181"/>
      <c r="DM6" s="181"/>
      <c r="DN6" s="181"/>
      <c r="DO6" s="181"/>
      <c r="DP6" s="181"/>
      <c r="DQ6" s="181"/>
      <c r="DR6" s="181"/>
      <c r="DS6" s="181"/>
      <c r="DT6" s="181"/>
      <c r="DU6" s="181"/>
      <c r="DV6" s="181"/>
      <c r="DW6" s="181"/>
      <c r="DX6" s="181"/>
      <c r="DY6" s="181"/>
      <c r="DZ6" s="181"/>
      <c r="EA6" s="188"/>
      <c r="EB6" s="181"/>
      <c r="EC6" s="181"/>
      <c r="ED6" s="206"/>
      <c r="EE6" s="206"/>
      <c r="EF6" s="206"/>
      <c r="EG6" s="181"/>
      <c r="EH6" s="181"/>
      <c r="EI6" s="181"/>
      <c r="EJ6" s="181"/>
      <c r="EK6" s="181"/>
      <c r="EL6" s="181"/>
      <c r="EM6" s="181"/>
      <c r="EN6" s="181"/>
      <c r="EO6" s="181"/>
      <c r="EP6" s="181"/>
      <c r="EQ6" s="181"/>
      <c r="ER6" s="189"/>
      <c r="ES6" s="181"/>
      <c r="ET6" s="181"/>
      <c r="EU6" s="181"/>
      <c r="EV6" s="181"/>
      <c r="EW6" s="181"/>
      <c r="EX6" s="181"/>
      <c r="EY6" s="181"/>
      <c r="EZ6" s="181"/>
      <c r="FA6" s="181"/>
      <c r="FB6" s="181"/>
      <c r="FC6" s="181"/>
      <c r="FD6" s="181"/>
      <c r="FE6" s="181"/>
      <c r="FF6" s="181"/>
      <c r="FG6" s="181"/>
      <c r="FH6" s="181"/>
      <c r="FI6" s="181"/>
      <c r="FJ6" s="181"/>
      <c r="FK6" s="181"/>
      <c r="FL6" s="181"/>
      <c r="FM6" s="181"/>
      <c r="FN6" s="181"/>
      <c r="FO6" s="181"/>
      <c r="FP6" s="181"/>
      <c r="FQ6" s="181"/>
      <c r="FR6" s="181"/>
      <c r="FS6" s="181"/>
      <c r="FT6" s="181"/>
      <c r="FU6" s="181"/>
      <c r="FV6" s="181"/>
      <c r="FW6" s="181"/>
      <c r="FX6" s="181"/>
      <c r="FY6" s="181"/>
      <c r="FZ6" s="181"/>
      <c r="GA6" s="181"/>
      <c r="GB6" s="181"/>
      <c r="GC6" s="181"/>
      <c r="GD6" s="181"/>
      <c r="GE6" s="181"/>
      <c r="GF6" s="181"/>
      <c r="JB6" s="175"/>
      <c r="JC6" s="175"/>
      <c r="JD6" s="175"/>
      <c r="JE6" s="175"/>
      <c r="JF6" s="175"/>
      <c r="JG6" s="175"/>
      <c r="JH6" s="175"/>
      <c r="JI6" s="175"/>
      <c r="JJ6" s="175"/>
      <c r="JK6" s="175"/>
      <c r="JL6" s="175"/>
      <c r="JM6" s="175"/>
      <c r="JN6" s="175"/>
      <c r="JO6" s="175"/>
      <c r="JP6" s="175"/>
      <c r="JQ6" s="175"/>
      <c r="JR6" s="175"/>
      <c r="JS6" s="175"/>
      <c r="JT6" s="175"/>
      <c r="JU6" s="175"/>
      <c r="JV6" s="175"/>
      <c r="JW6" s="175"/>
      <c r="JX6" s="175"/>
      <c r="JY6" s="175"/>
      <c r="ON6" s="223" t="s">
        <v>267</v>
      </c>
      <c r="OO6" s="224" t="s">
        <v>268</v>
      </c>
      <c r="OP6" s="224">
        <v>1005</v>
      </c>
      <c r="OQ6" s="224" t="s">
        <v>293</v>
      </c>
      <c r="OR6" s="224">
        <f ca="1">VLOOKUP($OP6,INDIRECT($ON6):INDIRECT($OO6),4,FALSE)</f>
        <v>184</v>
      </c>
      <c r="OS6" s="224">
        <f ca="1">VLOOKUP($OP6,INDIRECT($ON6):INDIRECT($OO6),5,FALSE)</f>
        <v>29</v>
      </c>
      <c r="OT6" s="224">
        <f ca="1">VLOOKUP($OP6,INDIRECT($ON6):INDIRECT($OO6),6,FALSE)</f>
        <v>10.3</v>
      </c>
    </row>
    <row r="7" spans="1:410" ht="21" customHeight="1" thickTop="1" thickBot="1" x14ac:dyDescent="0.3">
      <c r="C7" s="268" t="s">
        <v>294</v>
      </c>
      <c r="D7" s="752" t="str">
        <f ca="1">IFERROR([2]!DateBStoAD(D6),"")</f>
        <v/>
      </c>
      <c r="E7" s="753"/>
      <c r="F7" s="235" t="s">
        <v>7</v>
      </c>
      <c r="G7" s="236"/>
      <c r="H7" s="237">
        <f>SUM(I14:I84,N14:N82)</f>
        <v>8140.9460000000008</v>
      </c>
      <c r="I7" s="238">
        <f t="shared" si="0"/>
        <v>339.20608333333337</v>
      </c>
      <c r="J7" s="237">
        <f>SUM(K14:K84,P14:P82)</f>
        <v>392.42437500000011</v>
      </c>
      <c r="K7" s="269" t="s">
        <v>295</v>
      </c>
      <c r="L7" s="270">
        <v>2</v>
      </c>
      <c r="M7" s="271">
        <f>VLOOKUP($L7,$AG$6:$AK$106,5,FALSE)</f>
        <v>1382.7400000000002</v>
      </c>
      <c r="N7" s="175" t="s">
        <v>296</v>
      </c>
      <c r="O7" s="272" t="e">
        <f ca="1">ABS(O9-P6)*100</f>
        <v>#REF!</v>
      </c>
      <c r="P7" s="175" t="e">
        <f ca="1">IF(O9&gt;P6,"cm up","cm down")</f>
        <v>#REF!</v>
      </c>
      <c r="AG7" s="175">
        <v>2</v>
      </c>
      <c r="AH7" s="254" t="s">
        <v>297</v>
      </c>
      <c r="AK7" s="255">
        <v>1382.7400000000002</v>
      </c>
      <c r="AN7" s="256"/>
      <c r="AO7" s="257">
        <v>2.6175000000000002</v>
      </c>
      <c r="AW7"/>
      <c r="AZ7" s="198" t="s">
        <v>298</v>
      </c>
      <c r="BA7" s="273" t="s">
        <v>269</v>
      </c>
      <c r="BB7" s="273" t="s">
        <v>299</v>
      </c>
      <c r="BC7" s="273" t="s">
        <v>279</v>
      </c>
      <c r="BD7" s="273" t="s">
        <v>300</v>
      </c>
      <c r="BE7" s="273" t="s">
        <v>293</v>
      </c>
      <c r="BF7" s="273" t="s">
        <v>301</v>
      </c>
      <c r="BG7" s="273" t="s">
        <v>302</v>
      </c>
      <c r="BH7" s="273" t="s">
        <v>303</v>
      </c>
      <c r="BI7" s="201" t="s">
        <v>304</v>
      </c>
      <c r="BJ7" s="274" t="s">
        <v>305</v>
      </c>
      <c r="BK7" s="274" t="s">
        <v>306</v>
      </c>
      <c r="BL7" s="274" t="s">
        <v>307</v>
      </c>
      <c r="BM7" s="275" t="s">
        <v>308</v>
      </c>
      <c r="BN7" s="276" t="s">
        <v>287</v>
      </c>
      <c r="BO7" s="277"/>
      <c r="BP7" s="262"/>
      <c r="BQ7" s="278"/>
      <c r="BR7" s="184"/>
      <c r="BS7" s="279"/>
      <c r="BT7" s="280" t="s">
        <v>298</v>
      </c>
      <c r="BU7" s="273" t="s">
        <v>309</v>
      </c>
      <c r="BV7" s="273" t="s">
        <v>310</v>
      </c>
      <c r="BW7" s="273" t="s">
        <v>311</v>
      </c>
      <c r="BX7" s="273" t="s">
        <v>312</v>
      </c>
      <c r="BY7" s="273" t="s">
        <v>313</v>
      </c>
      <c r="BZ7" s="273" t="s">
        <v>314</v>
      </c>
      <c r="CA7" s="273" t="s">
        <v>315</v>
      </c>
      <c r="CB7" s="273" t="s">
        <v>316</v>
      </c>
      <c r="CC7" s="273" t="s">
        <v>317</v>
      </c>
      <c r="CD7" s="281" t="s">
        <v>318</v>
      </c>
      <c r="CE7" s="188"/>
      <c r="CF7" s="188"/>
      <c r="CG7" s="188"/>
      <c r="CH7" s="188"/>
      <c r="CI7" s="188"/>
      <c r="CJ7" s="188"/>
      <c r="CK7" s="188"/>
      <c r="CL7" s="188"/>
      <c r="CM7" s="188"/>
      <c r="CN7" s="188"/>
      <c r="CO7" s="188"/>
      <c r="CP7" s="188"/>
      <c r="CQ7" s="188"/>
      <c r="CR7" s="188"/>
      <c r="CS7" s="187"/>
      <c r="CT7" s="187"/>
      <c r="CU7" s="187"/>
      <c r="CV7" s="187"/>
      <c r="CW7" s="187"/>
      <c r="CX7" s="177"/>
      <c r="CY7" s="177"/>
      <c r="CZ7" s="181"/>
      <c r="DA7" s="181"/>
      <c r="DB7" s="181"/>
      <c r="DC7" s="181"/>
      <c r="DD7" s="181"/>
      <c r="DE7" s="181"/>
      <c r="DF7" s="181"/>
      <c r="DG7" s="181"/>
      <c r="DH7" s="181"/>
      <c r="DI7" s="181"/>
      <c r="DJ7" s="181"/>
      <c r="DK7" s="181"/>
      <c r="DL7" s="181"/>
      <c r="DM7" s="181"/>
      <c r="DN7" s="181"/>
      <c r="DO7" s="181"/>
      <c r="DP7" s="181"/>
      <c r="DQ7" s="181"/>
      <c r="DR7" s="181"/>
      <c r="DS7" s="181"/>
      <c r="DT7" s="181"/>
      <c r="DU7" s="181"/>
      <c r="DV7" s="181"/>
      <c r="DW7" s="181"/>
      <c r="DX7" s="181"/>
      <c r="DY7" s="181"/>
      <c r="DZ7" s="188"/>
      <c r="EA7" s="181"/>
      <c r="EB7" s="206"/>
      <c r="EC7" s="206"/>
      <c r="ED7" s="206"/>
      <c r="EE7" s="181"/>
      <c r="EF7" s="181"/>
      <c r="EG7" s="181"/>
      <c r="EH7" s="181"/>
      <c r="EI7" s="181"/>
      <c r="EJ7" s="181"/>
      <c r="EK7" s="181"/>
      <c r="EL7" s="181"/>
      <c r="EM7" s="181"/>
      <c r="EN7" s="181"/>
      <c r="EO7" s="181"/>
      <c r="EP7" s="181"/>
      <c r="EQ7" s="189"/>
      <c r="ER7" s="181"/>
      <c r="ES7" s="181"/>
      <c r="ET7" s="181"/>
      <c r="EU7" s="181"/>
      <c r="EV7" s="181"/>
      <c r="EW7" s="181"/>
      <c r="EX7" s="181"/>
      <c r="EY7" s="181"/>
      <c r="EZ7" s="181"/>
      <c r="FA7" s="181"/>
      <c r="FB7" s="181"/>
      <c r="FC7" s="181"/>
      <c r="FD7" s="181"/>
      <c r="FE7" s="181"/>
      <c r="FF7" s="181"/>
      <c r="FG7" s="181"/>
      <c r="FH7" s="181"/>
      <c r="FI7" s="181"/>
      <c r="FJ7" s="181"/>
      <c r="FK7" s="181"/>
      <c r="FL7" s="181"/>
      <c r="FM7" s="181"/>
      <c r="FN7" s="181"/>
      <c r="FO7" s="181"/>
      <c r="FP7" s="181"/>
      <c r="FQ7" s="181"/>
      <c r="FR7" s="181"/>
      <c r="FS7" s="181"/>
      <c r="FT7" s="181"/>
      <c r="FU7" s="181"/>
      <c r="FV7" s="181"/>
      <c r="FW7" s="181"/>
      <c r="FX7" s="181"/>
      <c r="FY7" s="181"/>
      <c r="FZ7" s="181"/>
      <c r="GA7" s="181"/>
      <c r="GB7" s="181"/>
      <c r="GC7" s="181"/>
      <c r="GD7" s="181"/>
      <c r="GE7" s="181"/>
      <c r="GF7" s="181"/>
      <c r="JB7" s="175"/>
      <c r="JC7" s="175"/>
      <c r="JD7" s="175"/>
      <c r="JE7" s="175"/>
      <c r="JF7" s="175"/>
      <c r="JG7" s="175"/>
      <c r="JH7" s="175"/>
      <c r="JI7" s="175"/>
      <c r="JJ7" s="175"/>
      <c r="JK7" s="175"/>
      <c r="JL7" s="175"/>
      <c r="JM7" s="175"/>
      <c r="JN7" s="175"/>
      <c r="JO7" s="175"/>
      <c r="JP7" s="175"/>
      <c r="JQ7" s="175"/>
      <c r="JR7" s="175"/>
      <c r="JS7" s="175"/>
      <c r="JT7" s="175"/>
      <c r="JU7" s="175"/>
      <c r="JV7" s="175"/>
      <c r="JW7" s="175"/>
      <c r="JX7" s="175"/>
      <c r="JY7" s="175"/>
      <c r="ON7" s="223" t="s">
        <v>267</v>
      </c>
      <c r="OO7" s="224" t="s">
        <v>268</v>
      </c>
      <c r="OP7" s="224">
        <v>1006</v>
      </c>
      <c r="OQ7" s="224" t="s">
        <v>301</v>
      </c>
      <c r="OR7" s="224">
        <f ca="1">VLOOKUP($OP7,INDIRECT($ON7):INDIRECT($OO7),4,FALSE)</f>
        <v>355.15699999999998</v>
      </c>
      <c r="OS7" s="224">
        <f ca="1">VLOOKUP($OP7,INDIRECT($ON7):INDIRECT($OO7),5,FALSE)</f>
        <v>17.100000000000001</v>
      </c>
      <c r="OT7" s="224">
        <f ca="1">VLOOKUP($OP7,INDIRECT($ON7):INDIRECT($OO7),6,FALSE)</f>
        <v>17</v>
      </c>
    </row>
    <row r="8" spans="1:410" ht="21" customHeight="1" thickBot="1" x14ac:dyDescent="0.3">
      <c r="C8" s="282" t="s">
        <v>319</v>
      </c>
      <c r="D8" s="754" t="str">
        <f ca="1">TEXT(D7,"dddd")</f>
        <v/>
      </c>
      <c r="E8" s="755"/>
      <c r="F8" s="283" t="s">
        <v>320</v>
      </c>
      <c r="G8" s="284"/>
      <c r="H8" s="285">
        <f ca="1">D47</f>
        <v>856521.58523959992</v>
      </c>
      <c r="I8" s="286">
        <f t="shared" ca="1" si="0"/>
        <v>35688.399384983328</v>
      </c>
      <c r="J8" s="285">
        <f>F47</f>
        <v>263.2</v>
      </c>
      <c r="K8" s="287" t="s">
        <v>321</v>
      </c>
      <c r="L8" s="288">
        <v>6015</v>
      </c>
      <c r="M8" s="289">
        <f>VLOOKUP($L8,$AG$6:$AK$106,5,FALSE)</f>
        <v>50.070999999999998</v>
      </c>
      <c r="N8" s="756" t="s">
        <v>322</v>
      </c>
      <c r="O8" s="757"/>
      <c r="P8" s="758"/>
      <c r="Q8" s="290"/>
      <c r="S8" s="759" t="s">
        <v>323</v>
      </c>
      <c r="T8" s="760"/>
      <c r="U8" s="760"/>
      <c r="V8" s="760"/>
      <c r="W8" s="760"/>
      <c r="X8" s="760"/>
      <c r="Y8" s="760"/>
      <c r="Z8" s="761"/>
      <c r="AA8" s="207"/>
      <c r="AB8" s="291"/>
      <c r="AG8" s="175">
        <v>3</v>
      </c>
      <c r="AH8" s="254" t="s">
        <v>249</v>
      </c>
      <c r="AK8" s="292">
        <v>0.75694444444444442</v>
      </c>
      <c r="AN8" s="256"/>
      <c r="AO8" s="257">
        <v>1.3721666666666668</v>
      </c>
      <c r="AZ8" s="293" t="s">
        <v>324</v>
      </c>
      <c r="BA8" s="294">
        <f ca="1">VLOOKUP(BA$6,$OP$2:$OT$300,3,FALSE)</f>
        <v>1535.19</v>
      </c>
      <c r="BB8" s="294">
        <f t="shared" ref="BB8:BL8" ca="1" si="1">VLOOKUP(BB$6,$OP$2:$OT$300,3,FALSE)</f>
        <v>866.25</v>
      </c>
      <c r="BC8" s="294">
        <f t="shared" ca="1" si="1"/>
        <v>937.3</v>
      </c>
      <c r="BD8" s="294">
        <f t="shared" ca="1" si="1"/>
        <v>1230</v>
      </c>
      <c r="BE8" s="294">
        <f t="shared" ca="1" si="1"/>
        <v>184</v>
      </c>
      <c r="BF8" s="294">
        <f t="shared" ca="1" si="1"/>
        <v>355.15699999999998</v>
      </c>
      <c r="BG8" s="294">
        <f t="shared" ca="1" si="1"/>
        <v>272.16000000000003</v>
      </c>
      <c r="BH8" s="294">
        <f t="shared" ca="1" si="1"/>
        <v>112.508</v>
      </c>
      <c r="BI8" s="295">
        <f ca="1">SUM(BA8:BH8)</f>
        <v>5492.5649999999996</v>
      </c>
      <c r="BJ8" s="294">
        <f t="shared" ca="1" si="1"/>
        <v>54</v>
      </c>
      <c r="BK8" s="294">
        <f t="shared" ca="1" si="1"/>
        <v>23.64</v>
      </c>
      <c r="BL8" s="294">
        <f t="shared" ca="1" si="1"/>
        <v>16.2</v>
      </c>
      <c r="BM8" s="295">
        <f ca="1">SUM(BJ8:BL8)</f>
        <v>93.84</v>
      </c>
      <c r="BN8" s="276" t="s">
        <v>325</v>
      </c>
      <c r="BO8" s="277"/>
      <c r="BP8" s="262"/>
      <c r="BQ8" s="278"/>
      <c r="BR8" s="296"/>
      <c r="BS8" s="296"/>
      <c r="BT8" s="280" t="s">
        <v>324</v>
      </c>
      <c r="BU8" s="294">
        <f ca="1">VLOOKUP(BU$6,$OP$2:$OT$300,3,FALSE)</f>
        <v>6.62</v>
      </c>
      <c r="BV8" s="294">
        <f t="shared" ref="BV8:CC8" ca="1" si="2">VLOOKUP(BV$6,$OP$2:$OT$300,3,FALSE)</f>
        <v>0</v>
      </c>
      <c r="BW8" s="294">
        <f t="shared" ca="1" si="2"/>
        <v>0</v>
      </c>
      <c r="BX8" s="294">
        <f t="shared" ca="1" si="2"/>
        <v>0</v>
      </c>
      <c r="BY8" s="294">
        <f t="shared" ca="1" si="2"/>
        <v>0</v>
      </c>
      <c r="BZ8" s="294">
        <f t="shared" ca="1" si="2"/>
        <v>0</v>
      </c>
      <c r="CA8" s="294" t="e">
        <f t="shared" si="2"/>
        <v>#N/A</v>
      </c>
      <c r="CB8" s="294">
        <f t="shared" ca="1" si="2"/>
        <v>0</v>
      </c>
      <c r="CC8" s="294">
        <f t="shared" ca="1" si="2"/>
        <v>0</v>
      </c>
      <c r="CD8" s="297"/>
      <c r="CE8" s="188"/>
      <c r="CF8" s="188"/>
      <c r="CG8" s="188"/>
      <c r="CH8" s="188"/>
      <c r="CI8" s="188"/>
      <c r="CJ8" s="188"/>
      <c r="CK8" s="188"/>
      <c r="CL8" s="188"/>
      <c r="CM8" s="188"/>
      <c r="CN8" s="188"/>
      <c r="CO8" s="188"/>
      <c r="CP8" s="188"/>
      <c r="CQ8" s="188"/>
      <c r="CR8" s="188"/>
      <c r="CS8" s="187"/>
      <c r="CT8" s="187"/>
      <c r="CU8" s="187"/>
      <c r="CV8" s="187"/>
      <c r="CW8" s="187"/>
      <c r="CX8" s="177"/>
      <c r="CY8" s="177"/>
      <c r="CZ8" s="181"/>
      <c r="DA8" s="181"/>
      <c r="DB8" s="181"/>
      <c r="DC8" s="181"/>
      <c r="DD8" s="181"/>
      <c r="DE8" s="181"/>
      <c r="DF8" s="181"/>
      <c r="DG8" s="181"/>
      <c r="DH8" s="181"/>
      <c r="DI8" s="181"/>
      <c r="DJ8" s="181"/>
      <c r="DK8" s="181"/>
      <c r="DL8" s="181"/>
      <c r="DM8" s="181"/>
      <c r="DN8" s="181"/>
      <c r="DO8" s="181"/>
      <c r="DP8" s="181"/>
      <c r="DQ8" s="181"/>
      <c r="DR8" s="181"/>
      <c r="DS8" s="181"/>
      <c r="DT8" s="181"/>
      <c r="DU8" s="181"/>
      <c r="DV8" s="181"/>
      <c r="DW8" s="181"/>
      <c r="DX8" s="181"/>
      <c r="DY8" s="181"/>
      <c r="DZ8" s="188"/>
      <c r="EA8" s="181"/>
      <c r="EB8" s="206"/>
      <c r="EC8" s="206"/>
      <c r="ED8" s="206"/>
      <c r="EE8" s="181"/>
      <c r="EF8" s="181"/>
      <c r="EG8" s="181"/>
      <c r="EH8" s="181"/>
      <c r="EI8" s="181"/>
      <c r="EJ8" s="181"/>
      <c r="EK8" s="181"/>
      <c r="EL8" s="181"/>
      <c r="EM8" s="181"/>
      <c r="EN8" s="181"/>
      <c r="EO8" s="181"/>
      <c r="EP8" s="181"/>
      <c r="EQ8" s="189"/>
      <c r="ER8" s="181"/>
      <c r="ES8" s="181"/>
      <c r="ET8" s="181"/>
      <c r="EU8" s="181"/>
      <c r="EV8" s="181"/>
      <c r="EW8" s="181"/>
      <c r="EX8" s="181"/>
      <c r="EY8" s="181"/>
      <c r="EZ8" s="181"/>
      <c r="FA8" s="181"/>
      <c r="FB8" s="181"/>
      <c r="FC8" s="181"/>
      <c r="FD8" s="181"/>
      <c r="FE8" s="181"/>
      <c r="FF8" s="181"/>
      <c r="FG8" s="181"/>
      <c r="FH8" s="181"/>
      <c r="FI8" s="181"/>
      <c r="FJ8" s="181"/>
      <c r="FK8" s="181"/>
      <c r="FL8" s="181"/>
      <c r="FM8" s="181"/>
      <c r="FN8" s="181"/>
      <c r="FO8" s="181"/>
      <c r="FP8" s="181"/>
      <c r="FQ8" s="181"/>
      <c r="FR8" s="181"/>
      <c r="FS8" s="181"/>
      <c r="FT8" s="181"/>
      <c r="FU8" s="181"/>
      <c r="FV8" s="181"/>
      <c r="FW8" s="181"/>
      <c r="FX8" s="181"/>
      <c r="FY8" s="181"/>
      <c r="FZ8" s="181"/>
      <c r="GA8" s="181"/>
      <c r="GB8" s="181"/>
      <c r="GC8" s="181"/>
      <c r="GD8" s="181"/>
      <c r="GE8" s="181"/>
      <c r="GF8" s="181"/>
      <c r="JB8" s="175"/>
      <c r="JC8" s="175"/>
      <c r="JD8" s="175"/>
      <c r="JE8" s="175"/>
      <c r="JF8" s="175"/>
      <c r="JG8" s="175"/>
      <c r="JH8" s="175"/>
      <c r="JI8" s="175"/>
      <c r="JJ8" s="175"/>
      <c r="JK8" s="175"/>
      <c r="JL8" s="175"/>
      <c r="JM8" s="175"/>
      <c r="JN8" s="175"/>
      <c r="JO8" s="175"/>
      <c r="JP8" s="175"/>
      <c r="JQ8" s="175"/>
      <c r="JR8" s="175"/>
      <c r="JS8" s="175"/>
      <c r="JT8" s="175"/>
      <c r="JU8" s="175"/>
      <c r="JV8" s="175"/>
      <c r="JW8" s="175"/>
      <c r="JX8" s="175"/>
      <c r="JY8" s="175"/>
      <c r="ON8" s="223" t="s">
        <v>267</v>
      </c>
      <c r="OO8" s="224" t="s">
        <v>268</v>
      </c>
      <c r="OP8" s="224">
        <v>1007</v>
      </c>
      <c r="OQ8" s="224" t="s">
        <v>326</v>
      </c>
      <c r="OR8" s="224">
        <f ca="1">VLOOKUP($OP8,INDIRECT($ON8):INDIRECT($OO8),4,FALSE)</f>
        <v>80.5</v>
      </c>
      <c r="OS8" s="224">
        <f ca="1">VLOOKUP($OP8,INDIRECT($ON8):INDIRECT($OO8),5,FALSE)</f>
        <v>2.5</v>
      </c>
      <c r="OT8" s="224">
        <f ca="1">VLOOKUP($OP8,INDIRECT($ON8):INDIRECT($OO8),6,FALSE)</f>
        <v>2.5</v>
      </c>
    </row>
    <row r="9" spans="1:410" ht="21" customHeight="1" thickBot="1" x14ac:dyDescent="0.3">
      <c r="F9" s="298" t="s">
        <v>327</v>
      </c>
      <c r="G9" s="299"/>
      <c r="H9" s="300">
        <f ca="1">SUM(H4:H8)</f>
        <v>873779.94623959996</v>
      </c>
      <c r="I9" s="301">
        <f t="shared" ca="1" si="0"/>
        <v>36407.497759983329</v>
      </c>
      <c r="J9" s="302">
        <f>SUM(J4:J8)</f>
        <v>1308.7002083333334</v>
      </c>
      <c r="K9" s="303" t="s">
        <v>328</v>
      </c>
      <c r="L9" s="304">
        <v>3</v>
      </c>
      <c r="M9" s="305">
        <f>VLOOKUP($L9,$AG$6:$AK$106,5,FALSE)</f>
        <v>0.75694444444444442</v>
      </c>
      <c r="N9" s="306" t="s">
        <v>329</v>
      </c>
      <c r="O9" s="762">
        <v>1523.77</v>
      </c>
      <c r="P9" s="763"/>
      <c r="Q9" s="307"/>
      <c r="R9" s="308"/>
      <c r="S9" s="309" t="s">
        <v>330</v>
      </c>
      <c r="T9" s="310" t="s">
        <v>331</v>
      </c>
      <c r="U9" s="310" t="s">
        <v>332</v>
      </c>
      <c r="V9" s="310" t="s">
        <v>333</v>
      </c>
      <c r="W9" s="310" t="s">
        <v>334</v>
      </c>
      <c r="X9" s="310" t="s">
        <v>335</v>
      </c>
      <c r="Y9" s="310" t="s">
        <v>336</v>
      </c>
      <c r="Z9" s="311" t="s">
        <v>337</v>
      </c>
      <c r="AA9" s="223" t="s">
        <v>338</v>
      </c>
      <c r="AB9" s="312" t="s">
        <v>339</v>
      </c>
      <c r="AH9" s="175" t="s">
        <v>340</v>
      </c>
      <c r="AK9" s="255" t="s">
        <v>341</v>
      </c>
      <c r="AN9" s="256"/>
      <c r="AO9" s="257">
        <v>5.8425000000000002</v>
      </c>
      <c r="AZ9" s="293" t="s">
        <v>342</v>
      </c>
      <c r="BA9" s="294">
        <f ca="1">VLOOKUP(BA$6,$OP$2:$OT$300,4,FALSE)</f>
        <v>142</v>
      </c>
      <c r="BB9" s="294">
        <f t="shared" ref="BB9:BL9" ca="1" si="3">VLOOKUP(BB$6,$OP$2:$OT$300,4,FALSE)</f>
        <v>72</v>
      </c>
      <c r="BC9" s="294">
        <f t="shared" ca="1" si="3"/>
        <v>68</v>
      </c>
      <c r="BD9" s="294">
        <f t="shared" ca="1" si="3"/>
        <v>58.2</v>
      </c>
      <c r="BE9" s="294">
        <f t="shared" ca="1" si="3"/>
        <v>29</v>
      </c>
      <c r="BF9" s="294">
        <f t="shared" ca="1" si="3"/>
        <v>17.100000000000001</v>
      </c>
      <c r="BG9" s="294">
        <f t="shared" ca="1" si="3"/>
        <v>13.3</v>
      </c>
      <c r="BH9" s="294">
        <f t="shared" ca="1" si="3"/>
        <v>5.2</v>
      </c>
      <c r="BI9" s="263">
        <f ca="1">SUM(BA9:BH9)</f>
        <v>404.8</v>
      </c>
      <c r="BJ9" s="294">
        <f t="shared" ca="1" si="3"/>
        <v>20</v>
      </c>
      <c r="BK9" s="294">
        <f t="shared" ca="1" si="3"/>
        <v>9.4</v>
      </c>
      <c r="BL9" s="294">
        <f t="shared" ca="1" si="3"/>
        <v>3.4</v>
      </c>
      <c r="BM9" s="263">
        <f ca="1">SUM(BJ9:BL9)</f>
        <v>32.799999999999997</v>
      </c>
      <c r="BN9" s="276" t="s">
        <v>343</v>
      </c>
      <c r="BO9" s="277"/>
      <c r="BP9" s="262"/>
      <c r="BQ9" s="278"/>
      <c r="BR9" s="222"/>
      <c r="BS9" s="296"/>
      <c r="BT9" s="280" t="s">
        <v>342</v>
      </c>
      <c r="BU9" s="294">
        <f ca="1">VLOOKUP(BU$6,$OP$2:$OT$300,4,FALSE)</f>
        <v>0.27583333333333332</v>
      </c>
      <c r="BV9" s="294">
        <f t="shared" ref="BV9:CC9" ca="1" si="4">VLOOKUP(BV$6,$OP$2:$OT$300,4,FALSE)</f>
        <v>0</v>
      </c>
      <c r="BW9" s="294">
        <f t="shared" ca="1" si="4"/>
        <v>0</v>
      </c>
      <c r="BX9" s="294">
        <f t="shared" ca="1" si="4"/>
        <v>0</v>
      </c>
      <c r="BY9" s="294">
        <f t="shared" ca="1" si="4"/>
        <v>0</v>
      </c>
      <c r="BZ9" s="294">
        <f t="shared" ca="1" si="4"/>
        <v>0</v>
      </c>
      <c r="CA9" s="294" t="e">
        <f t="shared" si="4"/>
        <v>#N/A</v>
      </c>
      <c r="CB9" s="294">
        <f t="shared" ca="1" si="4"/>
        <v>0</v>
      </c>
      <c r="CC9" s="294">
        <f t="shared" ca="1" si="4"/>
        <v>8</v>
      </c>
      <c r="CD9" s="277"/>
      <c r="CE9" s="188"/>
      <c r="CF9" s="188"/>
      <c r="CG9" s="188"/>
      <c r="CH9" s="188"/>
      <c r="CI9" s="188"/>
      <c r="CJ9" s="188"/>
      <c r="CK9" s="188"/>
      <c r="CL9" s="188"/>
      <c r="CM9" s="188"/>
      <c r="CN9" s="188"/>
      <c r="CO9" s="188"/>
      <c r="CP9" s="188"/>
      <c r="CQ9" s="188"/>
      <c r="CR9" s="188"/>
      <c r="CS9" s="187"/>
      <c r="CT9" s="187"/>
      <c r="CU9" s="187"/>
      <c r="CV9" s="187"/>
      <c r="CW9" s="187"/>
      <c r="CX9" s="177"/>
      <c r="CY9" s="177"/>
      <c r="CZ9" s="181"/>
      <c r="DA9" s="181"/>
      <c r="DB9" s="181"/>
      <c r="DC9" s="181"/>
      <c r="DD9" s="181"/>
      <c r="DE9" s="181"/>
      <c r="DF9" s="181"/>
      <c r="DG9" s="181"/>
      <c r="DH9" s="181"/>
      <c r="DI9" s="181"/>
      <c r="DJ9" s="181"/>
      <c r="DK9" s="181"/>
      <c r="DL9" s="181"/>
      <c r="DM9" s="181"/>
      <c r="DN9" s="181"/>
      <c r="DO9" s="181"/>
      <c r="DP9" s="181"/>
      <c r="DQ9" s="181"/>
      <c r="DR9" s="181"/>
      <c r="DS9" s="181"/>
      <c r="DT9" s="181"/>
      <c r="DU9" s="181"/>
      <c r="DV9" s="181"/>
      <c r="DW9" s="181"/>
      <c r="DX9" s="181"/>
      <c r="DY9" s="181"/>
      <c r="DZ9" s="188"/>
      <c r="EA9" s="181"/>
      <c r="EB9" s="206"/>
      <c r="EC9" s="206"/>
      <c r="ED9" s="206"/>
      <c r="EE9" s="181"/>
      <c r="EF9" s="181"/>
      <c r="EG9" s="181"/>
      <c r="EH9" s="181"/>
      <c r="EI9" s="181"/>
      <c r="EJ9" s="181"/>
      <c r="EK9" s="181"/>
      <c r="EL9" s="181"/>
      <c r="EM9" s="181"/>
      <c r="EN9" s="181"/>
      <c r="EO9" s="181"/>
      <c r="EP9" s="181"/>
      <c r="EQ9" s="189"/>
      <c r="ER9" s="181"/>
      <c r="ES9" s="181"/>
      <c r="ET9" s="181"/>
      <c r="EU9" s="181"/>
      <c r="EV9" s="181"/>
      <c r="EW9" s="181"/>
      <c r="EX9" s="181"/>
      <c r="EY9" s="181"/>
      <c r="EZ9" s="181"/>
      <c r="FA9" s="181"/>
      <c r="FB9" s="181"/>
      <c r="FC9" s="181"/>
      <c r="FD9" s="181"/>
      <c r="FE9" s="181"/>
      <c r="FF9" s="181"/>
      <c r="FG9" s="181"/>
      <c r="FH9" s="181"/>
      <c r="FI9" s="181"/>
      <c r="FJ9" s="181"/>
      <c r="FK9" s="181"/>
      <c r="FL9" s="181"/>
      <c r="FM9" s="181"/>
      <c r="FN9" s="181"/>
      <c r="FO9" s="181"/>
      <c r="FP9" s="181"/>
      <c r="FQ9" s="181"/>
      <c r="FR9" s="181"/>
      <c r="FS9" s="181"/>
      <c r="FT9" s="181"/>
      <c r="FU9" s="181"/>
      <c r="FV9" s="181"/>
      <c r="FW9" s="181"/>
      <c r="FX9" s="181"/>
      <c r="FY9" s="181"/>
      <c r="FZ9" s="181"/>
      <c r="GA9" s="181"/>
      <c r="GB9" s="181"/>
      <c r="GC9" s="181"/>
      <c r="GD9" s="181"/>
      <c r="GE9" s="181"/>
      <c r="GF9" s="181"/>
      <c r="JB9" s="175"/>
      <c r="JC9" s="175"/>
      <c r="JD9" s="175"/>
      <c r="JE9" s="175"/>
      <c r="JF9" s="175"/>
      <c r="JG9" s="175"/>
      <c r="JH9" s="175"/>
      <c r="JI9" s="175"/>
      <c r="JJ9" s="175"/>
      <c r="JK9" s="175"/>
      <c r="JL9" s="175"/>
      <c r="JM9" s="175"/>
      <c r="JN9" s="175"/>
      <c r="JO9" s="175"/>
      <c r="JP9" s="175"/>
      <c r="JQ9" s="175"/>
      <c r="JR9" s="175"/>
      <c r="JS9" s="175"/>
      <c r="JT9" s="175"/>
      <c r="JU9" s="175"/>
      <c r="JV9" s="175"/>
      <c r="JW9" s="175"/>
      <c r="JX9" s="175"/>
      <c r="JY9" s="175"/>
      <c r="ON9" s="223" t="s">
        <v>267</v>
      </c>
      <c r="OO9" s="224" t="s">
        <v>268</v>
      </c>
      <c r="OP9" s="224">
        <v>1008</v>
      </c>
      <c r="OQ9" s="224" t="s">
        <v>302</v>
      </c>
      <c r="OR9" s="224">
        <f ca="1">VLOOKUP($OP9,INDIRECT($ON9):INDIRECT($OO9),4,FALSE)</f>
        <v>272.16000000000003</v>
      </c>
      <c r="OS9" s="224">
        <f ca="1">VLOOKUP($OP9,INDIRECT($ON9):INDIRECT($OO9),5,FALSE)</f>
        <v>13.3</v>
      </c>
      <c r="OT9" s="224">
        <f ca="1">VLOOKUP($OP9,INDIRECT($ON9):INDIRECT($OO9),6,FALSE)</f>
        <v>12.3</v>
      </c>
    </row>
    <row r="10" spans="1:410" ht="21" customHeight="1" thickBot="1" x14ac:dyDescent="0.3">
      <c r="A10" s="175">
        <v>6015</v>
      </c>
      <c r="C10" s="740" t="s">
        <v>344</v>
      </c>
      <c r="D10" s="270" t="s">
        <v>253</v>
      </c>
      <c r="E10" s="313">
        <f>VLOOKUP($A10,$AG$6:$AK$106,3,FALSE)</f>
        <v>50.161999999999999</v>
      </c>
      <c r="F10" s="314" t="s">
        <v>345</v>
      </c>
      <c r="G10" s="315"/>
      <c r="H10" s="316">
        <f ca="1">D53</f>
        <v>-695.2</v>
      </c>
      <c r="I10" s="317">
        <f t="shared" ca="1" si="0"/>
        <v>-28.966666666666669</v>
      </c>
      <c r="J10" s="316">
        <f>F53</f>
        <v>0</v>
      </c>
      <c r="K10" s="318" t="s">
        <v>346</v>
      </c>
      <c r="L10" s="319">
        <v>6017</v>
      </c>
      <c r="M10" s="320">
        <f>VLOOKUP($L10,$AG$6:$AK$106,4,FALSE)</f>
        <v>1068.8399999999999</v>
      </c>
      <c r="N10" s="321" t="s">
        <v>347</v>
      </c>
      <c r="O10" s="322">
        <f ca="1">IFERROR(ABS(INDIRECT("'"&amp;A1&amp;"'!O9")-IF(A1=1,P6,INDIRECT("'"&amp;A1-1&amp;"'!O9")))*100,"")</f>
        <v>152335.33333333331</v>
      </c>
      <c r="P10" s="323" t="str">
        <f ca="1">IFERROR(IF(INDIRECT("'"&amp;A1&amp;"'!O9")&gt;IF(A1=1,P6,INDIRECT("'"&amp;A1-1&amp;"'!O9")),"cm up","cm down"),"")</f>
        <v>cm up</v>
      </c>
      <c r="Q10" s="324"/>
      <c r="R10" s="290"/>
      <c r="S10" s="325" t="s">
        <v>348</v>
      </c>
      <c r="T10" s="326" t="s">
        <v>283</v>
      </c>
      <c r="U10" s="326" t="s">
        <v>283</v>
      </c>
      <c r="V10" s="326" t="s">
        <v>349</v>
      </c>
      <c r="W10" s="326" t="s">
        <v>349</v>
      </c>
      <c r="X10" s="327" t="s">
        <v>349</v>
      </c>
      <c r="Y10" s="327" t="s">
        <v>349</v>
      </c>
      <c r="Z10" s="328" t="s">
        <v>349</v>
      </c>
      <c r="AA10" s="329" t="s">
        <v>283</v>
      </c>
      <c r="AB10" s="330" t="s">
        <v>283</v>
      </c>
      <c r="AD10" s="331" t="s">
        <v>350</v>
      </c>
      <c r="AE10" s="331" t="s">
        <v>338</v>
      </c>
      <c r="AI10" s="716" t="s">
        <v>351</v>
      </c>
      <c r="AJ10" s="716"/>
      <c r="AK10" s="292">
        <v>0.75694444444444442</v>
      </c>
      <c r="AN10" s="256"/>
      <c r="AO10" s="257">
        <v>2.5083333333333333</v>
      </c>
      <c r="AZ10" s="332" t="s">
        <v>352</v>
      </c>
      <c r="BA10" s="294">
        <f ca="1">VLOOKUP(BA$6,$OP$2:$OT$300,5,FALSE)</f>
        <v>131</v>
      </c>
      <c r="BB10" s="294">
        <f t="shared" ref="BB10:BL10" ca="1" si="5">VLOOKUP(BB$6,$OP$2:$OT$300,5,FALSE)</f>
        <v>49.3</v>
      </c>
      <c r="BC10" s="294">
        <f t="shared" ca="1" si="5"/>
        <v>69</v>
      </c>
      <c r="BD10" s="294">
        <f t="shared" ca="1" si="5"/>
        <v>47.6</v>
      </c>
      <c r="BE10" s="294">
        <f t="shared" ca="1" si="5"/>
        <v>10.3</v>
      </c>
      <c r="BF10" s="294">
        <f t="shared" ca="1" si="5"/>
        <v>17</v>
      </c>
      <c r="BG10" s="294">
        <f t="shared" ca="1" si="5"/>
        <v>12.3</v>
      </c>
      <c r="BH10" s="294">
        <f t="shared" ca="1" si="5"/>
        <v>5.2</v>
      </c>
      <c r="BI10" s="263">
        <f ca="1">SUM(BA10:BH10)</f>
        <v>341.70000000000005</v>
      </c>
      <c r="BJ10" s="294">
        <f t="shared" ca="1" si="5"/>
        <v>14</v>
      </c>
      <c r="BK10" s="294">
        <f t="shared" ca="1" si="5"/>
        <v>3.8</v>
      </c>
      <c r="BL10" s="294">
        <f t="shared" ca="1" si="5"/>
        <v>1.4</v>
      </c>
      <c r="BM10" s="263">
        <f ca="1">SUM(BJ10:BL10)</f>
        <v>19.2</v>
      </c>
      <c r="BN10" s="260" t="s">
        <v>353</v>
      </c>
      <c r="BO10" s="333"/>
      <c r="BP10" s="262"/>
      <c r="BQ10" s="263"/>
      <c r="BR10" s="222"/>
      <c r="BS10" s="296"/>
      <c r="BT10" s="280" t="s">
        <v>352</v>
      </c>
      <c r="BU10" s="294">
        <f ca="1">VLOOKUP(BU$6,$OP$2:$OT$300,5,FALSE)</f>
        <v>0.27583333333333332</v>
      </c>
      <c r="BV10" s="294">
        <f t="shared" ref="BV10:CC10" ca="1" si="6">VLOOKUP(BV$6,$OP$2:$OT$300,5,FALSE)</f>
        <v>0</v>
      </c>
      <c r="BW10" s="294">
        <f t="shared" ca="1" si="6"/>
        <v>0</v>
      </c>
      <c r="BX10" s="294">
        <f t="shared" ca="1" si="6"/>
        <v>0</v>
      </c>
      <c r="BY10" s="294">
        <f t="shared" ca="1" si="6"/>
        <v>0</v>
      </c>
      <c r="BZ10" s="294">
        <f t="shared" ca="1" si="6"/>
        <v>0</v>
      </c>
      <c r="CA10" s="294" t="e">
        <f t="shared" si="6"/>
        <v>#N/A</v>
      </c>
      <c r="CB10" s="294">
        <f t="shared" ca="1" si="6"/>
        <v>0</v>
      </c>
      <c r="CC10" s="294">
        <f t="shared" ca="1" si="6"/>
        <v>0</v>
      </c>
      <c r="CD10" s="277"/>
      <c r="CE10" s="188"/>
      <c r="CF10" s="334"/>
      <c r="CG10" s="334"/>
      <c r="CH10" s="188"/>
      <c r="CI10" s="188"/>
      <c r="CJ10" s="188"/>
      <c r="CK10" s="188"/>
      <c r="CL10" s="188"/>
      <c r="CM10" s="188"/>
      <c r="CN10" s="188"/>
      <c r="CO10" s="188"/>
      <c r="CP10" s="188"/>
      <c r="CQ10" s="188"/>
      <c r="CR10" s="188"/>
      <c r="CS10" s="187"/>
      <c r="CT10" s="187"/>
      <c r="CU10" s="187"/>
      <c r="CV10" s="187"/>
      <c r="CW10" s="187"/>
      <c r="CX10" s="177"/>
      <c r="CY10" s="177"/>
      <c r="CZ10" s="181"/>
      <c r="DA10" s="181"/>
      <c r="DB10" s="181"/>
      <c r="DC10" s="181"/>
      <c r="DD10" s="181"/>
      <c r="DE10" s="181"/>
      <c r="DF10" s="181"/>
      <c r="DG10" s="181"/>
      <c r="DH10" s="181"/>
      <c r="DI10" s="181"/>
      <c r="DJ10" s="181"/>
      <c r="DK10" s="181"/>
      <c r="DL10" s="181"/>
      <c r="DM10" s="181"/>
      <c r="DN10" s="181"/>
      <c r="DO10" s="181"/>
      <c r="DP10" s="181"/>
      <c r="DQ10" s="181"/>
      <c r="DR10" s="181"/>
      <c r="DS10" s="181"/>
      <c r="DT10" s="181"/>
      <c r="DU10" s="181"/>
      <c r="DV10" s="181"/>
      <c r="DW10" s="181"/>
      <c r="DX10" s="181"/>
      <c r="DY10" s="181"/>
      <c r="DZ10" s="188"/>
      <c r="EA10" s="181"/>
      <c r="EB10" s="206"/>
      <c r="EC10" s="206"/>
      <c r="ED10" s="206"/>
      <c r="EE10" s="181"/>
      <c r="EF10" s="181"/>
      <c r="EG10" s="181"/>
      <c r="EH10" s="181"/>
      <c r="EI10" s="181"/>
      <c r="EJ10" s="181"/>
      <c r="EK10" s="181"/>
      <c r="EL10" s="181"/>
      <c r="EM10" s="181"/>
      <c r="EN10" s="181"/>
      <c r="EO10" s="181"/>
      <c r="EP10" s="181"/>
      <c r="EQ10" s="189"/>
      <c r="ER10" s="181"/>
      <c r="ES10" s="181"/>
      <c r="ET10" s="181"/>
      <c r="EU10" s="181"/>
      <c r="EV10" s="181"/>
      <c r="EW10" s="181"/>
      <c r="EX10" s="181"/>
      <c r="EY10" s="181"/>
      <c r="EZ10" s="181"/>
      <c r="FA10" s="181"/>
      <c r="FB10" s="181"/>
      <c r="FC10" s="181"/>
      <c r="FD10" s="181"/>
      <c r="FE10" s="181"/>
      <c r="FF10" s="181"/>
      <c r="FG10" s="181"/>
      <c r="FH10" s="181"/>
      <c r="FI10" s="181"/>
      <c r="FJ10" s="181"/>
      <c r="FK10" s="181"/>
      <c r="FL10" s="181"/>
      <c r="FM10" s="181"/>
      <c r="FN10" s="181"/>
      <c r="FO10" s="181"/>
      <c r="FP10" s="181"/>
      <c r="FQ10" s="181"/>
      <c r="FR10" s="181"/>
      <c r="FS10" s="181"/>
      <c r="FT10" s="181"/>
      <c r="FU10" s="181"/>
      <c r="FV10" s="181"/>
      <c r="FW10" s="181"/>
      <c r="FX10" s="181"/>
      <c r="FY10" s="181"/>
      <c r="FZ10" s="181"/>
      <c r="GA10" s="181"/>
      <c r="GB10" s="181"/>
      <c r="GC10" s="181"/>
      <c r="GD10" s="181"/>
      <c r="GE10" s="181"/>
      <c r="GF10" s="181"/>
      <c r="JB10" s="175"/>
      <c r="JC10" s="175"/>
      <c r="JD10" s="175"/>
      <c r="JE10" s="175"/>
      <c r="JF10" s="175"/>
      <c r="JG10" s="175"/>
      <c r="JH10" s="175"/>
      <c r="JI10" s="175"/>
      <c r="JJ10" s="175"/>
      <c r="JK10" s="175"/>
      <c r="JL10" s="175"/>
      <c r="JM10" s="175"/>
      <c r="JN10" s="175"/>
      <c r="JO10" s="175"/>
      <c r="JP10" s="175"/>
      <c r="JQ10" s="175"/>
      <c r="JR10" s="175"/>
      <c r="JS10" s="175"/>
      <c r="JT10" s="175"/>
      <c r="JU10" s="175"/>
      <c r="JV10" s="175"/>
      <c r="JW10" s="175"/>
      <c r="JX10" s="175"/>
      <c r="JY10" s="175"/>
      <c r="ON10" s="223" t="s">
        <v>267</v>
      </c>
      <c r="OO10" s="224" t="s">
        <v>268</v>
      </c>
      <c r="OP10" s="224">
        <v>1009</v>
      </c>
      <c r="OQ10" s="224" t="s">
        <v>354</v>
      </c>
      <c r="OR10" s="224">
        <f ca="1">VLOOKUP($OP10,INDIRECT($ON10):INDIRECT($OO10),4,FALSE)</f>
        <v>114.6</v>
      </c>
      <c r="OS10" s="224">
        <f ca="1">VLOOKUP($OP10,INDIRECT($ON10):INDIRECT($OO10),5,FALSE)</f>
        <v>4.8</v>
      </c>
      <c r="OT10" s="224">
        <f ca="1">VLOOKUP($OP10,INDIRECT($ON10):INDIRECT($OO10),6,FALSE)</f>
        <v>3.9</v>
      </c>
    </row>
    <row r="11" spans="1:410" ht="21" customHeight="1" thickBot="1" x14ac:dyDescent="0.3">
      <c r="A11" s="175">
        <v>6015</v>
      </c>
      <c r="C11" s="741"/>
      <c r="D11" s="304" t="s">
        <v>266</v>
      </c>
      <c r="E11" s="313">
        <f>VLOOKUP($A11,$AG$6:$AK$106,4,FALSE)</f>
        <v>49.613999999999997</v>
      </c>
      <c r="F11" s="335" t="s">
        <v>355</v>
      </c>
      <c r="G11" s="299"/>
      <c r="H11" s="300">
        <f ca="1">H9-H10</f>
        <v>874475.14623959991</v>
      </c>
      <c r="I11" s="301">
        <f t="shared" ca="1" si="0"/>
        <v>36436.464426649996</v>
      </c>
      <c r="J11" s="302">
        <f>J9-J10</f>
        <v>1308.7002083333334</v>
      </c>
      <c r="N11" s="290"/>
      <c r="P11" s="290" t="s">
        <v>356</v>
      </c>
      <c r="Q11" s="290"/>
      <c r="S11" s="336">
        <v>0</v>
      </c>
      <c r="T11" s="337">
        <v>4.0999999999999996</v>
      </c>
      <c r="U11" s="337"/>
      <c r="V11" s="337"/>
      <c r="W11" s="338">
        <v>25</v>
      </c>
      <c r="X11" s="337"/>
      <c r="Y11" s="338"/>
      <c r="Z11" s="339"/>
      <c r="AA11" s="339"/>
      <c r="AB11" s="339"/>
      <c r="AC11" s="175">
        <f t="shared" ref="AC11:AC18" si="7">T11+U11+(V11+W11+X11+Y11)/20</f>
        <v>5.35</v>
      </c>
      <c r="AD11" s="340">
        <v>300</v>
      </c>
      <c r="AE11" s="341">
        <v>58.6</v>
      </c>
      <c r="AH11" s="254" t="s">
        <v>357</v>
      </c>
      <c r="AI11" s="342" t="s">
        <v>253</v>
      </c>
      <c r="AJ11" s="342" t="s">
        <v>266</v>
      </c>
      <c r="AK11" s="255">
        <v>0</v>
      </c>
      <c r="AN11" s="256"/>
      <c r="AO11" s="257">
        <v>0.99583333333333324</v>
      </c>
      <c r="AZ11" s="293" t="s">
        <v>358</v>
      </c>
      <c r="BA11" s="343">
        <f t="shared" ref="BA11:BM11" ca="1" si="8">IF(BA9=0," - ",(BA8/(BA9*24)))</f>
        <v>0.45046654929577468</v>
      </c>
      <c r="BB11" s="343">
        <f t="shared" ca="1" si="8"/>
        <v>0.50130208333333337</v>
      </c>
      <c r="BC11" s="343">
        <f t="shared" ca="1" si="8"/>
        <v>0.57432598039215688</v>
      </c>
      <c r="BD11" s="343">
        <f t="shared" ca="1" si="8"/>
        <v>0.88058419243986241</v>
      </c>
      <c r="BE11" s="343">
        <f t="shared" ca="1" si="8"/>
        <v>0.26436781609195403</v>
      </c>
      <c r="BF11" s="343">
        <f t="shared" ca="1" si="8"/>
        <v>0.86539230019493163</v>
      </c>
      <c r="BG11" s="343">
        <f t="shared" ca="1" si="8"/>
        <v>0.85263157894736841</v>
      </c>
      <c r="BH11" s="343">
        <f t="shared" ca="1" si="8"/>
        <v>0.9015064102564101</v>
      </c>
      <c r="BI11" s="344">
        <f t="shared" ca="1" si="8"/>
        <v>0.56535789278656123</v>
      </c>
      <c r="BJ11" s="343">
        <f t="shared" ca="1" si="8"/>
        <v>0.1125</v>
      </c>
      <c r="BK11" s="343">
        <f t="shared" ca="1" si="8"/>
        <v>0.10478723404255319</v>
      </c>
      <c r="BL11" s="343">
        <f t="shared" ca="1" si="8"/>
        <v>0.1985294117647059</v>
      </c>
      <c r="BM11" s="344">
        <f t="shared" ca="1" si="8"/>
        <v>0.11920731707317074</v>
      </c>
      <c r="BN11" s="276" t="s">
        <v>359</v>
      </c>
      <c r="BO11" s="277"/>
      <c r="BP11" s="262"/>
      <c r="BQ11" s="278"/>
      <c r="BR11" s="296"/>
      <c r="BS11" s="296"/>
      <c r="BT11" s="280" t="s">
        <v>360</v>
      </c>
      <c r="BU11" s="343">
        <f t="shared" ref="BU11:BZ11" ca="1" si="9">IF(BU9=0," - ",(BU8/(BU9*24)))</f>
        <v>1.0000000000000002</v>
      </c>
      <c r="BV11" s="343" t="str">
        <f t="shared" ca="1" si="9"/>
        <v xml:space="preserve"> - </v>
      </c>
      <c r="BW11" s="343" t="str">
        <f t="shared" ca="1" si="9"/>
        <v xml:space="preserve"> - </v>
      </c>
      <c r="BX11" s="343" t="str">
        <f t="shared" ca="1" si="9"/>
        <v xml:space="preserve"> - </v>
      </c>
      <c r="BY11" s="343" t="str">
        <f t="shared" ca="1" si="9"/>
        <v xml:space="preserve"> - </v>
      </c>
      <c r="BZ11" s="343" t="str">
        <f t="shared" ca="1" si="9"/>
        <v xml:space="preserve"> - </v>
      </c>
      <c r="CA11" s="343"/>
      <c r="CB11" s="343" t="str">
        <f ca="1">IF(CB9=0," - ",(CB8/(CB9*24)))</f>
        <v xml:space="preserve"> - </v>
      </c>
      <c r="CC11" s="345"/>
      <c r="CD11" s="343" t="str">
        <f>IF(CD9=0," - ",(CD8/(CD9*24)))</f>
        <v xml:space="preserve"> - </v>
      </c>
      <c r="CE11" s="346" t="s">
        <v>361</v>
      </c>
      <c r="CF11" s="347" t="e">
        <f>(BP19/(BP13*24))*100</f>
        <v>#DIV/0!</v>
      </c>
      <c r="CG11" s="348"/>
      <c r="CH11" s="188"/>
      <c r="CI11" s="188"/>
      <c r="CJ11" s="188"/>
      <c r="CK11" s="188"/>
      <c r="CL11" s="188"/>
      <c r="CM11" s="188"/>
      <c r="CN11" s="188"/>
      <c r="CO11" s="181"/>
      <c r="CP11" s="188"/>
      <c r="CQ11" s="181"/>
      <c r="CR11" s="188"/>
      <c r="CS11" s="187"/>
      <c r="CT11" s="187"/>
      <c r="CU11" s="187"/>
      <c r="CV11" s="187"/>
      <c r="CW11" s="187"/>
      <c r="CX11" s="177"/>
      <c r="CY11" s="177"/>
      <c r="CZ11" s="181"/>
      <c r="DA11" s="181"/>
      <c r="DB11" s="181"/>
      <c r="DC11" s="181"/>
      <c r="DD11" s="181"/>
      <c r="DE11" s="181"/>
      <c r="DF11" s="181"/>
      <c r="DG11" s="181"/>
      <c r="DH11" s="181"/>
      <c r="DI11" s="181"/>
      <c r="DJ11" s="181"/>
      <c r="DK11" s="181"/>
      <c r="DL11" s="181"/>
      <c r="DM11" s="181"/>
      <c r="DN11" s="181"/>
      <c r="DO11" s="181"/>
      <c r="DP11" s="181"/>
      <c r="DQ11" s="181"/>
      <c r="DR11" s="181"/>
      <c r="DS11" s="181"/>
      <c r="DT11" s="181"/>
      <c r="DU11" s="181"/>
      <c r="DV11" s="181"/>
      <c r="DW11" s="181"/>
      <c r="DX11" s="181"/>
      <c r="DY11" s="181"/>
      <c r="DZ11" s="188"/>
      <c r="EA11" s="181"/>
      <c r="EB11" s="206"/>
      <c r="EC11" s="206"/>
      <c r="ED11" s="206"/>
      <c r="EE11" s="181"/>
      <c r="EF11" s="181"/>
      <c r="EG11" s="181"/>
      <c r="EH11" s="181"/>
      <c r="EI11" s="181"/>
      <c r="EJ11" s="181"/>
      <c r="EK11" s="181"/>
      <c r="EL11" s="181"/>
      <c r="EM11" s="181"/>
      <c r="EN11" s="181"/>
      <c r="EO11" s="181"/>
      <c r="EP11" s="181"/>
      <c r="EQ11" s="189"/>
      <c r="ER11" s="181"/>
      <c r="ES11" s="181"/>
      <c r="ET11" s="181"/>
      <c r="EU11" s="181"/>
      <c r="EV11" s="181"/>
      <c r="EW11" s="181"/>
      <c r="EX11" s="181"/>
      <c r="EY11" s="181"/>
      <c r="EZ11" s="181"/>
      <c r="FA11" s="181"/>
      <c r="FB11" s="181"/>
      <c r="FC11" s="181"/>
      <c r="FD11" s="181"/>
      <c r="FE11" s="181"/>
      <c r="FF11" s="181"/>
      <c r="FG11" s="181"/>
      <c r="FH11" s="181"/>
      <c r="FI11" s="181"/>
      <c r="FJ11" s="181"/>
      <c r="FK11" s="181"/>
      <c r="FL11" s="181"/>
      <c r="FM11" s="181"/>
      <c r="FN11" s="181"/>
      <c r="FO11" s="181"/>
      <c r="FP11" s="181"/>
      <c r="FQ11" s="181"/>
      <c r="FR11" s="181"/>
      <c r="FS11" s="181"/>
      <c r="FT11" s="181"/>
      <c r="FU11" s="181"/>
      <c r="FV11" s="181"/>
      <c r="FW11" s="181"/>
      <c r="FX11" s="181"/>
      <c r="FY11" s="181"/>
      <c r="FZ11" s="181"/>
      <c r="GA11" s="181"/>
      <c r="GB11" s="181"/>
      <c r="GC11" s="181"/>
      <c r="GD11" s="181"/>
      <c r="GE11" s="181"/>
      <c r="GF11" s="181"/>
      <c r="JB11" s="175"/>
      <c r="JC11" s="175"/>
      <c r="JD11" s="175"/>
      <c r="JE11" s="175"/>
      <c r="JF11" s="175"/>
      <c r="JG11" s="175"/>
      <c r="JH11" s="175"/>
      <c r="JI11" s="175"/>
      <c r="JJ11" s="175"/>
      <c r="JK11" s="175"/>
      <c r="JL11" s="175"/>
      <c r="JM11" s="175"/>
      <c r="JN11" s="175"/>
      <c r="JO11" s="175"/>
      <c r="JP11" s="175"/>
      <c r="JQ11" s="175"/>
      <c r="JR11" s="175"/>
      <c r="JS11" s="175"/>
      <c r="JT11" s="175"/>
      <c r="JU11" s="175"/>
      <c r="JV11" s="175"/>
      <c r="JW11" s="175"/>
      <c r="JX11" s="175"/>
      <c r="JY11" s="175"/>
      <c r="ON11" s="223" t="s">
        <v>267</v>
      </c>
      <c r="OO11" s="224" t="s">
        <v>268</v>
      </c>
      <c r="OP11" s="224">
        <v>1010</v>
      </c>
      <c r="OQ11" s="224" t="s">
        <v>303</v>
      </c>
      <c r="OR11" s="224">
        <f ca="1">VLOOKUP($OP11,INDIRECT($ON11):INDIRECT($OO11),4,FALSE)</f>
        <v>112.508</v>
      </c>
      <c r="OS11" s="224">
        <f ca="1">VLOOKUP($OP11,INDIRECT($ON11):INDIRECT($OO11),5,FALSE)</f>
        <v>5.2</v>
      </c>
      <c r="OT11" s="224">
        <f ca="1">VLOOKUP($OP11,INDIRECT($ON11):INDIRECT($OO11),6,FALSE)</f>
        <v>5.2</v>
      </c>
    </row>
    <row r="12" spans="1:410" ht="15.75" thickBot="1" x14ac:dyDescent="0.25">
      <c r="D12" s="349"/>
      <c r="E12" s="349"/>
      <c r="F12" s="349"/>
      <c r="G12" s="290"/>
      <c r="H12" s="349"/>
      <c r="I12" s="349"/>
      <c r="J12" s="349"/>
      <c r="K12" s="349"/>
      <c r="L12" s="290"/>
      <c r="M12" s="349"/>
      <c r="N12" s="349"/>
      <c r="O12" s="349"/>
      <c r="P12" s="349"/>
      <c r="Q12" s="349"/>
      <c r="S12" s="350">
        <v>4.1666666666666664E-2</v>
      </c>
      <c r="T12" s="351">
        <v>4.0999999999999996</v>
      </c>
      <c r="U12" s="351"/>
      <c r="V12" s="351"/>
      <c r="W12" s="352">
        <v>58</v>
      </c>
      <c r="X12" s="351"/>
      <c r="Y12" s="351"/>
      <c r="Z12" s="353"/>
      <c r="AA12" s="353"/>
      <c r="AB12" s="353"/>
      <c r="AC12" s="175">
        <f t="shared" si="7"/>
        <v>7</v>
      </c>
      <c r="AD12" s="340">
        <v>287</v>
      </c>
      <c r="AE12" s="341">
        <v>58.6</v>
      </c>
      <c r="AG12" s="175">
        <v>8046</v>
      </c>
      <c r="AH12" s="254" t="s">
        <v>19</v>
      </c>
      <c r="AI12" s="354">
        <v>20.9</v>
      </c>
      <c r="AJ12" s="354">
        <v>19.7</v>
      </c>
      <c r="AK12" s="255">
        <v>20.7</v>
      </c>
      <c r="AM12" s="355"/>
      <c r="AN12" s="256"/>
      <c r="AO12" s="257">
        <v>1.5350000000000001</v>
      </c>
      <c r="AZ12" s="332" t="s">
        <v>362</v>
      </c>
      <c r="BA12" s="356"/>
      <c r="BB12" s="356"/>
      <c r="BC12" s="356"/>
      <c r="BD12" s="356"/>
      <c r="BE12" s="356"/>
      <c r="BF12" s="356"/>
      <c r="BG12" s="356"/>
      <c r="BH12" s="356"/>
      <c r="BI12" s="356"/>
      <c r="BJ12" s="356"/>
      <c r="BK12" s="356"/>
      <c r="BL12" s="356"/>
      <c r="BM12" s="356"/>
      <c r="BN12" s="357" t="s">
        <v>363</v>
      </c>
      <c r="BO12" s="358"/>
      <c r="BP12" s="359"/>
      <c r="BQ12" s="360"/>
      <c r="BR12" s="222"/>
      <c r="BS12" s="296"/>
      <c r="BT12" s="280" t="s">
        <v>362</v>
      </c>
      <c r="BU12" s="356">
        <f t="shared" ref="BU12:CC12" ca="1" si="10">BU8</f>
        <v>6.62</v>
      </c>
      <c r="BV12" s="356">
        <f t="shared" ca="1" si="10"/>
        <v>0</v>
      </c>
      <c r="BW12" s="356">
        <f t="shared" ca="1" si="10"/>
        <v>0</v>
      </c>
      <c r="BX12" s="356">
        <f t="shared" ca="1" si="10"/>
        <v>0</v>
      </c>
      <c r="BY12" s="356">
        <f t="shared" ca="1" si="10"/>
        <v>0</v>
      </c>
      <c r="BZ12" s="356">
        <f t="shared" ca="1" si="10"/>
        <v>0</v>
      </c>
      <c r="CA12" s="356" t="e">
        <f t="shared" si="10"/>
        <v>#N/A</v>
      </c>
      <c r="CB12" s="356">
        <f t="shared" ca="1" si="10"/>
        <v>0</v>
      </c>
      <c r="CC12" s="356">
        <f t="shared" ca="1" si="10"/>
        <v>0</v>
      </c>
      <c r="CD12" s="356" t="e">
        <f ca="1">SUM(BU12:CC12)</f>
        <v>#N/A</v>
      </c>
      <c r="CE12" s="361" t="s">
        <v>364</v>
      </c>
      <c r="CF12" s="347" t="e">
        <f>(BQ19/(BP12*24))*100</f>
        <v>#DIV/0!</v>
      </c>
      <c r="CG12" s="348"/>
      <c r="CH12" s="188"/>
      <c r="CI12" s="188"/>
      <c r="CJ12" s="188"/>
      <c r="CK12" s="188"/>
      <c r="CL12" s="188"/>
      <c r="CM12" s="188"/>
      <c r="CN12" s="188"/>
      <c r="CO12" s="181"/>
      <c r="CP12" s="188"/>
      <c r="CQ12" s="181"/>
      <c r="CR12" s="188"/>
      <c r="CS12" s="187"/>
      <c r="CT12" s="187"/>
      <c r="CU12" s="187"/>
      <c r="CV12" s="187"/>
      <c r="CW12" s="187"/>
      <c r="CX12" s="177"/>
      <c r="CY12" s="177"/>
      <c r="CZ12" s="181"/>
      <c r="DA12" s="181"/>
      <c r="DB12" s="181"/>
      <c r="DC12" s="181"/>
      <c r="DD12" s="181"/>
      <c r="DE12" s="181"/>
      <c r="DF12" s="181"/>
      <c r="DG12" s="181"/>
      <c r="DH12" s="181"/>
      <c r="DI12" s="181"/>
      <c r="DJ12" s="181"/>
      <c r="DK12" s="181"/>
      <c r="DL12" s="181"/>
      <c r="DM12" s="181"/>
      <c r="DN12" s="181"/>
      <c r="DO12" s="181"/>
      <c r="DP12" s="181"/>
      <c r="DQ12" s="181"/>
      <c r="DR12" s="181"/>
      <c r="DS12" s="181"/>
      <c r="DT12" s="181"/>
      <c r="DU12" s="181"/>
      <c r="DV12" s="181"/>
      <c r="DW12" s="181"/>
      <c r="DX12" s="181"/>
      <c r="DY12" s="181"/>
      <c r="DZ12" s="188"/>
      <c r="EA12" s="181"/>
      <c r="EB12" s="206"/>
      <c r="EC12" s="206"/>
      <c r="ED12" s="206"/>
      <c r="EE12" s="181"/>
      <c r="EF12" s="181"/>
      <c r="EG12" s="181"/>
      <c r="EH12" s="181"/>
      <c r="EI12" s="181"/>
      <c r="EJ12" s="181"/>
      <c r="EK12" s="181"/>
      <c r="EL12" s="181"/>
      <c r="EM12" s="181"/>
      <c r="EN12" s="181"/>
      <c r="EO12" s="181"/>
      <c r="EP12" s="181"/>
      <c r="EQ12" s="189"/>
      <c r="ER12" s="181"/>
      <c r="ES12" s="181"/>
      <c r="ET12" s="181"/>
      <c r="EU12" s="181"/>
      <c r="EV12" s="181"/>
      <c r="EW12" s="181"/>
      <c r="EX12" s="181"/>
      <c r="EY12" s="181"/>
      <c r="EZ12" s="181"/>
      <c r="FA12" s="181"/>
      <c r="FB12" s="181"/>
      <c r="FC12" s="181"/>
      <c r="FD12" s="181"/>
      <c r="FE12" s="181"/>
      <c r="FF12" s="181"/>
      <c r="FG12" s="181"/>
      <c r="FH12" s="181"/>
      <c r="FI12" s="181"/>
      <c r="FJ12" s="181"/>
      <c r="FK12" s="181"/>
      <c r="FL12" s="181"/>
      <c r="FM12" s="181"/>
      <c r="FN12" s="181"/>
      <c r="FO12" s="181"/>
      <c r="FP12" s="181"/>
      <c r="FQ12" s="181"/>
      <c r="FR12" s="181"/>
      <c r="FS12" s="181"/>
      <c r="FT12" s="181"/>
      <c r="FU12" s="181"/>
      <c r="FV12" s="181"/>
      <c r="FW12" s="181"/>
      <c r="FX12" s="181"/>
      <c r="FY12" s="181"/>
      <c r="FZ12" s="181"/>
      <c r="GA12" s="181"/>
      <c r="GB12" s="181"/>
      <c r="GC12" s="181"/>
      <c r="GD12" s="181"/>
      <c r="GE12" s="181"/>
      <c r="GF12" s="181"/>
      <c r="JB12" s="175"/>
      <c r="JC12" s="175"/>
      <c r="JD12" s="175"/>
      <c r="JE12" s="175"/>
      <c r="JF12" s="175"/>
      <c r="JG12" s="175"/>
      <c r="JH12" s="175"/>
      <c r="JI12" s="175"/>
      <c r="JJ12" s="175"/>
      <c r="JK12" s="175"/>
      <c r="JL12" s="175"/>
      <c r="JM12" s="175"/>
      <c r="JN12" s="175"/>
      <c r="JO12" s="175"/>
      <c r="JP12" s="175"/>
      <c r="JQ12" s="175"/>
      <c r="JR12" s="175"/>
      <c r="JS12" s="175"/>
      <c r="JT12" s="175"/>
      <c r="JU12" s="175"/>
      <c r="JV12" s="175"/>
      <c r="JW12" s="175"/>
      <c r="JX12" s="175"/>
      <c r="JY12" s="175"/>
      <c r="ON12" s="223" t="s">
        <v>267</v>
      </c>
      <c r="OO12" s="224" t="s">
        <v>268</v>
      </c>
      <c r="OP12" s="224">
        <v>1011</v>
      </c>
      <c r="OQ12" s="224" t="s">
        <v>365</v>
      </c>
      <c r="OR12" s="224">
        <f ca="1">VLOOKUP($OP12,INDIRECT($ON12):INDIRECT($OO12),4,FALSE)</f>
        <v>59</v>
      </c>
      <c r="OS12" s="224">
        <f ca="1">VLOOKUP($OP12,INDIRECT($ON12):INDIRECT($OO12),5,FALSE)</f>
        <v>3.2</v>
      </c>
      <c r="OT12" s="224">
        <f ca="1">VLOOKUP($OP12,INDIRECT($ON12):INDIRECT($OO12),6,FALSE)</f>
        <v>3.2</v>
      </c>
    </row>
    <row r="13" spans="1:410" ht="21.75" thickBot="1" x14ac:dyDescent="0.25">
      <c r="B13" s="362" t="s">
        <v>366</v>
      </c>
      <c r="C13" s="363" t="s">
        <v>367</v>
      </c>
      <c r="D13" s="191" t="s">
        <v>258</v>
      </c>
      <c r="E13" s="191" t="s">
        <v>259</v>
      </c>
      <c r="F13" s="192" t="s">
        <v>260</v>
      </c>
      <c r="G13" s="364"/>
      <c r="H13" s="363" t="s">
        <v>367</v>
      </c>
      <c r="I13" s="191" t="s">
        <v>258</v>
      </c>
      <c r="J13" s="191" t="s">
        <v>259</v>
      </c>
      <c r="K13" s="192" t="s">
        <v>260</v>
      </c>
      <c r="L13" s="364"/>
      <c r="M13" s="363" t="s">
        <v>367</v>
      </c>
      <c r="N13" s="191" t="s">
        <v>258</v>
      </c>
      <c r="O13" s="191" t="s">
        <v>259</v>
      </c>
      <c r="P13" s="192" t="s">
        <v>260</v>
      </c>
      <c r="Q13" s="365"/>
      <c r="R13" s="290"/>
      <c r="S13" s="350">
        <v>8.3333333333333329E-2</v>
      </c>
      <c r="T13" s="351">
        <v>4</v>
      </c>
      <c r="U13" s="351"/>
      <c r="V13" s="351"/>
      <c r="W13" s="352">
        <v>57</v>
      </c>
      <c r="X13" s="351"/>
      <c r="Y13" s="351"/>
      <c r="Z13" s="353"/>
      <c r="AA13" s="353"/>
      <c r="AB13" s="353"/>
      <c r="AC13" s="175">
        <f t="shared" si="7"/>
        <v>6.85</v>
      </c>
      <c r="AD13" s="340">
        <v>268</v>
      </c>
      <c r="AE13" s="341">
        <v>58</v>
      </c>
      <c r="AG13" s="175">
        <v>8125</v>
      </c>
      <c r="AH13" s="254" t="s">
        <v>20</v>
      </c>
      <c r="AI13" s="354">
        <v>38.4</v>
      </c>
      <c r="AJ13" s="354">
        <v>37.4</v>
      </c>
      <c r="AK13" s="255">
        <v>37.9</v>
      </c>
      <c r="AN13" s="256"/>
      <c r="AO13" s="257">
        <v>1.875</v>
      </c>
      <c r="AZ13" s="366" t="s">
        <v>368</v>
      </c>
      <c r="BA13" s="367"/>
      <c r="BB13" s="367"/>
      <c r="BC13" s="367"/>
      <c r="BD13" s="367"/>
      <c r="BE13" s="367"/>
      <c r="BF13" s="367"/>
      <c r="BG13" s="367"/>
      <c r="BH13" s="367"/>
      <c r="BI13" s="367"/>
      <c r="BJ13" s="367"/>
      <c r="BK13" s="367"/>
      <c r="BL13" s="367"/>
      <c r="BM13" s="367"/>
      <c r="BN13" s="368" t="s">
        <v>369</v>
      </c>
      <c r="BO13" s="369"/>
      <c r="BP13" s="370"/>
      <c r="BQ13" s="371"/>
      <c r="BR13" s="372"/>
      <c r="BS13" s="296"/>
      <c r="BT13" s="280" t="s">
        <v>368</v>
      </c>
      <c r="BU13" s="356">
        <f t="shared" ref="BU13:CD13" ca="1" si="11">BU8</f>
        <v>6.62</v>
      </c>
      <c r="BV13" s="356">
        <f t="shared" ca="1" si="11"/>
        <v>0</v>
      </c>
      <c r="BW13" s="356">
        <f t="shared" ca="1" si="11"/>
        <v>0</v>
      </c>
      <c r="BX13" s="356">
        <f t="shared" ca="1" si="11"/>
        <v>0</v>
      </c>
      <c r="BY13" s="356">
        <f t="shared" ca="1" si="11"/>
        <v>0</v>
      </c>
      <c r="BZ13" s="356">
        <f t="shared" ca="1" si="11"/>
        <v>0</v>
      </c>
      <c r="CA13" s="356" t="e">
        <f t="shared" si="11"/>
        <v>#N/A</v>
      </c>
      <c r="CB13" s="356">
        <f t="shared" ca="1" si="11"/>
        <v>0</v>
      </c>
      <c r="CC13" s="356">
        <f t="shared" ca="1" si="11"/>
        <v>0</v>
      </c>
      <c r="CD13" s="356">
        <f t="shared" si="11"/>
        <v>0</v>
      </c>
      <c r="CE13" s="188"/>
      <c r="CF13" s="188"/>
      <c r="CG13" s="188"/>
      <c r="CH13" s="188"/>
      <c r="CI13" s="188"/>
      <c r="CJ13" s="188"/>
      <c r="CK13" s="188"/>
      <c r="CL13" s="188"/>
      <c r="CM13" s="188"/>
      <c r="CN13" s="188"/>
      <c r="CO13" s="188"/>
      <c r="CP13" s="188"/>
      <c r="CQ13" s="188"/>
      <c r="CR13" s="188"/>
      <c r="CS13" s="187"/>
      <c r="CT13" s="187"/>
      <c r="CU13" s="187"/>
      <c r="CV13" s="187"/>
      <c r="CW13" s="187"/>
      <c r="CX13" s="177"/>
      <c r="CY13" s="177"/>
      <c r="CZ13" s="181"/>
      <c r="DA13" s="181"/>
      <c r="DB13" s="181"/>
      <c r="DC13" s="181"/>
      <c r="DD13" s="181"/>
      <c r="DE13" s="181"/>
      <c r="DF13" s="181"/>
      <c r="DG13" s="181"/>
      <c r="DH13" s="181"/>
      <c r="DI13" s="181"/>
      <c r="DJ13" s="181"/>
      <c r="DK13" s="181"/>
      <c r="DL13" s="181"/>
      <c r="DM13" s="181"/>
      <c r="DN13" s="181"/>
      <c r="DO13" s="181"/>
      <c r="DP13" s="181"/>
      <c r="DQ13" s="181"/>
      <c r="DR13" s="181"/>
      <c r="DS13" s="181"/>
      <c r="DT13" s="181"/>
      <c r="DU13" s="181"/>
      <c r="DV13" s="181"/>
      <c r="DW13" s="181"/>
      <c r="DX13" s="181"/>
      <c r="DY13" s="181"/>
      <c r="DZ13" s="188"/>
      <c r="EA13" s="181"/>
      <c r="EB13" s="206"/>
      <c r="EC13" s="206"/>
      <c r="ED13" s="206"/>
      <c r="EE13" s="181"/>
      <c r="EF13" s="181"/>
      <c r="EG13" s="181"/>
      <c r="EH13" s="181"/>
      <c r="EI13" s="181"/>
      <c r="EJ13" s="181"/>
      <c r="EK13" s="181"/>
      <c r="EL13" s="181"/>
      <c r="EM13" s="181"/>
      <c r="EN13" s="181"/>
      <c r="EO13" s="181"/>
      <c r="EP13" s="181"/>
      <c r="EQ13" s="189"/>
      <c r="ER13" s="181"/>
      <c r="ES13" s="181"/>
      <c r="ET13" s="181"/>
      <c r="EU13" s="181"/>
      <c r="EV13" s="181"/>
      <c r="EW13" s="181"/>
      <c r="EX13" s="181"/>
      <c r="EY13" s="181"/>
      <c r="EZ13" s="181"/>
      <c r="FA13" s="181"/>
      <c r="FB13" s="181"/>
      <c r="FC13" s="181"/>
      <c r="FD13" s="181"/>
      <c r="FE13" s="181"/>
      <c r="FF13" s="181"/>
      <c r="FG13" s="181"/>
      <c r="FH13" s="181"/>
      <c r="FI13" s="181"/>
      <c r="FJ13" s="181"/>
      <c r="FK13" s="181"/>
      <c r="FL13" s="181"/>
      <c r="FM13" s="181"/>
      <c r="FN13" s="181"/>
      <c r="FO13" s="181"/>
      <c r="FP13" s="181"/>
      <c r="FQ13" s="181"/>
      <c r="FR13" s="181"/>
      <c r="FS13" s="181"/>
      <c r="FT13" s="181"/>
      <c r="FU13" s="181"/>
      <c r="FV13" s="181"/>
      <c r="FW13" s="181"/>
      <c r="FX13" s="181"/>
      <c r="FY13" s="181"/>
      <c r="FZ13" s="181"/>
      <c r="GA13" s="181"/>
      <c r="GB13" s="181"/>
      <c r="GC13" s="181"/>
      <c r="GD13" s="181"/>
      <c r="GE13" s="181"/>
      <c r="GF13" s="181"/>
      <c r="JB13" s="175"/>
      <c r="JC13" s="175"/>
      <c r="JD13" s="175"/>
      <c r="JE13" s="175"/>
      <c r="JF13" s="175"/>
      <c r="JG13" s="175"/>
      <c r="JH13" s="175"/>
      <c r="JI13" s="175"/>
      <c r="JJ13" s="175"/>
      <c r="JK13" s="175"/>
      <c r="JL13" s="175"/>
      <c r="JM13" s="175"/>
      <c r="JN13" s="175"/>
      <c r="JO13" s="175"/>
      <c r="JP13" s="175"/>
      <c r="JQ13" s="175"/>
      <c r="JR13" s="175"/>
      <c r="JS13" s="175"/>
      <c r="JT13" s="175"/>
      <c r="JU13" s="175"/>
      <c r="JV13" s="175"/>
      <c r="JW13" s="175"/>
      <c r="JX13" s="175"/>
      <c r="JY13" s="175"/>
      <c r="ON13" s="223" t="s">
        <v>267</v>
      </c>
      <c r="OO13" s="224" t="s">
        <v>268</v>
      </c>
      <c r="OP13" s="224">
        <v>1012</v>
      </c>
      <c r="OQ13" s="224" t="s">
        <v>370</v>
      </c>
      <c r="OR13" s="224">
        <f ca="1">VLOOKUP($OP13,INDIRECT($ON13):INDIRECT($OO13),4,FALSE)</f>
        <v>54</v>
      </c>
      <c r="OS13" s="224">
        <f ca="1">VLOOKUP($OP13,INDIRECT($ON13):INDIRECT($OO13),5,FALSE)</f>
        <v>20</v>
      </c>
      <c r="OT13" s="224">
        <f ca="1">VLOOKUP($OP13,INDIRECT($ON13):INDIRECT($OO13),6,FALSE)</f>
        <v>14</v>
      </c>
    </row>
    <row r="14" spans="1:410" ht="15.75" thickTop="1" x14ac:dyDescent="0.2">
      <c r="A14" s="175">
        <v>1001</v>
      </c>
      <c r="B14" s="373">
        <f t="shared" ref="B14:B34" si="12">D14/24</f>
        <v>63.966250000000002</v>
      </c>
      <c r="C14" s="374" t="s">
        <v>57</v>
      </c>
      <c r="D14" s="375">
        <v>1535.19</v>
      </c>
      <c r="E14" s="375">
        <f t="shared" ref="E14:E27" si="13">VLOOKUP($A14,$AG$6:$AK$106,3,FALSE)</f>
        <v>142</v>
      </c>
      <c r="F14" s="376">
        <f t="shared" ref="F14:F27" si="14">VLOOKUP($A14,$AG$6:$AK$106,5,FALSE)</f>
        <v>131</v>
      </c>
      <c r="G14" s="377">
        <v>8001</v>
      </c>
      <c r="H14" s="374" t="str">
        <f>IF(I14&gt;0,"Andhi Khola_9.4("&amp;ROUND(I14/24,3)&amp;")","Andhi Khola_9.4")</f>
        <v>Andhi Khola_9.4(7.118)</v>
      </c>
      <c r="I14" s="378">
        <v>170.82</v>
      </c>
      <c r="J14" s="378">
        <f>$I14/24</f>
        <v>7.1174999999999997</v>
      </c>
      <c r="K14" s="271">
        <f>$I14/24</f>
        <v>7.1174999999999997</v>
      </c>
      <c r="L14" s="377">
        <v>8067</v>
      </c>
      <c r="M14" s="374" t="str">
        <f>IF(N14&gt;0,"Namarjun Madi_11.88("&amp;ROUND(N14/24,3)&amp;")","Namarjun Madi_11.88")</f>
        <v>Namarjun Madi_11.88(3.646)</v>
      </c>
      <c r="N14" s="378">
        <v>87.51</v>
      </c>
      <c r="O14" s="378">
        <f>VLOOKUP($L14,$AG$6:$AK$106,3,FALSE)</f>
        <v>5.2</v>
      </c>
      <c r="P14" s="271">
        <f>VLOOKUP($L14,$AG$6:$AK$106,5,FALSE)</f>
        <v>5.2</v>
      </c>
      <c r="Q14" s="379"/>
      <c r="S14" s="350">
        <v>0.125</v>
      </c>
      <c r="T14" s="351">
        <v>4</v>
      </c>
      <c r="U14" s="351"/>
      <c r="V14" s="351"/>
      <c r="W14" s="352">
        <v>33</v>
      </c>
      <c r="X14" s="351"/>
      <c r="Y14" s="351"/>
      <c r="Z14" s="353"/>
      <c r="AA14" s="353"/>
      <c r="AB14" s="353"/>
      <c r="AC14" s="175">
        <f t="shared" si="7"/>
        <v>5.65</v>
      </c>
      <c r="AD14" s="340">
        <v>257</v>
      </c>
      <c r="AE14" s="341">
        <v>58</v>
      </c>
      <c r="AG14" s="175">
        <v>8112</v>
      </c>
      <c r="AH14" s="254" t="s">
        <v>21</v>
      </c>
      <c r="AI14" s="380">
        <v>23.4</v>
      </c>
      <c r="AJ14" s="380">
        <v>21</v>
      </c>
      <c r="AK14" s="255">
        <v>21</v>
      </c>
      <c r="AN14" s="256"/>
      <c r="AO14" s="257">
        <v>1.7549999999999999</v>
      </c>
      <c r="AZ14" s="231" t="s">
        <v>371</v>
      </c>
      <c r="BA14" s="231"/>
      <c r="BB14" s="231"/>
      <c r="BC14" s="231"/>
      <c r="BD14" s="381"/>
      <c r="BE14" s="230"/>
      <c r="BF14" s="182"/>
      <c r="BG14" s="231"/>
      <c r="BH14" s="382" t="s">
        <v>372</v>
      </c>
      <c r="BI14" s="382"/>
      <c r="BJ14" s="382"/>
      <c r="BK14" s="382"/>
      <c r="BL14" s="182"/>
      <c r="BM14" s="182"/>
      <c r="BN14" s="383" t="s">
        <v>373</v>
      </c>
      <c r="BO14" s="384"/>
      <c r="BP14" s="359"/>
      <c r="BQ14" s="360"/>
      <c r="BR14" s="372"/>
      <c r="BS14" s="385" t="e">
        <f>(BP12-BP13)/BP13*100</f>
        <v>#DIV/0!</v>
      </c>
      <c r="BT14" s="188"/>
      <c r="BU14" s="232"/>
      <c r="BV14" s="188"/>
      <c r="BW14" s="188"/>
      <c r="BX14" s="188"/>
      <c r="BY14" s="188"/>
      <c r="BZ14" s="188"/>
      <c r="CA14" s="188"/>
      <c r="CB14" s="188"/>
      <c r="CC14" s="188"/>
      <c r="CD14" s="188"/>
      <c r="CE14" s="181"/>
      <c r="CF14" s="181"/>
      <c r="CG14" s="188"/>
      <c r="CH14" s="188"/>
      <c r="CI14" s="188"/>
      <c r="CJ14" s="188"/>
      <c r="CK14" s="188"/>
      <c r="CL14" s="188"/>
      <c r="CM14" s="188"/>
      <c r="CN14" s="188"/>
      <c r="CO14" s="386"/>
      <c r="CP14" s="386"/>
      <c r="CQ14" s="386"/>
      <c r="CR14" s="386"/>
      <c r="CS14" s="386"/>
      <c r="CT14" s="386"/>
      <c r="CU14" s="386"/>
      <c r="CV14" s="386"/>
      <c r="CW14" s="386"/>
      <c r="CX14" s="386"/>
      <c r="CY14" s="386"/>
      <c r="CZ14" s="387"/>
      <c r="DA14" s="387"/>
      <c r="DB14" s="388"/>
      <c r="DC14" s="388"/>
      <c r="DD14" s="388"/>
      <c r="DE14" s="388"/>
      <c r="DF14" s="388"/>
      <c r="DG14" s="388"/>
      <c r="DH14" s="388"/>
      <c r="DI14" s="388"/>
      <c r="DJ14" s="388"/>
      <c r="DK14" s="388"/>
      <c r="DL14" s="388"/>
      <c r="DM14" s="388"/>
      <c r="DN14" s="388"/>
      <c r="DO14" s="388"/>
      <c r="DP14" s="388"/>
      <c r="DQ14" s="388"/>
      <c r="DR14" s="388"/>
      <c r="DS14" s="388"/>
      <c r="DT14" s="388"/>
      <c r="DU14" s="388"/>
      <c r="DV14" s="388"/>
      <c r="DW14" s="388"/>
      <c r="DX14" s="388"/>
      <c r="DY14" s="388"/>
      <c r="DZ14" s="388"/>
      <c r="EA14" s="386"/>
      <c r="EB14" s="388"/>
      <c r="EC14" s="388"/>
      <c r="ED14" s="389"/>
      <c r="EE14" s="389"/>
      <c r="EF14" s="389"/>
      <c r="EG14" s="388"/>
      <c r="EH14" s="388"/>
      <c r="EI14" s="388"/>
      <c r="EJ14" s="388"/>
      <c r="EK14" s="388"/>
      <c r="EL14" s="388"/>
      <c r="EM14" s="388"/>
      <c r="EN14" s="388"/>
      <c r="EO14" s="388"/>
      <c r="EP14" s="388"/>
      <c r="EQ14" s="388"/>
      <c r="ER14" s="390"/>
      <c r="ES14" s="388"/>
      <c r="ET14" s="388"/>
      <c r="EU14" s="388"/>
      <c r="EV14" s="388"/>
      <c r="EW14" s="388"/>
      <c r="EX14" s="388"/>
      <c r="EY14" s="388"/>
      <c r="EZ14" s="388"/>
      <c r="FA14" s="388"/>
      <c r="FB14" s="388"/>
      <c r="FC14" s="388"/>
      <c r="FD14" s="388"/>
      <c r="FE14" s="388"/>
      <c r="FF14" s="388"/>
      <c r="FG14" s="388"/>
      <c r="FH14" s="388"/>
      <c r="FI14" s="388"/>
      <c r="FJ14" s="388"/>
      <c r="FK14" s="181"/>
      <c r="FL14" s="181"/>
      <c r="FM14" s="181"/>
      <c r="FN14" s="181"/>
      <c r="FO14" s="181"/>
      <c r="FP14" s="181"/>
      <c r="FQ14" s="181"/>
      <c r="FR14" s="181"/>
      <c r="FS14" s="181"/>
      <c r="FT14" s="181"/>
      <c r="FU14" s="181"/>
      <c r="FV14" s="181"/>
      <c r="FW14" s="181"/>
      <c r="FX14" s="181"/>
      <c r="FY14" s="181"/>
      <c r="FZ14" s="181"/>
      <c r="GA14" s="181"/>
      <c r="GB14" s="181"/>
      <c r="GC14" s="181"/>
      <c r="GD14" s="181"/>
      <c r="GE14" s="181"/>
      <c r="GF14" s="181"/>
      <c r="JB14" s="175"/>
      <c r="JC14" s="175"/>
      <c r="JD14" s="175"/>
      <c r="JE14" s="175"/>
      <c r="JF14" s="175"/>
      <c r="JG14" s="175"/>
      <c r="JH14" s="175"/>
      <c r="JI14" s="175"/>
      <c r="JJ14" s="175"/>
      <c r="JK14" s="175"/>
      <c r="JL14" s="175"/>
      <c r="JM14" s="175"/>
      <c r="JN14" s="175"/>
      <c r="JO14" s="175"/>
      <c r="JP14" s="175"/>
      <c r="JQ14" s="175"/>
      <c r="JR14" s="175"/>
      <c r="JS14" s="175"/>
      <c r="JT14" s="175"/>
      <c r="JU14" s="175"/>
      <c r="JV14" s="175"/>
      <c r="JW14" s="175"/>
      <c r="JX14" s="175"/>
      <c r="JY14" s="175"/>
      <c r="ON14" s="223" t="s">
        <v>267</v>
      </c>
      <c r="OO14" s="224" t="s">
        <v>268</v>
      </c>
      <c r="OP14" s="224">
        <v>1013</v>
      </c>
      <c r="OQ14" s="224" t="s">
        <v>374</v>
      </c>
      <c r="OR14" s="224">
        <f ca="1">VLOOKUP($OP14,INDIRECT($ON14):INDIRECT($OO14),4,FALSE)</f>
        <v>23.64</v>
      </c>
      <c r="OS14" s="224">
        <f ca="1">VLOOKUP($OP14,INDIRECT($ON14):INDIRECT($OO14),5,FALSE)</f>
        <v>9.4</v>
      </c>
      <c r="OT14" s="224">
        <f ca="1">VLOOKUP($OP14,INDIRECT($ON14):INDIRECT($OO14),6,FALSE)</f>
        <v>3.8</v>
      </c>
    </row>
    <row r="15" spans="1:410" ht="15.75" thickBot="1" x14ac:dyDescent="0.3">
      <c r="A15" s="175">
        <v>1002</v>
      </c>
      <c r="B15" s="391">
        <f t="shared" si="12"/>
        <v>36.09375</v>
      </c>
      <c r="C15" s="392" t="s">
        <v>58</v>
      </c>
      <c r="D15" s="393">
        <v>866.25</v>
      </c>
      <c r="E15" s="394">
        <f t="shared" si="13"/>
        <v>72</v>
      </c>
      <c r="F15" s="395">
        <f t="shared" si="14"/>
        <v>49.3</v>
      </c>
      <c r="G15" s="396">
        <v>8002</v>
      </c>
      <c r="H15" s="392" t="str">
        <f>IF(I15&gt;0,"Ankhu Khola - 1_8.4("&amp;ROUND(I15/24,3)&amp;")","Ankhu Khola - 1_8.4")</f>
        <v>Ankhu Khola - 1_8.4(2.395)</v>
      </c>
      <c r="I15" s="397">
        <v>57.48</v>
      </c>
      <c r="J15" s="398">
        <f>$I15/24</f>
        <v>2.395</v>
      </c>
      <c r="K15" s="289">
        <f>$I15/24</f>
        <v>2.395</v>
      </c>
      <c r="L15" s="396">
        <v>8068</v>
      </c>
      <c r="M15" s="392" t="str">
        <f>IF(N15&gt;0,"Naugadh gad Khola_8.5("&amp;ROUND(N15/24,3)&amp;")","Naugadh gad Khola_8.5")</f>
        <v>Naugadh gad Khola_8.5(3.667)</v>
      </c>
      <c r="N15" s="397">
        <v>88</v>
      </c>
      <c r="O15" s="398">
        <f>$N15/24</f>
        <v>3.6666666666666665</v>
      </c>
      <c r="P15" s="289">
        <f>$N15/24</f>
        <v>3.6666666666666665</v>
      </c>
      <c r="Q15" s="379"/>
      <c r="R15" s="349"/>
      <c r="S15" s="350">
        <v>0.16666666666666699</v>
      </c>
      <c r="T15" s="351">
        <v>4</v>
      </c>
      <c r="U15" s="351"/>
      <c r="V15" s="351"/>
      <c r="W15" s="352">
        <v>34</v>
      </c>
      <c r="X15" s="351"/>
      <c r="Y15" s="351"/>
      <c r="Z15" s="353"/>
      <c r="AA15" s="353"/>
      <c r="AB15" s="353"/>
      <c r="AC15" s="175">
        <f t="shared" si="7"/>
        <v>5.7</v>
      </c>
      <c r="AD15" s="340">
        <v>270</v>
      </c>
      <c r="AE15" s="341">
        <v>58</v>
      </c>
      <c r="AG15" s="175">
        <v>8063</v>
      </c>
      <c r="AH15" s="254" t="s">
        <v>22</v>
      </c>
      <c r="AI15" s="380">
        <v>11</v>
      </c>
      <c r="AJ15" s="380">
        <v>9.5</v>
      </c>
      <c r="AK15" s="255">
        <v>11</v>
      </c>
      <c r="AN15" s="256"/>
      <c r="AO15" s="257">
        <v>1.5999999999999999</v>
      </c>
      <c r="AZ15" s="231"/>
      <c r="BA15">
        <v>1009</v>
      </c>
      <c r="BB15" s="231">
        <v>1007</v>
      </c>
      <c r="BC15" s="231">
        <v>1011</v>
      </c>
      <c r="BD15" s="381"/>
      <c r="BE15" s="264"/>
      <c r="BF15" s="399"/>
      <c r="BG15" s="231"/>
      <c r="BH15" s="400"/>
      <c r="BI15" s="400"/>
      <c r="BJ15" s="400"/>
      <c r="BK15" s="400"/>
      <c r="BL15" s="182"/>
      <c r="BM15" s="182"/>
      <c r="BN15" s="181"/>
      <c r="BO15" s="181"/>
      <c r="BP15" s="181"/>
      <c r="BQ15" s="181"/>
      <c r="BR15" s="187"/>
      <c r="BS15" s="385" t="s">
        <v>375</v>
      </c>
      <c r="BT15" s="401" t="s">
        <v>7</v>
      </c>
      <c r="BU15">
        <v>8029</v>
      </c>
      <c r="BV15">
        <v>8108</v>
      </c>
      <c r="BW15">
        <v>8090</v>
      </c>
      <c r="BX15">
        <v>8034</v>
      </c>
      <c r="BY15">
        <v>8118</v>
      </c>
      <c r="BZ15">
        <v>8123</v>
      </c>
      <c r="CA15">
        <v>8067</v>
      </c>
      <c r="CB15">
        <v>8050</v>
      </c>
      <c r="CC15">
        <v>8052</v>
      </c>
      <c r="CD15">
        <v>8064</v>
      </c>
      <c r="CE15">
        <v>8039</v>
      </c>
      <c r="CF15">
        <v>8032</v>
      </c>
      <c r="CG15">
        <v>8092</v>
      </c>
      <c r="CH15">
        <v>8100</v>
      </c>
      <c r="CI15">
        <v>8055</v>
      </c>
      <c r="CJ15">
        <v>8001</v>
      </c>
      <c r="CK15">
        <v>8081</v>
      </c>
      <c r="CL15">
        <v>8011</v>
      </c>
      <c r="CM15">
        <v>8068</v>
      </c>
      <c r="CN15">
        <v>8116</v>
      </c>
      <c r="CO15">
        <v>8002</v>
      </c>
      <c r="CP15">
        <v>8057</v>
      </c>
      <c r="CQ15">
        <v>8106</v>
      </c>
      <c r="CR15">
        <v>8126</v>
      </c>
      <c r="CS15">
        <v>8099</v>
      </c>
      <c r="CT15">
        <v>8037</v>
      </c>
      <c r="CU15">
        <v>8030</v>
      </c>
      <c r="CV15">
        <v>8120</v>
      </c>
      <c r="CW15">
        <v>8066</v>
      </c>
      <c r="CX15">
        <v>8085</v>
      </c>
      <c r="CY15">
        <v>8119</v>
      </c>
      <c r="CZ15">
        <v>8124</v>
      </c>
      <c r="DA15">
        <v>8082</v>
      </c>
      <c r="DB15">
        <v>8087</v>
      </c>
      <c r="DC15">
        <v>8102</v>
      </c>
      <c r="DD15">
        <v>8049</v>
      </c>
      <c r="DE15">
        <v>8019</v>
      </c>
      <c r="DF15">
        <v>8122</v>
      </c>
      <c r="DG15">
        <v>8005</v>
      </c>
      <c r="DH15">
        <v>8025</v>
      </c>
      <c r="DI15">
        <v>8026</v>
      </c>
      <c r="DJ15">
        <v>8058</v>
      </c>
      <c r="DK15">
        <v>8074</v>
      </c>
      <c r="DL15">
        <v>8105</v>
      </c>
      <c r="DM15">
        <v>8117</v>
      </c>
      <c r="DN15">
        <v>8054</v>
      </c>
      <c r="DO15">
        <v>8079</v>
      </c>
      <c r="DP15">
        <v>8072</v>
      </c>
      <c r="DQ15">
        <v>8094</v>
      </c>
      <c r="DR15">
        <v>8059</v>
      </c>
      <c r="DS15">
        <v>8070</v>
      </c>
      <c r="DT15">
        <v>8008</v>
      </c>
      <c r="DU15">
        <v>8056</v>
      </c>
      <c r="DV15">
        <v>8028</v>
      </c>
      <c r="DW15">
        <v>8009</v>
      </c>
      <c r="DX15">
        <v>8077</v>
      </c>
      <c r="DY15">
        <v>8111</v>
      </c>
      <c r="DZ15">
        <v>8004</v>
      </c>
      <c r="EA15">
        <v>8014</v>
      </c>
      <c r="EB15">
        <v>8042</v>
      </c>
      <c r="EC15">
        <v>8076</v>
      </c>
      <c r="ED15">
        <v>8083</v>
      </c>
      <c r="EE15">
        <v>8088</v>
      </c>
      <c r="EF15">
        <v>8114</v>
      </c>
      <c r="EG15">
        <v>8101</v>
      </c>
      <c r="EH15">
        <v>8023</v>
      </c>
      <c r="EI15">
        <v>8015</v>
      </c>
      <c r="EJ15">
        <v>8040</v>
      </c>
      <c r="EK15">
        <v>8007</v>
      </c>
      <c r="EL15">
        <v>8013</v>
      </c>
      <c r="EM15">
        <v>8021</v>
      </c>
      <c r="EN15">
        <v>8024</v>
      </c>
      <c r="EO15">
        <v>8031</v>
      </c>
      <c r="EP15">
        <v>8061</v>
      </c>
      <c r="EQ15">
        <v>8075</v>
      </c>
      <c r="ER15">
        <v>8127</v>
      </c>
      <c r="ES15">
        <v>8128</v>
      </c>
      <c r="ET15">
        <v>8012</v>
      </c>
      <c r="EU15">
        <v>8018</v>
      </c>
      <c r="EV15">
        <v>8098</v>
      </c>
      <c r="EW15">
        <v>8080</v>
      </c>
      <c r="EX15">
        <v>8129</v>
      </c>
      <c r="EY15">
        <v>8036</v>
      </c>
      <c r="EZ15">
        <v>8016</v>
      </c>
      <c r="FA15">
        <v>8035</v>
      </c>
      <c r="FB15">
        <v>8041</v>
      </c>
      <c r="FC15">
        <v>8047</v>
      </c>
      <c r="FD15">
        <v>8060</v>
      </c>
      <c r="FE15">
        <v>8110</v>
      </c>
      <c r="FF15">
        <v>8109</v>
      </c>
      <c r="FG15">
        <v>8020</v>
      </c>
      <c r="FH15">
        <v>8043</v>
      </c>
      <c r="FI15">
        <v>8027</v>
      </c>
      <c r="FJ15">
        <v>8048</v>
      </c>
      <c r="FK15">
        <v>8033</v>
      </c>
      <c r="FL15">
        <v>8065</v>
      </c>
      <c r="FM15">
        <v>8071</v>
      </c>
      <c r="FN15">
        <v>8073</v>
      </c>
      <c r="FO15">
        <v>8017</v>
      </c>
      <c r="FP15">
        <v>8115</v>
      </c>
      <c r="FQ15">
        <v>8053</v>
      </c>
      <c r="FR15">
        <v>8089</v>
      </c>
      <c r="FS15">
        <v>8010</v>
      </c>
      <c r="FT15">
        <v>8093</v>
      </c>
      <c r="FU15">
        <v>8096</v>
      </c>
      <c r="FV15">
        <v>8022</v>
      </c>
      <c r="FW15">
        <v>8006</v>
      </c>
      <c r="FX15">
        <v>8078</v>
      </c>
      <c r="FY15">
        <v>8084</v>
      </c>
      <c r="FZ15">
        <v>8103</v>
      </c>
      <c r="GA15">
        <v>8062</v>
      </c>
      <c r="GB15">
        <v>8095</v>
      </c>
      <c r="GC15">
        <v>8044</v>
      </c>
      <c r="GD15">
        <v>8104</v>
      </c>
      <c r="GE15" s="181"/>
      <c r="GF15">
        <v>8130</v>
      </c>
      <c r="GG15">
        <v>8131</v>
      </c>
      <c r="GH15">
        <v>8132</v>
      </c>
      <c r="GI15">
        <v>8133</v>
      </c>
      <c r="GJ15">
        <v>8134</v>
      </c>
      <c r="GK15">
        <v>8135</v>
      </c>
      <c r="GL15">
        <v>8136</v>
      </c>
      <c r="GM15">
        <v>8137</v>
      </c>
      <c r="GN15">
        <v>8138</v>
      </c>
      <c r="GO15">
        <v>8139</v>
      </c>
      <c r="JB15" s="175"/>
      <c r="JC15" s="175"/>
      <c r="JD15" s="175"/>
      <c r="JE15" s="175"/>
      <c r="JF15" s="175"/>
      <c r="JG15" s="175"/>
      <c r="JH15" s="175"/>
      <c r="JI15" s="175"/>
      <c r="JJ15" s="175"/>
      <c r="JK15" s="175"/>
      <c r="JL15" s="175"/>
      <c r="JM15" s="175"/>
      <c r="JN15" s="175"/>
      <c r="JO15" s="175"/>
      <c r="JP15" s="175"/>
      <c r="JQ15" s="175"/>
      <c r="JR15" s="175"/>
      <c r="JS15" s="175"/>
      <c r="JT15" s="175"/>
      <c r="JU15" s="175"/>
      <c r="JV15" s="175"/>
      <c r="JW15" s="175"/>
      <c r="JX15" s="175"/>
      <c r="JY15" s="175"/>
      <c r="ON15" s="223" t="s">
        <v>267</v>
      </c>
      <c r="OO15" s="224" t="s">
        <v>268</v>
      </c>
      <c r="OP15" s="224">
        <v>1014</v>
      </c>
      <c r="OQ15" s="224" t="s">
        <v>376</v>
      </c>
      <c r="OR15" s="224">
        <f ca="1">VLOOKUP($OP15,INDIRECT($ON15):INDIRECT($OO15),4,FALSE)</f>
        <v>16.2</v>
      </c>
      <c r="OS15" s="224">
        <f ca="1">VLOOKUP($OP15,INDIRECT($ON15):INDIRECT($OO15),5,FALSE)</f>
        <v>3.4</v>
      </c>
      <c r="OT15" s="224">
        <f ca="1">VLOOKUP($OP15,INDIRECT($ON15):INDIRECT($OO15),6,FALSE)</f>
        <v>1.4</v>
      </c>
    </row>
    <row r="16" spans="1:410" ht="52.5" customHeight="1" thickTop="1" x14ac:dyDescent="0.2">
      <c r="A16" s="175">
        <v>1003</v>
      </c>
      <c r="B16" s="391">
        <f t="shared" si="12"/>
        <v>39.054166666666667</v>
      </c>
      <c r="C16" s="392" t="s">
        <v>59</v>
      </c>
      <c r="D16" s="393">
        <v>937.3</v>
      </c>
      <c r="E16" s="394">
        <f t="shared" si="13"/>
        <v>68</v>
      </c>
      <c r="F16" s="395">
        <f t="shared" si="14"/>
        <v>69</v>
      </c>
      <c r="G16" s="396">
        <v>8003</v>
      </c>
      <c r="H16" s="392" t="str">
        <f>IF(I16&gt;0,"Bagmati Khola Small_22("&amp;ROUND(I16/24,3)&amp;")","Bagmati Khola Small_22")</f>
        <v>Bagmati Khola Small_22(11.558)</v>
      </c>
      <c r="I16" s="397">
        <v>277.38</v>
      </c>
      <c r="J16" s="398">
        <f>VLOOKUP($G16,$AG$6:$AK$106,3,FALSE)</f>
        <v>9.4</v>
      </c>
      <c r="K16" s="289">
        <f>VLOOKUP($G16,$AG$6:$AK$106,5,FALSE)</f>
        <v>9.4</v>
      </c>
      <c r="L16" s="396">
        <v>8069</v>
      </c>
      <c r="M16" s="392" t="str">
        <f>IF(N16&gt;0,"Nyadi_30("&amp;ROUND(N16/24,3)&amp;")","Nyadi_30")</f>
        <v>Nyadi_30(9.69)</v>
      </c>
      <c r="N16" s="402">
        <v>232.57</v>
      </c>
      <c r="O16" s="398">
        <f>VLOOKUP($L16,$AG$6:$AK$106,3,FALSE)</f>
        <v>9.8000000000000007</v>
      </c>
      <c r="P16" s="289">
        <f>VLOOKUP($L16,$AG$6:$AK$106,5,FALSE)</f>
        <v>9.1</v>
      </c>
      <c r="Q16" s="379"/>
      <c r="R16" s="349"/>
      <c r="S16" s="350">
        <v>0.20833333333333401</v>
      </c>
      <c r="T16" s="351">
        <v>4.5999999999999996</v>
      </c>
      <c r="U16" s="351"/>
      <c r="V16" s="351"/>
      <c r="W16" s="352">
        <v>52</v>
      </c>
      <c r="X16" s="351"/>
      <c r="Y16" s="351"/>
      <c r="Z16" s="353"/>
      <c r="AA16" s="353"/>
      <c r="AB16" s="353"/>
      <c r="AC16" s="175">
        <f t="shared" si="7"/>
        <v>7.1999999999999993</v>
      </c>
      <c r="AD16" s="340">
        <v>266.8</v>
      </c>
      <c r="AE16" s="341">
        <v>58</v>
      </c>
      <c r="AG16" s="175">
        <v>8136</v>
      </c>
      <c r="AH16" s="254" t="s">
        <v>377</v>
      </c>
      <c r="AI16" s="380">
        <v>17</v>
      </c>
      <c r="AJ16" s="380">
        <v>17</v>
      </c>
      <c r="AK16" s="255">
        <v>17</v>
      </c>
      <c r="AN16" s="256"/>
      <c r="AO16" s="257">
        <v>1.7265833333333334</v>
      </c>
      <c r="AZ16" s="246" t="s">
        <v>378</v>
      </c>
      <c r="BA16" s="273" t="s">
        <v>354</v>
      </c>
      <c r="BB16" s="273" t="s">
        <v>326</v>
      </c>
      <c r="BC16" s="273" t="s">
        <v>365</v>
      </c>
      <c r="BD16" s="403" t="s">
        <v>379</v>
      </c>
      <c r="BE16" s="200" t="s">
        <v>380</v>
      </c>
      <c r="BF16" s="201" t="s">
        <v>381</v>
      </c>
      <c r="BG16" s="184"/>
      <c r="BH16" s="404" t="s">
        <v>382</v>
      </c>
      <c r="BI16" s="405" t="s">
        <v>383</v>
      </c>
      <c r="BJ16" s="405" t="s">
        <v>384</v>
      </c>
      <c r="BK16" s="406" t="s">
        <v>385</v>
      </c>
      <c r="BL16" s="407"/>
      <c r="BM16" s="187"/>
      <c r="BN16" s="408" t="s">
        <v>386</v>
      </c>
      <c r="BO16" s="409"/>
      <c r="BP16" s="410"/>
      <c r="BQ16" s="411"/>
      <c r="BR16" s="412"/>
      <c r="BS16" s="413"/>
      <c r="BT16" s="280" t="s">
        <v>298</v>
      </c>
      <c r="BU16" s="273" t="s">
        <v>39</v>
      </c>
      <c r="BV16" s="273" t="s">
        <v>40</v>
      </c>
      <c r="BW16" s="273" t="s">
        <v>387</v>
      </c>
      <c r="BX16" s="273" t="s">
        <v>43</v>
      </c>
      <c r="BY16" s="273" t="s">
        <v>44</v>
      </c>
      <c r="BZ16" s="273" t="s">
        <v>388</v>
      </c>
      <c r="CA16" s="273" t="s">
        <v>46</v>
      </c>
      <c r="CB16" s="273" t="s">
        <v>47</v>
      </c>
      <c r="CC16" s="273" t="s">
        <v>48</v>
      </c>
      <c r="CD16" s="273" t="s">
        <v>49</v>
      </c>
      <c r="CE16" s="273" t="s">
        <v>124</v>
      </c>
      <c r="CF16" s="273" t="s">
        <v>125</v>
      </c>
      <c r="CG16" s="273" t="s">
        <v>126</v>
      </c>
      <c r="CH16" s="273" t="s">
        <v>127</v>
      </c>
      <c r="CI16" s="273" t="s">
        <v>128</v>
      </c>
      <c r="CJ16" s="273" t="s">
        <v>129</v>
      </c>
      <c r="CK16" s="273" t="s">
        <v>130</v>
      </c>
      <c r="CL16" s="273" t="s">
        <v>132</v>
      </c>
      <c r="CM16" s="273" t="s">
        <v>131</v>
      </c>
      <c r="CN16" s="273" t="s">
        <v>133</v>
      </c>
      <c r="CO16" s="273" t="s">
        <v>134</v>
      </c>
      <c r="CP16" s="273" t="s">
        <v>135</v>
      </c>
      <c r="CQ16" s="273" t="s">
        <v>137</v>
      </c>
      <c r="CR16" s="273" t="s">
        <v>136</v>
      </c>
      <c r="CS16" s="273" t="s">
        <v>138</v>
      </c>
      <c r="CT16" s="273" t="s">
        <v>139</v>
      </c>
      <c r="CU16" s="273" t="s">
        <v>140</v>
      </c>
      <c r="CV16" s="273" t="s">
        <v>141</v>
      </c>
      <c r="CW16" s="273" t="s">
        <v>143</v>
      </c>
      <c r="CX16" s="273" t="s">
        <v>389</v>
      </c>
      <c r="CY16" s="273" t="s">
        <v>145</v>
      </c>
      <c r="CZ16" s="273" t="s">
        <v>144</v>
      </c>
      <c r="DA16" s="273" t="s">
        <v>146</v>
      </c>
      <c r="DB16" s="273" t="s">
        <v>147</v>
      </c>
      <c r="DC16" s="273" t="s">
        <v>148</v>
      </c>
      <c r="DD16" s="273" t="s">
        <v>149</v>
      </c>
      <c r="DE16" s="273" t="s">
        <v>150</v>
      </c>
      <c r="DF16" s="273" t="s">
        <v>151</v>
      </c>
      <c r="DG16" s="273" t="s">
        <v>158</v>
      </c>
      <c r="DH16" s="273" t="s">
        <v>156</v>
      </c>
      <c r="DI16" s="273" t="s">
        <v>157</v>
      </c>
      <c r="DJ16" s="273" t="s">
        <v>153</v>
      </c>
      <c r="DK16" s="273" t="s">
        <v>155</v>
      </c>
      <c r="DL16" s="273" t="s">
        <v>152</v>
      </c>
      <c r="DM16" s="273" t="s">
        <v>154</v>
      </c>
      <c r="DN16" s="273" t="s">
        <v>159</v>
      </c>
      <c r="DO16" s="273" t="s">
        <v>160</v>
      </c>
      <c r="DP16" s="273" t="s">
        <v>162</v>
      </c>
      <c r="DQ16" s="273" t="s">
        <v>161</v>
      </c>
      <c r="DR16" s="273" t="s">
        <v>163</v>
      </c>
      <c r="DS16" s="273" t="s">
        <v>164</v>
      </c>
      <c r="DT16" s="273" t="s">
        <v>166</v>
      </c>
      <c r="DU16" s="273" t="s">
        <v>165</v>
      </c>
      <c r="DV16" s="273" t="s">
        <v>167</v>
      </c>
      <c r="DW16" s="273" t="s">
        <v>168</v>
      </c>
      <c r="DX16" s="273" t="s">
        <v>169</v>
      </c>
      <c r="DY16" s="273" t="s">
        <v>170</v>
      </c>
      <c r="DZ16" s="273" t="s">
        <v>171</v>
      </c>
      <c r="EA16" s="273" t="s">
        <v>176</v>
      </c>
      <c r="EB16" s="273" t="s">
        <v>172</v>
      </c>
      <c r="EC16" s="273" t="s">
        <v>174</v>
      </c>
      <c r="ED16" s="273" t="s">
        <v>173</v>
      </c>
      <c r="EE16" s="273" t="s">
        <v>175</v>
      </c>
      <c r="EF16" s="273" t="s">
        <v>177</v>
      </c>
      <c r="EG16" s="273" t="s">
        <v>178</v>
      </c>
      <c r="EH16" s="273" t="s">
        <v>179</v>
      </c>
      <c r="EI16" s="273" t="s">
        <v>180</v>
      </c>
      <c r="EJ16" s="273" t="s">
        <v>181</v>
      </c>
      <c r="EK16" s="273" t="s">
        <v>184</v>
      </c>
      <c r="EL16" s="273" t="s">
        <v>183</v>
      </c>
      <c r="EM16" s="273" t="s">
        <v>190</v>
      </c>
      <c r="EN16" s="273" t="s">
        <v>188</v>
      </c>
      <c r="EO16" s="273" t="s">
        <v>189</v>
      </c>
      <c r="EP16" s="273" t="s">
        <v>186</v>
      </c>
      <c r="EQ16" s="273" t="s">
        <v>182</v>
      </c>
      <c r="ER16" s="273" t="s">
        <v>185</v>
      </c>
      <c r="ES16" s="273" t="s">
        <v>187</v>
      </c>
      <c r="ET16" s="273" t="s">
        <v>191</v>
      </c>
      <c r="EU16" s="273" t="s">
        <v>193</v>
      </c>
      <c r="EV16" s="273" t="s">
        <v>192</v>
      </c>
      <c r="EW16" s="273" t="s">
        <v>194</v>
      </c>
      <c r="EX16" s="273" t="s">
        <v>195</v>
      </c>
      <c r="EY16" s="273" t="s">
        <v>196</v>
      </c>
      <c r="EZ16" s="273" t="s">
        <v>197</v>
      </c>
      <c r="FA16" s="273" t="s">
        <v>198</v>
      </c>
      <c r="FB16" s="273" t="s">
        <v>199</v>
      </c>
      <c r="FC16" s="273" t="s">
        <v>201</v>
      </c>
      <c r="FD16" s="273" t="s">
        <v>200</v>
      </c>
      <c r="FE16" s="273" t="s">
        <v>202</v>
      </c>
      <c r="FF16" s="273" t="s">
        <v>203</v>
      </c>
      <c r="FG16" s="273" t="s">
        <v>204</v>
      </c>
      <c r="FH16" s="273" t="s">
        <v>390</v>
      </c>
      <c r="FI16" s="273" t="s">
        <v>207</v>
      </c>
      <c r="FJ16" s="273" t="s">
        <v>206</v>
      </c>
      <c r="FK16" s="273" t="s">
        <v>210</v>
      </c>
      <c r="FL16" s="273" t="s">
        <v>209</v>
      </c>
      <c r="FM16" s="273" t="s">
        <v>208</v>
      </c>
      <c r="FN16" s="273" t="s">
        <v>211</v>
      </c>
      <c r="FO16" s="273" t="s">
        <v>212</v>
      </c>
      <c r="FP16" s="273" t="s">
        <v>213</v>
      </c>
      <c r="FQ16" s="273" t="s">
        <v>214</v>
      </c>
      <c r="FR16" s="273" t="s">
        <v>215</v>
      </c>
      <c r="FS16" s="273" t="s">
        <v>216</v>
      </c>
      <c r="FT16" s="273" t="s">
        <v>217</v>
      </c>
      <c r="FU16" s="273" t="s">
        <v>218</v>
      </c>
      <c r="FV16" s="273" t="s">
        <v>219</v>
      </c>
      <c r="FW16" s="273" t="s">
        <v>220</v>
      </c>
      <c r="FX16" s="273" t="s">
        <v>221</v>
      </c>
      <c r="FY16" s="273" t="s">
        <v>222</v>
      </c>
      <c r="FZ16" s="273" t="s">
        <v>223</v>
      </c>
      <c r="GA16" s="273" t="s">
        <v>224</v>
      </c>
      <c r="GB16" s="273" t="s">
        <v>225</v>
      </c>
      <c r="GC16" s="273" t="s">
        <v>226</v>
      </c>
      <c r="GD16" s="273" t="s">
        <v>227</v>
      </c>
      <c r="GE16" s="414" t="s">
        <v>318</v>
      </c>
      <c r="GF16" s="273" t="s">
        <v>391</v>
      </c>
      <c r="GG16" s="273" t="s">
        <v>392</v>
      </c>
      <c r="GH16" s="273" t="s">
        <v>393</v>
      </c>
      <c r="GI16" s="273" t="s">
        <v>394</v>
      </c>
      <c r="GJ16" s="273" t="s">
        <v>26</v>
      </c>
      <c r="GK16" s="273" t="s">
        <v>395</v>
      </c>
      <c r="GL16" s="273" t="s">
        <v>396</v>
      </c>
      <c r="GM16" s="273" t="s">
        <v>38</v>
      </c>
      <c r="GN16" s="273" t="s">
        <v>397</v>
      </c>
      <c r="GO16" s="273" t="s">
        <v>398</v>
      </c>
      <c r="JB16" s="175"/>
      <c r="JC16" s="175"/>
      <c r="JD16" s="175"/>
      <c r="JE16" s="175"/>
      <c r="JF16" s="175"/>
      <c r="JG16" s="175"/>
      <c r="JH16" s="175"/>
      <c r="JI16" s="175"/>
      <c r="JJ16" s="175"/>
      <c r="JK16" s="175"/>
      <c r="JL16" s="175"/>
      <c r="JM16" s="175"/>
      <c r="JN16" s="175"/>
      <c r="JO16" s="175"/>
      <c r="JP16" s="175"/>
      <c r="JQ16" s="175"/>
      <c r="JR16" s="175"/>
      <c r="JS16" s="175"/>
      <c r="JT16" s="175"/>
      <c r="JU16" s="175"/>
      <c r="JV16" s="175"/>
      <c r="JW16" s="175"/>
      <c r="JX16" s="175"/>
      <c r="JY16" s="175"/>
      <c r="ON16" s="223" t="s">
        <v>267</v>
      </c>
      <c r="OO16" s="224" t="s">
        <v>268</v>
      </c>
      <c r="OP16" s="224">
        <v>1015</v>
      </c>
      <c r="OQ16" s="224" t="s">
        <v>309</v>
      </c>
      <c r="OR16" s="224">
        <f ca="1">VLOOKUP($OP16,INDIRECT($ON16):INDIRECT($OO16),4,FALSE)</f>
        <v>6.62</v>
      </c>
      <c r="OS16" s="224">
        <f ca="1">VLOOKUP($OP16,INDIRECT($ON16):INDIRECT($OO16),5,FALSE)</f>
        <v>0.27583333333333332</v>
      </c>
      <c r="OT16" s="224">
        <f ca="1">VLOOKUP($OP16,INDIRECT($ON16):INDIRECT($OO16),6,FALSE)</f>
        <v>0.27583333333333332</v>
      </c>
    </row>
    <row r="17" spans="1:410" ht="45" customHeight="1" x14ac:dyDescent="0.2">
      <c r="A17" s="175">
        <v>1004</v>
      </c>
      <c r="B17" s="391">
        <f t="shared" si="12"/>
        <v>51.25</v>
      </c>
      <c r="C17" s="392" t="s">
        <v>60</v>
      </c>
      <c r="D17" s="415">
        <v>1230</v>
      </c>
      <c r="E17" s="394">
        <f t="shared" si="13"/>
        <v>58.2</v>
      </c>
      <c r="F17" s="395">
        <f t="shared" si="14"/>
        <v>47.6</v>
      </c>
      <c r="G17" s="396">
        <v>8004</v>
      </c>
      <c r="H17" s="392" t="str">
        <f>IF(I17&gt;0,"Baramchi Khola_4.2("&amp;ROUND(I17/24,3)&amp;")","Baramchi Khola_4.2")</f>
        <v>Baramchi Khola_4.2(0.895)</v>
      </c>
      <c r="I17" s="402">
        <v>21.475000000000001</v>
      </c>
      <c r="J17" s="398">
        <f t="shared" ref="J17:K44" si="15">$I17/24</f>
        <v>0.89479166666666676</v>
      </c>
      <c r="K17" s="289">
        <f t="shared" si="15"/>
        <v>0.89479166666666676</v>
      </c>
      <c r="L17" s="396">
        <v>8070</v>
      </c>
      <c r="M17" s="416" t="str">
        <f>IF(N17&gt;0,"Padam Khola_4.8("&amp;ROUND(N17/24,3)&amp;")","Padam Khola_4.8")</f>
        <v>Padam Khola_4.8</v>
      </c>
      <c r="N17" s="397"/>
      <c r="O17" s="398">
        <f t="shared" ref="O17:P33" si="16">$N17/24</f>
        <v>0</v>
      </c>
      <c r="P17" s="289">
        <f t="shared" si="16"/>
        <v>0</v>
      </c>
      <c r="Q17" s="379"/>
      <c r="S17" s="350">
        <v>0.25</v>
      </c>
      <c r="T17" s="351">
        <v>4.9000000000000004</v>
      </c>
      <c r="U17" s="351"/>
      <c r="V17" s="351"/>
      <c r="W17" s="352">
        <v>57</v>
      </c>
      <c r="X17" s="351"/>
      <c r="Y17" s="351"/>
      <c r="Z17" s="353"/>
      <c r="AA17" s="353"/>
      <c r="AB17" s="353"/>
      <c r="AC17" s="175">
        <f t="shared" si="7"/>
        <v>7.75</v>
      </c>
      <c r="AD17" s="340">
        <v>310</v>
      </c>
      <c r="AE17" s="341">
        <v>58</v>
      </c>
      <c r="AG17" s="175">
        <v>8069</v>
      </c>
      <c r="AH17" s="254" t="s">
        <v>24</v>
      </c>
      <c r="AI17" s="380">
        <v>9.8000000000000007</v>
      </c>
      <c r="AJ17" s="380">
        <v>9.1</v>
      </c>
      <c r="AK17" s="255">
        <v>9.1</v>
      </c>
      <c r="AN17" s="256"/>
      <c r="AO17" s="257">
        <v>1.3</v>
      </c>
      <c r="AZ17" s="293" t="s">
        <v>324</v>
      </c>
      <c r="BA17" s="294">
        <f ca="1">VLOOKUP(BA$15,$OP$2:$OT$300,3,FALSE)</f>
        <v>114.6</v>
      </c>
      <c r="BB17" s="294">
        <f ca="1">VLOOKUP(BB$15,$OP$2:$OT$300,3,FALSE)</f>
        <v>80.5</v>
      </c>
      <c r="BC17" s="294">
        <f ca="1">VLOOKUP(BC$15,$OP$2:$OT$300,3,FALSE)</f>
        <v>59</v>
      </c>
      <c r="BD17" s="417"/>
      <c r="BE17" s="417"/>
      <c r="BF17" s="418">
        <f ca="1">BE17+BM8+BI8</f>
        <v>5586.4049999999997</v>
      </c>
      <c r="BG17" s="419"/>
      <c r="BH17" s="293" t="s">
        <v>283</v>
      </c>
      <c r="BI17" s="343"/>
      <c r="BJ17" s="343"/>
      <c r="BK17" s="420"/>
      <c r="BL17" s="421"/>
      <c r="BM17" s="422"/>
      <c r="BN17" s="423" t="s">
        <v>399</v>
      </c>
      <c r="BO17" s="424"/>
      <c r="BP17" s="262"/>
      <c r="BQ17" s="263"/>
      <c r="BR17" s="296"/>
      <c r="BS17" s="425"/>
      <c r="BT17" s="426" t="s">
        <v>324</v>
      </c>
      <c r="BU17" s="294">
        <f ca="1">VLOOKUP(BU$15,$OP$2:$OT$300,3,FALSE)</f>
        <v>81.5</v>
      </c>
      <c r="BV17" s="294">
        <f t="shared" ref="BV17:EG17" ca="1" si="17">VLOOKUP(BV$15,$OP$2:$OT$300,3,FALSE)</f>
        <v>0</v>
      </c>
      <c r="BW17" s="294">
        <f t="shared" ca="1" si="17"/>
        <v>76.58</v>
      </c>
      <c r="BX17" s="294">
        <f t="shared" ca="1" si="17"/>
        <v>250.45599999999999</v>
      </c>
      <c r="BY17" s="294">
        <f t="shared" ca="1" si="17"/>
        <v>52.56</v>
      </c>
      <c r="BZ17" s="294">
        <f t="shared" ca="1" si="17"/>
        <v>71.38</v>
      </c>
      <c r="CA17" s="294">
        <f t="shared" ca="1" si="17"/>
        <v>87.51</v>
      </c>
      <c r="CB17" s="294">
        <f t="shared" ca="1" si="17"/>
        <v>0</v>
      </c>
      <c r="CC17" s="294">
        <f t="shared" ca="1" si="17"/>
        <v>92.84</v>
      </c>
      <c r="CD17" s="294">
        <f t="shared" ca="1" si="17"/>
        <v>0</v>
      </c>
      <c r="CE17" s="294">
        <f t="shared" ca="1" si="17"/>
        <v>60</v>
      </c>
      <c r="CF17" s="294">
        <f t="shared" ca="1" si="17"/>
        <v>49.9</v>
      </c>
      <c r="CG17" s="294">
        <f t="shared" ca="1" si="17"/>
        <v>37.159999999999997</v>
      </c>
      <c r="CH17" s="294">
        <f t="shared" ca="1" si="17"/>
        <v>62.17</v>
      </c>
      <c r="CI17" s="294">
        <f t="shared" ca="1" si="17"/>
        <v>72.69</v>
      </c>
      <c r="CJ17" s="294">
        <f t="shared" ca="1" si="17"/>
        <v>170.82</v>
      </c>
      <c r="CK17" s="294">
        <f t="shared" ca="1" si="17"/>
        <v>66.81</v>
      </c>
      <c r="CL17" s="294">
        <f t="shared" ca="1" si="17"/>
        <v>0</v>
      </c>
      <c r="CM17" s="294">
        <f t="shared" ca="1" si="17"/>
        <v>88</v>
      </c>
      <c r="CN17" s="294">
        <f t="shared" ca="1" si="17"/>
        <v>51.31</v>
      </c>
      <c r="CO17" s="294">
        <f t="shared" ca="1" si="17"/>
        <v>57.48</v>
      </c>
      <c r="CP17" s="294">
        <f t="shared" ca="1" si="17"/>
        <v>0</v>
      </c>
      <c r="CQ17" s="294">
        <f t="shared" ca="1" si="17"/>
        <v>65.709999999999994</v>
      </c>
      <c r="CR17" s="294">
        <f t="shared" ca="1" si="17"/>
        <v>62.3</v>
      </c>
      <c r="CS17" s="294">
        <f t="shared" ca="1" si="17"/>
        <v>51.48</v>
      </c>
      <c r="CT17" s="294">
        <f t="shared" ca="1" si="17"/>
        <v>30.59</v>
      </c>
      <c r="CU17" s="294">
        <f t="shared" ca="1" si="17"/>
        <v>93.37</v>
      </c>
      <c r="CV17" s="294">
        <f t="shared" ca="1" si="17"/>
        <v>20.64</v>
      </c>
      <c r="CW17" s="294">
        <f t="shared" ca="1" si="17"/>
        <v>0</v>
      </c>
      <c r="CX17" s="294">
        <f t="shared" ca="1" si="17"/>
        <v>45.09</v>
      </c>
      <c r="CY17" s="294">
        <f t="shared" ca="1" si="17"/>
        <v>32.61</v>
      </c>
      <c r="CZ17" s="294">
        <f t="shared" ca="1" si="17"/>
        <v>56.4</v>
      </c>
      <c r="DA17" s="294">
        <f t="shared" ca="1" si="17"/>
        <v>0</v>
      </c>
      <c r="DB17" s="294">
        <f t="shared" ca="1" si="17"/>
        <v>0</v>
      </c>
      <c r="DC17" s="294">
        <f t="shared" ca="1" si="17"/>
        <v>54.4</v>
      </c>
      <c r="DD17" s="294">
        <f t="shared" ca="1" si="17"/>
        <v>28.361999999999998</v>
      </c>
      <c r="DE17" s="294">
        <f t="shared" ca="1" si="17"/>
        <v>54</v>
      </c>
      <c r="DF17" s="294">
        <f t="shared" ca="1" si="17"/>
        <v>37.340000000000003</v>
      </c>
      <c r="DG17" s="294">
        <f t="shared" ca="1" si="17"/>
        <v>0</v>
      </c>
      <c r="DH17" s="294">
        <f t="shared" ca="1" si="17"/>
        <v>33.109000000000002</v>
      </c>
      <c r="DI17" s="294">
        <f t="shared" ca="1" si="17"/>
        <v>0</v>
      </c>
      <c r="DJ17" s="294">
        <f t="shared" ca="1" si="17"/>
        <v>43.48</v>
      </c>
      <c r="DK17" s="294">
        <f t="shared" ca="1" si="17"/>
        <v>0</v>
      </c>
      <c r="DL17" s="294">
        <f t="shared" ca="1" si="17"/>
        <v>29.254999999999999</v>
      </c>
      <c r="DM17" s="294">
        <f t="shared" ca="1" si="17"/>
        <v>48.1</v>
      </c>
      <c r="DN17" s="294">
        <f t="shared" ca="1" si="17"/>
        <v>62.4</v>
      </c>
      <c r="DO17" s="294">
        <f t="shared" ca="1" si="17"/>
        <v>0</v>
      </c>
      <c r="DP17" s="294">
        <f t="shared" ca="1" si="17"/>
        <v>0</v>
      </c>
      <c r="DQ17" s="294">
        <f t="shared" ca="1" si="17"/>
        <v>0</v>
      </c>
      <c r="DR17" s="294">
        <f t="shared" ca="1" si="17"/>
        <v>29.99</v>
      </c>
      <c r="DS17" s="294">
        <f t="shared" ca="1" si="17"/>
        <v>0</v>
      </c>
      <c r="DT17" s="294">
        <f t="shared" ca="1" si="17"/>
        <v>57.383000000000003</v>
      </c>
      <c r="DU17" s="294">
        <f t="shared" ca="1" si="17"/>
        <v>0</v>
      </c>
      <c r="DV17" s="294">
        <f t="shared" ca="1" si="17"/>
        <v>0</v>
      </c>
      <c r="DW17" s="294">
        <f t="shared" ca="1" si="17"/>
        <v>0</v>
      </c>
      <c r="DX17" s="294">
        <f t="shared" ca="1" si="17"/>
        <v>55.515999999999998</v>
      </c>
      <c r="DY17" s="294">
        <f t="shared" ca="1" si="17"/>
        <v>23.67</v>
      </c>
      <c r="DZ17" s="294">
        <f t="shared" ca="1" si="17"/>
        <v>21.475000000000001</v>
      </c>
      <c r="EA17" s="294">
        <f t="shared" ca="1" si="17"/>
        <v>15.945</v>
      </c>
      <c r="EB17" s="294">
        <f t="shared" ca="1" si="17"/>
        <v>0</v>
      </c>
      <c r="EC17" s="294">
        <f t="shared" ca="1" si="17"/>
        <v>0</v>
      </c>
      <c r="ED17" s="294">
        <f t="shared" ca="1" si="17"/>
        <v>17.88</v>
      </c>
      <c r="EE17" s="294">
        <f t="shared" ca="1" si="17"/>
        <v>0</v>
      </c>
      <c r="EF17" s="294">
        <f t="shared" ca="1" si="17"/>
        <v>23.32</v>
      </c>
      <c r="EG17" s="294">
        <f t="shared" ca="1" si="17"/>
        <v>19.86</v>
      </c>
      <c r="EH17" s="294">
        <f t="shared" ref="EH17:GD17" ca="1" si="18">VLOOKUP(EH$15,$OP$2:$OT$300,3,FALSE)</f>
        <v>0</v>
      </c>
      <c r="EI17" s="294">
        <f t="shared" ca="1" si="18"/>
        <v>0</v>
      </c>
      <c r="EJ17" s="294">
        <f t="shared" ca="1" si="18"/>
        <v>0</v>
      </c>
      <c r="EK17" s="294">
        <f t="shared" ca="1" si="18"/>
        <v>0</v>
      </c>
      <c r="EL17" s="294">
        <f t="shared" ca="1" si="18"/>
        <v>0</v>
      </c>
      <c r="EM17" s="294">
        <f t="shared" ca="1" si="18"/>
        <v>0</v>
      </c>
      <c r="EN17" s="294">
        <f t="shared" ca="1" si="18"/>
        <v>0</v>
      </c>
      <c r="EO17" s="294">
        <f t="shared" ca="1" si="18"/>
        <v>0</v>
      </c>
      <c r="EP17" s="294">
        <f t="shared" ca="1" si="18"/>
        <v>0</v>
      </c>
      <c r="EQ17" s="294">
        <f t="shared" ca="1" si="18"/>
        <v>0</v>
      </c>
      <c r="ER17" s="294">
        <f t="shared" ca="1" si="18"/>
        <v>0</v>
      </c>
      <c r="ES17" s="294">
        <f t="shared" ca="1" si="18"/>
        <v>0</v>
      </c>
      <c r="ET17" s="294">
        <f t="shared" ca="1" si="18"/>
        <v>30.35</v>
      </c>
      <c r="EU17" s="294">
        <f t="shared" ca="1" si="18"/>
        <v>16.190000000000001</v>
      </c>
      <c r="EV17" s="294">
        <f t="shared" ca="1" si="18"/>
        <v>0</v>
      </c>
      <c r="EW17" s="294">
        <f t="shared" ca="1" si="18"/>
        <v>0</v>
      </c>
      <c r="EX17" s="294">
        <f t="shared" ca="1" si="18"/>
        <v>0</v>
      </c>
      <c r="EY17" s="294">
        <f t="shared" ca="1" si="18"/>
        <v>0</v>
      </c>
      <c r="EZ17" s="294">
        <f t="shared" ca="1" si="18"/>
        <v>17.190000000000001</v>
      </c>
      <c r="FA17" s="294">
        <f t="shared" ca="1" si="18"/>
        <v>0</v>
      </c>
      <c r="FB17" s="294">
        <f t="shared" ca="1" si="18"/>
        <v>9.9450000000000003</v>
      </c>
      <c r="FC17" s="294">
        <f t="shared" ca="1" si="18"/>
        <v>0</v>
      </c>
      <c r="FD17" s="294">
        <f t="shared" ca="1" si="18"/>
        <v>0</v>
      </c>
      <c r="FE17" s="294">
        <f t="shared" ca="1" si="18"/>
        <v>0</v>
      </c>
      <c r="FF17" s="294">
        <f t="shared" ca="1" si="18"/>
        <v>0</v>
      </c>
      <c r="FG17" s="294">
        <f t="shared" ca="1" si="18"/>
        <v>4.2469999999999999</v>
      </c>
      <c r="FH17" s="294">
        <f t="shared" ca="1" si="18"/>
        <v>12.69</v>
      </c>
      <c r="FI17" s="294">
        <f t="shared" ca="1" si="18"/>
        <v>0</v>
      </c>
      <c r="FJ17" s="294">
        <f t="shared" ca="1" si="18"/>
        <v>0</v>
      </c>
      <c r="FK17" s="294">
        <f t="shared" ca="1" si="18"/>
        <v>0</v>
      </c>
      <c r="FL17" s="294">
        <f t="shared" ca="1" si="18"/>
        <v>0</v>
      </c>
      <c r="FM17" s="294">
        <f t="shared" ca="1" si="18"/>
        <v>0</v>
      </c>
      <c r="FN17" s="294">
        <f t="shared" ca="1" si="18"/>
        <v>0</v>
      </c>
      <c r="FO17" s="294">
        <f t="shared" ca="1" si="18"/>
        <v>0</v>
      </c>
      <c r="FP17" s="294">
        <f t="shared" ca="1" si="18"/>
        <v>0</v>
      </c>
      <c r="FQ17" s="294">
        <f t="shared" ca="1" si="18"/>
        <v>0</v>
      </c>
      <c r="FR17" s="294">
        <f t="shared" ca="1" si="18"/>
        <v>0</v>
      </c>
      <c r="FS17" s="294">
        <f t="shared" ca="1" si="18"/>
        <v>0</v>
      </c>
      <c r="FT17" s="294">
        <f t="shared" ca="1" si="18"/>
        <v>0</v>
      </c>
      <c r="FU17" s="294">
        <f t="shared" ca="1" si="18"/>
        <v>0</v>
      </c>
      <c r="FV17" s="294">
        <f t="shared" ca="1" si="18"/>
        <v>0</v>
      </c>
      <c r="FW17" s="294">
        <f t="shared" ca="1" si="18"/>
        <v>0</v>
      </c>
      <c r="FX17" s="294">
        <f t="shared" ca="1" si="18"/>
        <v>0</v>
      </c>
      <c r="FY17" s="294">
        <f t="shared" ca="1" si="18"/>
        <v>0</v>
      </c>
      <c r="FZ17" s="294">
        <f t="shared" ca="1" si="18"/>
        <v>2.6779999999999999</v>
      </c>
      <c r="GA17" s="294">
        <f t="shared" ca="1" si="18"/>
        <v>0</v>
      </c>
      <c r="GB17" s="294">
        <f t="shared" ca="1" si="18"/>
        <v>0</v>
      </c>
      <c r="GC17" s="294">
        <f t="shared" ca="1" si="18"/>
        <v>0</v>
      </c>
      <c r="GD17" s="294">
        <f t="shared" ca="1" si="18"/>
        <v>0</v>
      </c>
      <c r="GE17" s="427">
        <f ca="1">SUM(BU17:GD17,GF17:GI17)</f>
        <v>3024.4010000000003</v>
      </c>
      <c r="GF17" s="294">
        <f t="shared" ref="GF17:GO17" ca="1" si="19">VLOOKUP(GF$15,$OP$2:$OT$300,3,FALSE)</f>
        <v>3.53</v>
      </c>
      <c r="GG17" s="294">
        <f t="shared" ca="1" si="19"/>
        <v>203.76</v>
      </c>
      <c r="GH17" s="294">
        <f t="shared" ca="1" si="19"/>
        <v>79.510000000000005</v>
      </c>
      <c r="GI17" s="294">
        <f t="shared" ca="1" si="19"/>
        <v>101.47</v>
      </c>
      <c r="GJ17" s="294">
        <f t="shared" ca="1" si="19"/>
        <v>261.60000000000002</v>
      </c>
      <c r="GK17" s="294">
        <f t="shared" ca="1" si="19"/>
        <v>226.5</v>
      </c>
      <c r="GL17" s="294">
        <f t="shared" ca="1" si="19"/>
        <v>331</v>
      </c>
      <c r="GM17" s="294">
        <f ca="1">VLOOKUP(GM$15,$OP$2:$OT$300,3,FALSE)</f>
        <v>124.636</v>
      </c>
      <c r="GN17" s="294">
        <f t="shared" ca="1" si="19"/>
        <v>0</v>
      </c>
      <c r="GO17" s="294">
        <f t="shared" ca="1" si="19"/>
        <v>0</v>
      </c>
      <c r="JB17" s="175"/>
      <c r="JC17" s="175"/>
      <c r="JD17" s="175"/>
      <c r="JE17" s="175"/>
      <c r="JF17" s="175"/>
      <c r="JG17" s="175"/>
      <c r="JH17" s="175"/>
      <c r="JI17" s="175"/>
      <c r="JJ17" s="175"/>
      <c r="JK17" s="175"/>
      <c r="JL17" s="175"/>
      <c r="JM17" s="175"/>
      <c r="JN17" s="175"/>
      <c r="JO17" s="175"/>
      <c r="JP17" s="175"/>
      <c r="JQ17" s="175"/>
      <c r="JR17" s="175"/>
      <c r="JS17" s="175"/>
      <c r="JT17" s="175"/>
      <c r="JU17" s="175"/>
      <c r="JV17" s="175"/>
      <c r="JW17" s="175"/>
      <c r="JX17" s="175"/>
      <c r="JY17" s="175"/>
      <c r="ON17" s="223" t="s">
        <v>267</v>
      </c>
      <c r="OO17" s="224" t="s">
        <v>268</v>
      </c>
      <c r="OP17" s="224">
        <v>1016</v>
      </c>
      <c r="OQ17" s="224" t="s">
        <v>310</v>
      </c>
      <c r="OR17" s="224">
        <f ca="1">VLOOKUP($OP17,INDIRECT($ON17):INDIRECT($OO17),4,FALSE)</f>
        <v>0</v>
      </c>
      <c r="OS17" s="224">
        <f ca="1">VLOOKUP($OP17,INDIRECT($ON17):INDIRECT($OO17),5,FALSE)</f>
        <v>0</v>
      </c>
      <c r="OT17" s="224">
        <f ca="1">VLOOKUP($OP17,INDIRECT($ON17):INDIRECT($OO17),6,FALSE)</f>
        <v>0</v>
      </c>
    </row>
    <row r="18" spans="1:410" x14ac:dyDescent="0.2">
      <c r="A18" s="175">
        <v>1005</v>
      </c>
      <c r="B18" s="391">
        <f t="shared" si="12"/>
        <v>7.666666666666667</v>
      </c>
      <c r="C18" s="392" t="s">
        <v>61</v>
      </c>
      <c r="D18" s="415">
        <v>184</v>
      </c>
      <c r="E18" s="394">
        <f t="shared" si="13"/>
        <v>29</v>
      </c>
      <c r="F18" s="395">
        <f t="shared" si="14"/>
        <v>10.3</v>
      </c>
      <c r="G18" s="396">
        <v>8005</v>
      </c>
      <c r="H18" s="392" t="str">
        <f>IF(I18&gt;0,"Belchautara Solar Project_5("&amp;ROUND(I18/24,3)&amp;")","Belchautara Solar Project_5")</f>
        <v>Belchautara Solar Project_5</v>
      </c>
      <c r="I18" s="428"/>
      <c r="J18" s="398">
        <f t="shared" si="15"/>
        <v>0</v>
      </c>
      <c r="K18" s="289">
        <f t="shared" si="15"/>
        <v>0</v>
      </c>
      <c r="L18" s="396">
        <v>8071</v>
      </c>
      <c r="M18" s="429" t="str">
        <f>IF(N18&gt;0,"Pati Khola Small_0.996("&amp;ROUND(N18/24,3)&amp;")","Pati Khola Small_0.996")</f>
        <v>Pati Khola Small_0.996</v>
      </c>
      <c r="N18" s="428"/>
      <c r="O18" s="398">
        <f t="shared" si="16"/>
        <v>0</v>
      </c>
      <c r="P18" s="289">
        <f t="shared" si="16"/>
        <v>0</v>
      </c>
      <c r="Q18" s="379"/>
      <c r="S18" s="350">
        <v>0.29166666666666702</v>
      </c>
      <c r="T18" s="351">
        <v>5</v>
      </c>
      <c r="U18" s="351"/>
      <c r="V18" s="351"/>
      <c r="W18" s="352">
        <v>50</v>
      </c>
      <c r="X18" s="351"/>
      <c r="Y18" s="351"/>
      <c r="Z18" s="353"/>
      <c r="AA18" s="353"/>
      <c r="AB18" s="353"/>
      <c r="AC18" s="175">
        <f t="shared" si="7"/>
        <v>7.5</v>
      </c>
      <c r="AD18" s="340">
        <v>328.4</v>
      </c>
      <c r="AE18" s="341">
        <v>58</v>
      </c>
      <c r="AG18" s="175">
        <v>8045</v>
      </c>
      <c r="AH18" s="254" t="s">
        <v>25</v>
      </c>
      <c r="AI18" s="380">
        <v>9.3000000000000007</v>
      </c>
      <c r="AJ18" s="380">
        <v>8.5</v>
      </c>
      <c r="AK18" s="255">
        <v>9.3000000000000007</v>
      </c>
      <c r="AN18" s="256"/>
      <c r="AO18" s="257">
        <v>2.4725000000000001</v>
      </c>
      <c r="AZ18" s="293" t="s">
        <v>342</v>
      </c>
      <c r="BA18" s="294">
        <f ca="1">VLOOKUP(BA$15,$OP$2:$OT$300,4,FALSE)</f>
        <v>4.8</v>
      </c>
      <c r="BB18" s="294">
        <f ca="1">VLOOKUP(BB$15,$OP$2:$OT$300,4,FALSE)</f>
        <v>2.5</v>
      </c>
      <c r="BC18" s="294">
        <f ca="1">VLOOKUP(BC$15,$OP$2:$OT$300,4,FALSE)</f>
        <v>3.2</v>
      </c>
      <c r="BD18" s="417"/>
      <c r="BE18" s="417"/>
      <c r="BF18" s="418">
        <f ca="1">BE18+BM9+BI9</f>
        <v>437.6</v>
      </c>
      <c r="BG18" s="430"/>
      <c r="BH18" s="717" t="s">
        <v>400</v>
      </c>
      <c r="BI18" s="718"/>
      <c r="BJ18" s="719"/>
      <c r="BK18" s="720"/>
      <c r="BL18" s="431"/>
      <c r="BM18" s="422" t="s">
        <v>401</v>
      </c>
      <c r="BN18" s="357" t="s">
        <v>402</v>
      </c>
      <c r="BO18" s="424"/>
      <c r="BP18" s="262"/>
      <c r="BQ18" s="263"/>
      <c r="BR18" s="296"/>
      <c r="BS18" s="432" t="s">
        <v>403</v>
      </c>
      <c r="BT18" s="426" t="s">
        <v>342</v>
      </c>
      <c r="BU18" s="294">
        <f ca="1">VLOOKUP(BU$15,$OP$2:$OT$300,4,FALSE)</f>
        <v>6.2</v>
      </c>
      <c r="BV18" s="294">
        <f t="shared" ref="BV18:EG18" ca="1" si="20">VLOOKUP(BV$15,$OP$2:$OT$300,4,FALSE)</f>
        <v>1.2</v>
      </c>
      <c r="BW18" s="294">
        <f t="shared" ca="1" si="20"/>
        <v>5</v>
      </c>
      <c r="BX18" s="294">
        <f t="shared" ca="1" si="20"/>
        <v>12</v>
      </c>
      <c r="BY18" s="294">
        <f t="shared" ca="1" si="20"/>
        <v>7</v>
      </c>
      <c r="BZ18" s="294">
        <f t="shared" ca="1" si="20"/>
        <v>2.9741666666666666</v>
      </c>
      <c r="CA18" s="294">
        <f t="shared" ca="1" si="20"/>
        <v>5.2</v>
      </c>
      <c r="CB18" s="294">
        <f t="shared" ca="1" si="20"/>
        <v>8.5</v>
      </c>
      <c r="CC18" s="294">
        <f t="shared" ca="1" si="20"/>
        <v>4</v>
      </c>
      <c r="CD18" s="294">
        <f t="shared" ca="1" si="20"/>
        <v>0</v>
      </c>
      <c r="CE18" s="294">
        <f t="shared" ca="1" si="20"/>
        <v>2.5</v>
      </c>
      <c r="CF18" s="294">
        <f t="shared" ca="1" si="20"/>
        <v>2.0791666666666666</v>
      </c>
      <c r="CG18" s="294">
        <f t="shared" ca="1" si="20"/>
        <v>1.5483333333333331</v>
      </c>
      <c r="CH18" s="294">
        <f t="shared" ca="1" si="20"/>
        <v>2.5904166666666666</v>
      </c>
      <c r="CI18" s="294">
        <f t="shared" ca="1" si="20"/>
        <v>3.0287500000000001</v>
      </c>
      <c r="CJ18" s="294">
        <f t="shared" ca="1" si="20"/>
        <v>7.1174999999999997</v>
      </c>
      <c r="CK18" s="294">
        <f t="shared" ca="1" si="20"/>
        <v>2.7837499999999999</v>
      </c>
      <c r="CL18" s="294">
        <f t="shared" ca="1" si="20"/>
        <v>0</v>
      </c>
      <c r="CM18" s="294">
        <f t="shared" ca="1" si="20"/>
        <v>3.6666666666666665</v>
      </c>
      <c r="CN18" s="294">
        <f t="shared" ca="1" si="20"/>
        <v>2.1379166666666669</v>
      </c>
      <c r="CO18" s="294">
        <f t="shared" ca="1" si="20"/>
        <v>2.395</v>
      </c>
      <c r="CP18" s="294">
        <f t="shared" ca="1" si="20"/>
        <v>0</v>
      </c>
      <c r="CQ18" s="294">
        <f t="shared" ca="1" si="20"/>
        <v>2.7379166666666666</v>
      </c>
      <c r="CR18" s="294">
        <f t="shared" ca="1" si="20"/>
        <v>2.5958333333333332</v>
      </c>
      <c r="CS18" s="294">
        <f t="shared" ca="1" si="20"/>
        <v>2.145</v>
      </c>
      <c r="CT18" s="294">
        <f t="shared" ca="1" si="20"/>
        <v>1.2745833333333334</v>
      </c>
      <c r="CU18" s="294">
        <f t="shared" ca="1" si="20"/>
        <v>3.8904166666666669</v>
      </c>
      <c r="CV18" s="294">
        <f t="shared" ca="1" si="20"/>
        <v>0.86</v>
      </c>
      <c r="CW18" s="294">
        <f t="shared" ca="1" si="20"/>
        <v>0</v>
      </c>
      <c r="CX18" s="294">
        <f t="shared" ca="1" si="20"/>
        <v>1.8787500000000001</v>
      </c>
      <c r="CY18" s="294">
        <f t="shared" ca="1" si="20"/>
        <v>1.3587499999999999</v>
      </c>
      <c r="CZ18" s="294">
        <f t="shared" ca="1" si="20"/>
        <v>2.35</v>
      </c>
      <c r="DA18" s="294">
        <f t="shared" ca="1" si="20"/>
        <v>0</v>
      </c>
      <c r="DB18" s="294">
        <f t="shared" ca="1" si="20"/>
        <v>0</v>
      </c>
      <c r="DC18" s="294">
        <f t="shared" ca="1" si="20"/>
        <v>2.2666666666666666</v>
      </c>
      <c r="DD18" s="294">
        <f t="shared" ca="1" si="20"/>
        <v>1.1817499999999999</v>
      </c>
      <c r="DE18" s="294">
        <f t="shared" ca="1" si="20"/>
        <v>2.25</v>
      </c>
      <c r="DF18" s="294">
        <f t="shared" ca="1" si="20"/>
        <v>1.5558333333333334</v>
      </c>
      <c r="DG18" s="294">
        <f t="shared" ca="1" si="20"/>
        <v>0</v>
      </c>
      <c r="DH18" s="294">
        <f t="shared" ca="1" si="20"/>
        <v>1.3795416666666667</v>
      </c>
      <c r="DI18" s="294">
        <f t="shared" ca="1" si="20"/>
        <v>0</v>
      </c>
      <c r="DJ18" s="294">
        <f t="shared" ca="1" si="20"/>
        <v>1.8116666666666665</v>
      </c>
      <c r="DK18" s="294">
        <f t="shared" ca="1" si="20"/>
        <v>0</v>
      </c>
      <c r="DL18" s="294">
        <f t="shared" ca="1" si="20"/>
        <v>1.2189583333333334</v>
      </c>
      <c r="DM18" s="294">
        <f t="shared" ca="1" si="20"/>
        <v>2.0041666666666669</v>
      </c>
      <c r="DN18" s="294">
        <f t="shared" ca="1" si="20"/>
        <v>2.6</v>
      </c>
      <c r="DO18" s="294">
        <f t="shared" ca="1" si="20"/>
        <v>0</v>
      </c>
      <c r="DP18" s="294">
        <f t="shared" ca="1" si="20"/>
        <v>0</v>
      </c>
      <c r="DQ18" s="294">
        <f t="shared" ca="1" si="20"/>
        <v>0</v>
      </c>
      <c r="DR18" s="294">
        <f t="shared" ca="1" si="20"/>
        <v>1.2495833333333333</v>
      </c>
      <c r="DS18" s="294">
        <f t="shared" ca="1" si="20"/>
        <v>0</v>
      </c>
      <c r="DT18" s="294">
        <f t="shared" ca="1" si="20"/>
        <v>2.3909583333333333</v>
      </c>
      <c r="DU18" s="294">
        <f t="shared" ca="1" si="20"/>
        <v>0</v>
      </c>
      <c r="DV18" s="294">
        <f t="shared" ca="1" si="20"/>
        <v>0</v>
      </c>
      <c r="DW18" s="294">
        <f t="shared" ca="1" si="20"/>
        <v>0</v>
      </c>
      <c r="DX18" s="294">
        <f t="shared" ca="1" si="20"/>
        <v>2.3131666666666666</v>
      </c>
      <c r="DY18" s="294">
        <f t="shared" ca="1" si="20"/>
        <v>0.98625000000000007</v>
      </c>
      <c r="DZ18" s="294">
        <f t="shared" ca="1" si="20"/>
        <v>0.89479166666666676</v>
      </c>
      <c r="EA18" s="294">
        <f t="shared" ca="1" si="20"/>
        <v>0.66437500000000005</v>
      </c>
      <c r="EB18" s="294">
        <f t="shared" ca="1" si="20"/>
        <v>0</v>
      </c>
      <c r="EC18" s="294">
        <f t="shared" ca="1" si="20"/>
        <v>0</v>
      </c>
      <c r="ED18" s="294">
        <f t="shared" ca="1" si="20"/>
        <v>0.745</v>
      </c>
      <c r="EE18" s="294">
        <f t="shared" ca="1" si="20"/>
        <v>0</v>
      </c>
      <c r="EF18" s="294">
        <f t="shared" ca="1" si="20"/>
        <v>0.97166666666666668</v>
      </c>
      <c r="EG18" s="294">
        <f t="shared" ca="1" si="20"/>
        <v>0.82750000000000001</v>
      </c>
      <c r="EH18" s="294">
        <f t="shared" ref="EH18:GD18" ca="1" si="21">VLOOKUP(EH$15,$OP$2:$OT$300,4,FALSE)</f>
        <v>0</v>
      </c>
      <c r="EI18" s="294">
        <f t="shared" ca="1" si="21"/>
        <v>0</v>
      </c>
      <c r="EJ18" s="294">
        <f t="shared" ca="1" si="21"/>
        <v>0</v>
      </c>
      <c r="EK18" s="294">
        <f t="shared" ca="1" si="21"/>
        <v>0</v>
      </c>
      <c r="EL18" s="294">
        <f t="shared" ca="1" si="21"/>
        <v>0</v>
      </c>
      <c r="EM18" s="294">
        <f t="shared" ca="1" si="21"/>
        <v>0</v>
      </c>
      <c r="EN18" s="294">
        <f t="shared" ca="1" si="21"/>
        <v>0</v>
      </c>
      <c r="EO18" s="294">
        <f t="shared" ca="1" si="21"/>
        <v>0</v>
      </c>
      <c r="EP18" s="294">
        <f t="shared" ca="1" si="21"/>
        <v>0</v>
      </c>
      <c r="EQ18" s="294">
        <f t="shared" ca="1" si="21"/>
        <v>0</v>
      </c>
      <c r="ER18" s="294">
        <f t="shared" ca="1" si="21"/>
        <v>0</v>
      </c>
      <c r="ES18" s="294">
        <f t="shared" ca="1" si="21"/>
        <v>0</v>
      </c>
      <c r="ET18" s="294">
        <f t="shared" ca="1" si="21"/>
        <v>1.2645833333333334</v>
      </c>
      <c r="EU18" s="294">
        <f t="shared" ca="1" si="21"/>
        <v>0.67458333333333342</v>
      </c>
      <c r="EV18" s="294">
        <f t="shared" ca="1" si="21"/>
        <v>0</v>
      </c>
      <c r="EW18" s="294">
        <f t="shared" ca="1" si="21"/>
        <v>0</v>
      </c>
      <c r="EX18" s="294">
        <f t="shared" ca="1" si="21"/>
        <v>0</v>
      </c>
      <c r="EY18" s="294">
        <f t="shared" ca="1" si="21"/>
        <v>0</v>
      </c>
      <c r="EZ18" s="294">
        <f t="shared" ca="1" si="21"/>
        <v>0.71625000000000005</v>
      </c>
      <c r="FA18" s="294">
        <f t="shared" ca="1" si="21"/>
        <v>0</v>
      </c>
      <c r="FB18" s="294">
        <f t="shared" ca="1" si="21"/>
        <v>0.41437499999999999</v>
      </c>
      <c r="FC18" s="294">
        <f t="shared" ca="1" si="21"/>
        <v>0</v>
      </c>
      <c r="FD18" s="294">
        <f t="shared" ca="1" si="21"/>
        <v>0</v>
      </c>
      <c r="FE18" s="294">
        <f t="shared" ca="1" si="21"/>
        <v>0</v>
      </c>
      <c r="FF18" s="294">
        <f t="shared" ca="1" si="21"/>
        <v>0</v>
      </c>
      <c r="FG18" s="294">
        <f t="shared" ca="1" si="21"/>
        <v>0.17695833333333333</v>
      </c>
      <c r="FH18" s="294">
        <f t="shared" ca="1" si="21"/>
        <v>0.52874999999999994</v>
      </c>
      <c r="FI18" s="294">
        <f t="shared" ca="1" si="21"/>
        <v>0</v>
      </c>
      <c r="FJ18" s="294">
        <f t="shared" ca="1" si="21"/>
        <v>0</v>
      </c>
      <c r="FK18" s="294">
        <f t="shared" ca="1" si="21"/>
        <v>0</v>
      </c>
      <c r="FL18" s="294">
        <f t="shared" ca="1" si="21"/>
        <v>0</v>
      </c>
      <c r="FM18" s="294">
        <f t="shared" ca="1" si="21"/>
        <v>0</v>
      </c>
      <c r="FN18" s="294">
        <f t="shared" ca="1" si="21"/>
        <v>0</v>
      </c>
      <c r="FO18" s="294">
        <f t="shared" ca="1" si="21"/>
        <v>0</v>
      </c>
      <c r="FP18" s="294">
        <f t="shared" ca="1" si="21"/>
        <v>0</v>
      </c>
      <c r="FQ18" s="294">
        <f t="shared" ca="1" si="21"/>
        <v>0</v>
      </c>
      <c r="FR18" s="294">
        <f t="shared" ca="1" si="21"/>
        <v>0</v>
      </c>
      <c r="FS18" s="294">
        <f t="shared" ca="1" si="21"/>
        <v>0</v>
      </c>
      <c r="FT18" s="294">
        <f t="shared" ca="1" si="21"/>
        <v>0</v>
      </c>
      <c r="FU18" s="294">
        <f t="shared" ca="1" si="21"/>
        <v>0</v>
      </c>
      <c r="FV18" s="294">
        <f t="shared" ca="1" si="21"/>
        <v>0</v>
      </c>
      <c r="FW18" s="294">
        <f t="shared" ca="1" si="21"/>
        <v>0</v>
      </c>
      <c r="FX18" s="294">
        <f t="shared" ca="1" si="21"/>
        <v>0</v>
      </c>
      <c r="FY18" s="294">
        <f t="shared" ca="1" si="21"/>
        <v>0</v>
      </c>
      <c r="FZ18" s="294">
        <f t="shared" ca="1" si="21"/>
        <v>0.11158333333333333</v>
      </c>
      <c r="GA18" s="294">
        <f t="shared" ca="1" si="21"/>
        <v>0</v>
      </c>
      <c r="GB18" s="294">
        <f t="shared" ca="1" si="21"/>
        <v>0</v>
      </c>
      <c r="GC18" s="294">
        <f t="shared" ca="1" si="21"/>
        <v>0</v>
      </c>
      <c r="GD18" s="294">
        <f t="shared" ca="1" si="21"/>
        <v>0</v>
      </c>
      <c r="GE18" s="427">
        <f ca="1">SUM(BU18:GD18,GF18:GI18)</f>
        <v>156.58687499999999</v>
      </c>
      <c r="GF18" s="294">
        <f t="shared" ref="GF18:GO18" ca="1" si="22">VLOOKUP(GF$15,$OP$2:$OT$300,4,FALSE)</f>
        <v>0.14708333333333332</v>
      </c>
      <c r="GG18" s="294">
        <f t="shared" ca="1" si="22"/>
        <v>13</v>
      </c>
      <c r="GH18" s="294">
        <f t="shared" ca="1" si="22"/>
        <v>7</v>
      </c>
      <c r="GI18" s="294">
        <f t="shared" ca="1" si="22"/>
        <v>4.2279166666666663</v>
      </c>
      <c r="GJ18" s="294">
        <f t="shared" ca="1" si="22"/>
        <v>13</v>
      </c>
      <c r="GK18" s="294">
        <f t="shared" ca="1" si="22"/>
        <v>13</v>
      </c>
      <c r="GL18" s="294">
        <f t="shared" ca="1" si="22"/>
        <v>17</v>
      </c>
      <c r="GM18" s="294">
        <f ca="1">VLOOKUP(GM$15,$OP$2:$OT$300,4,FALSE)</f>
        <v>7.7</v>
      </c>
      <c r="GN18" s="294">
        <f t="shared" ca="1" si="22"/>
        <v>0</v>
      </c>
      <c r="GO18" s="294">
        <f t="shared" ca="1" si="22"/>
        <v>0</v>
      </c>
      <c r="JB18" s="175"/>
      <c r="JC18" s="175"/>
      <c r="JD18" s="175"/>
      <c r="JE18" s="175"/>
      <c r="JF18" s="175"/>
      <c r="JG18" s="175"/>
      <c r="JH18" s="175"/>
      <c r="JI18" s="175"/>
      <c r="JJ18" s="175"/>
      <c r="JK18" s="175"/>
      <c r="JL18" s="175"/>
      <c r="JM18" s="175"/>
      <c r="JN18" s="175"/>
      <c r="JO18" s="175"/>
      <c r="JP18" s="175"/>
      <c r="JQ18" s="175"/>
      <c r="JR18" s="175"/>
      <c r="JS18" s="175"/>
      <c r="JT18" s="175"/>
      <c r="JU18" s="175"/>
      <c r="JV18" s="175"/>
      <c r="JW18" s="175"/>
      <c r="JX18" s="175"/>
      <c r="JY18" s="175"/>
      <c r="ON18" s="223" t="s">
        <v>267</v>
      </c>
      <c r="OO18" s="224" t="s">
        <v>268</v>
      </c>
      <c r="OP18" s="224">
        <v>1017</v>
      </c>
      <c r="OQ18" s="224" t="s">
        <v>311</v>
      </c>
      <c r="OR18" s="224">
        <f ca="1">VLOOKUP($OP18,INDIRECT($ON18):INDIRECT($OO18),4,FALSE)</f>
        <v>0</v>
      </c>
      <c r="OS18" s="224">
        <f ca="1">VLOOKUP($OP18,INDIRECT($ON18):INDIRECT($OO18),5,FALSE)</f>
        <v>0</v>
      </c>
      <c r="OT18" s="224">
        <f ca="1">VLOOKUP($OP18,INDIRECT($ON18):INDIRECT($OO18),6,FALSE)</f>
        <v>0</v>
      </c>
    </row>
    <row r="19" spans="1:410" x14ac:dyDescent="0.2">
      <c r="A19" s="175">
        <v>1006</v>
      </c>
      <c r="B19" s="391">
        <f t="shared" si="12"/>
        <v>14.798208333333333</v>
      </c>
      <c r="C19" s="392" t="s">
        <v>63</v>
      </c>
      <c r="D19" s="415">
        <v>355.15699999999998</v>
      </c>
      <c r="E19" s="394">
        <f t="shared" si="13"/>
        <v>17.100000000000001</v>
      </c>
      <c r="F19" s="395">
        <f t="shared" si="14"/>
        <v>17</v>
      </c>
      <c r="G19" s="396">
        <v>8006</v>
      </c>
      <c r="H19" s="392" t="str">
        <f>IF(I19&gt;0,"Belkhu_0.518("&amp;ROUND(I19/24,3)&amp;")","Belkhu_0.518")</f>
        <v>Belkhu_0.518</v>
      </c>
      <c r="I19" s="397"/>
      <c r="J19" s="398">
        <f t="shared" si="15"/>
        <v>0</v>
      </c>
      <c r="K19" s="289">
        <f t="shared" si="15"/>
        <v>0</v>
      </c>
      <c r="L19" s="396">
        <v>8072</v>
      </c>
      <c r="M19" s="433" t="str">
        <f>IF(N19&gt;0,"Phawa Khola_4.95("&amp;ROUND(N19/24,3)&amp;")","Phawa Khola_4.95")</f>
        <v>Phawa Khola_4.95</v>
      </c>
      <c r="N19" s="428"/>
      <c r="O19" s="398">
        <f t="shared" si="16"/>
        <v>0</v>
      </c>
      <c r="P19" s="289">
        <f t="shared" si="16"/>
        <v>0</v>
      </c>
      <c r="Q19" s="379"/>
      <c r="S19" s="350">
        <v>0.33333333333333398</v>
      </c>
      <c r="T19" s="434">
        <v>5.0999999999999996</v>
      </c>
      <c r="U19" s="351"/>
      <c r="V19" s="351"/>
      <c r="W19" s="352">
        <v>81</v>
      </c>
      <c r="X19" s="351"/>
      <c r="Y19" s="351"/>
      <c r="Z19" s="353"/>
      <c r="AA19" s="353"/>
      <c r="AB19" s="353"/>
      <c r="AC19" s="175">
        <f>T20+U19+(V19+W19+X19+Y19)/20</f>
        <v>8.85</v>
      </c>
      <c r="AD19" s="340">
        <v>294</v>
      </c>
      <c r="AE19" s="341">
        <v>58</v>
      </c>
      <c r="AG19" s="175">
        <v>8134</v>
      </c>
      <c r="AH19" s="254" t="s">
        <v>26</v>
      </c>
      <c r="AI19" s="380">
        <v>13</v>
      </c>
      <c r="AJ19" s="380">
        <v>13</v>
      </c>
      <c r="AK19" s="255">
        <v>13</v>
      </c>
      <c r="AN19" s="256"/>
      <c r="AO19" s="257"/>
      <c r="AZ19" s="332" t="s">
        <v>352</v>
      </c>
      <c r="BA19" s="294">
        <f ca="1">VLOOKUP(BA$15,$OP$2:$OT$300,5,FALSE)</f>
        <v>3.9</v>
      </c>
      <c r="BB19" s="294">
        <f ca="1">VLOOKUP(BB$15,$OP$2:$OT$300,5,FALSE)</f>
        <v>2.5</v>
      </c>
      <c r="BC19" s="294">
        <f ca="1">VLOOKUP(BC$15,$OP$2:$OT$300,5,FALSE)</f>
        <v>3.2</v>
      </c>
      <c r="BD19" s="417"/>
      <c r="BE19" s="417"/>
      <c r="BF19" s="418">
        <f ca="1">BE19+BM10+BI10</f>
        <v>360.90000000000003</v>
      </c>
      <c r="BG19" s="430"/>
      <c r="BH19" s="293" t="s">
        <v>362</v>
      </c>
      <c r="BI19" s="426"/>
      <c r="BJ19" s="707">
        <f>BJ18</f>
        <v>0</v>
      </c>
      <c r="BK19" s="721"/>
      <c r="BL19" s="334"/>
      <c r="BM19" s="334"/>
      <c r="BN19" s="357" t="s">
        <v>404</v>
      </c>
      <c r="BO19" s="424"/>
      <c r="BP19" s="359"/>
      <c r="BQ19" s="295"/>
      <c r="BR19" s="435"/>
      <c r="BS19" s="432" t="e">
        <f>(BQ19-BP19)/BP19*100</f>
        <v>#DIV/0!</v>
      </c>
      <c r="BT19" s="280" t="s">
        <v>352</v>
      </c>
      <c r="BU19" s="294">
        <f ca="1">VLOOKUP(BU$15,$OP$2:$OT$300,5,FALSE)</f>
        <v>6.2</v>
      </c>
      <c r="BV19" s="294">
        <f t="shared" ref="BV19:EG19" ca="1" si="23">VLOOKUP(BV$15,$OP$2:$OT$300,5,FALSE)</f>
        <v>1.2</v>
      </c>
      <c r="BW19" s="294">
        <f t="shared" ca="1" si="23"/>
        <v>5</v>
      </c>
      <c r="BX19" s="294">
        <f t="shared" ca="1" si="23"/>
        <v>12</v>
      </c>
      <c r="BY19" s="294">
        <f t="shared" ca="1" si="23"/>
        <v>7</v>
      </c>
      <c r="BZ19" s="294">
        <f t="shared" ca="1" si="23"/>
        <v>2.9741666666666666</v>
      </c>
      <c r="CA19" s="294">
        <f t="shared" ca="1" si="23"/>
        <v>5.2</v>
      </c>
      <c r="CB19" s="294">
        <f t="shared" ca="1" si="23"/>
        <v>8.5</v>
      </c>
      <c r="CC19" s="294">
        <f t="shared" ca="1" si="23"/>
        <v>4</v>
      </c>
      <c r="CD19" s="294">
        <f t="shared" ca="1" si="23"/>
        <v>0</v>
      </c>
      <c r="CE19" s="294">
        <f t="shared" ca="1" si="23"/>
        <v>2.5</v>
      </c>
      <c r="CF19" s="294">
        <f t="shared" ca="1" si="23"/>
        <v>2.0791666666666666</v>
      </c>
      <c r="CG19" s="294">
        <f t="shared" ca="1" si="23"/>
        <v>1.5483333333333331</v>
      </c>
      <c r="CH19" s="294">
        <f t="shared" ca="1" si="23"/>
        <v>2.5904166666666666</v>
      </c>
      <c r="CI19" s="294">
        <f t="shared" ca="1" si="23"/>
        <v>3.0287500000000001</v>
      </c>
      <c r="CJ19" s="294">
        <f t="shared" ca="1" si="23"/>
        <v>7.1174999999999997</v>
      </c>
      <c r="CK19" s="294">
        <f t="shared" ca="1" si="23"/>
        <v>2.7837499999999999</v>
      </c>
      <c r="CL19" s="294">
        <f t="shared" ca="1" si="23"/>
        <v>0</v>
      </c>
      <c r="CM19" s="294">
        <f t="shared" ca="1" si="23"/>
        <v>3.6666666666666665</v>
      </c>
      <c r="CN19" s="294">
        <f t="shared" ca="1" si="23"/>
        <v>2.1379166666666669</v>
      </c>
      <c r="CO19" s="294">
        <f t="shared" ca="1" si="23"/>
        <v>2.395</v>
      </c>
      <c r="CP19" s="294">
        <f t="shared" ca="1" si="23"/>
        <v>0</v>
      </c>
      <c r="CQ19" s="294">
        <f t="shared" ca="1" si="23"/>
        <v>2.7379166666666666</v>
      </c>
      <c r="CR19" s="294">
        <f t="shared" ca="1" si="23"/>
        <v>2.5958333333333332</v>
      </c>
      <c r="CS19" s="294">
        <f t="shared" ca="1" si="23"/>
        <v>2.145</v>
      </c>
      <c r="CT19" s="294">
        <f t="shared" ca="1" si="23"/>
        <v>1.2745833333333334</v>
      </c>
      <c r="CU19" s="294">
        <f t="shared" ca="1" si="23"/>
        <v>3.8904166666666669</v>
      </c>
      <c r="CV19" s="294">
        <f t="shared" ca="1" si="23"/>
        <v>0.86</v>
      </c>
      <c r="CW19" s="294">
        <f t="shared" ca="1" si="23"/>
        <v>0</v>
      </c>
      <c r="CX19" s="294">
        <f t="shared" ca="1" si="23"/>
        <v>1.8787500000000001</v>
      </c>
      <c r="CY19" s="294">
        <f t="shared" ca="1" si="23"/>
        <v>1.3587499999999999</v>
      </c>
      <c r="CZ19" s="294">
        <f t="shared" ca="1" si="23"/>
        <v>2.35</v>
      </c>
      <c r="DA19" s="294">
        <f t="shared" ca="1" si="23"/>
        <v>0</v>
      </c>
      <c r="DB19" s="294">
        <f t="shared" ca="1" si="23"/>
        <v>0</v>
      </c>
      <c r="DC19" s="294">
        <f t="shared" ca="1" si="23"/>
        <v>2.2666666666666666</v>
      </c>
      <c r="DD19" s="294">
        <f t="shared" ca="1" si="23"/>
        <v>1.1817499999999999</v>
      </c>
      <c r="DE19" s="294">
        <f t="shared" ca="1" si="23"/>
        <v>2.25</v>
      </c>
      <c r="DF19" s="294">
        <f t="shared" ca="1" si="23"/>
        <v>1.5558333333333334</v>
      </c>
      <c r="DG19" s="294">
        <f t="shared" ca="1" si="23"/>
        <v>0</v>
      </c>
      <c r="DH19" s="294">
        <f t="shared" ca="1" si="23"/>
        <v>1.3795416666666667</v>
      </c>
      <c r="DI19" s="294">
        <f t="shared" ca="1" si="23"/>
        <v>0</v>
      </c>
      <c r="DJ19" s="294">
        <f t="shared" ca="1" si="23"/>
        <v>1.8116666666666665</v>
      </c>
      <c r="DK19" s="294">
        <f t="shared" ca="1" si="23"/>
        <v>0</v>
      </c>
      <c r="DL19" s="294">
        <f t="shared" ca="1" si="23"/>
        <v>1.2189583333333334</v>
      </c>
      <c r="DM19" s="294">
        <f t="shared" ca="1" si="23"/>
        <v>2.0041666666666669</v>
      </c>
      <c r="DN19" s="294">
        <f t="shared" ca="1" si="23"/>
        <v>2.6</v>
      </c>
      <c r="DO19" s="294">
        <f t="shared" ca="1" si="23"/>
        <v>0</v>
      </c>
      <c r="DP19" s="294">
        <f t="shared" ca="1" si="23"/>
        <v>0</v>
      </c>
      <c r="DQ19" s="294">
        <f t="shared" ca="1" si="23"/>
        <v>0</v>
      </c>
      <c r="DR19" s="294">
        <f t="shared" ca="1" si="23"/>
        <v>1.2495833333333333</v>
      </c>
      <c r="DS19" s="294">
        <f t="shared" ca="1" si="23"/>
        <v>0</v>
      </c>
      <c r="DT19" s="294">
        <f t="shared" ca="1" si="23"/>
        <v>2.3909583333333333</v>
      </c>
      <c r="DU19" s="294">
        <f t="shared" ca="1" si="23"/>
        <v>0</v>
      </c>
      <c r="DV19" s="294">
        <f t="shared" ca="1" si="23"/>
        <v>0</v>
      </c>
      <c r="DW19" s="294">
        <f t="shared" ca="1" si="23"/>
        <v>0</v>
      </c>
      <c r="DX19" s="294">
        <f t="shared" ca="1" si="23"/>
        <v>2.3131666666666666</v>
      </c>
      <c r="DY19" s="294">
        <f t="shared" ca="1" si="23"/>
        <v>0.98625000000000007</v>
      </c>
      <c r="DZ19" s="294">
        <f t="shared" ca="1" si="23"/>
        <v>0.89479166666666676</v>
      </c>
      <c r="EA19" s="294">
        <f t="shared" ca="1" si="23"/>
        <v>0.66437500000000005</v>
      </c>
      <c r="EB19" s="294">
        <f t="shared" ca="1" si="23"/>
        <v>0</v>
      </c>
      <c r="EC19" s="294">
        <f t="shared" ca="1" si="23"/>
        <v>0</v>
      </c>
      <c r="ED19" s="294">
        <f t="shared" ca="1" si="23"/>
        <v>0.745</v>
      </c>
      <c r="EE19" s="294">
        <f t="shared" ca="1" si="23"/>
        <v>0</v>
      </c>
      <c r="EF19" s="294">
        <f t="shared" ca="1" si="23"/>
        <v>0.97166666666666668</v>
      </c>
      <c r="EG19" s="294">
        <f t="shared" ca="1" si="23"/>
        <v>0.82750000000000001</v>
      </c>
      <c r="EH19" s="294">
        <f t="shared" ref="EH19:GD19" ca="1" si="24">VLOOKUP(EH$15,$OP$2:$OT$300,5,FALSE)</f>
        <v>0</v>
      </c>
      <c r="EI19" s="294">
        <f t="shared" ca="1" si="24"/>
        <v>0</v>
      </c>
      <c r="EJ19" s="294">
        <f t="shared" ca="1" si="24"/>
        <v>0</v>
      </c>
      <c r="EK19" s="294">
        <f t="shared" ca="1" si="24"/>
        <v>0</v>
      </c>
      <c r="EL19" s="294">
        <f t="shared" ca="1" si="24"/>
        <v>0</v>
      </c>
      <c r="EM19" s="294">
        <f t="shared" ca="1" si="24"/>
        <v>0</v>
      </c>
      <c r="EN19" s="294">
        <f t="shared" ca="1" si="24"/>
        <v>0</v>
      </c>
      <c r="EO19" s="294">
        <f t="shared" ca="1" si="24"/>
        <v>0</v>
      </c>
      <c r="EP19" s="294">
        <f t="shared" ca="1" si="24"/>
        <v>0</v>
      </c>
      <c r="EQ19" s="294">
        <f t="shared" ca="1" si="24"/>
        <v>0</v>
      </c>
      <c r="ER19" s="294">
        <f t="shared" ca="1" si="24"/>
        <v>0</v>
      </c>
      <c r="ES19" s="294">
        <f t="shared" ca="1" si="24"/>
        <v>0</v>
      </c>
      <c r="ET19" s="294">
        <f t="shared" ca="1" si="24"/>
        <v>1.2645833333333334</v>
      </c>
      <c r="EU19" s="294">
        <f t="shared" ca="1" si="24"/>
        <v>0.67458333333333342</v>
      </c>
      <c r="EV19" s="294">
        <f t="shared" ca="1" si="24"/>
        <v>0</v>
      </c>
      <c r="EW19" s="294">
        <f t="shared" ca="1" si="24"/>
        <v>0</v>
      </c>
      <c r="EX19" s="294">
        <f t="shared" ca="1" si="24"/>
        <v>0</v>
      </c>
      <c r="EY19" s="294">
        <f t="shared" ca="1" si="24"/>
        <v>0</v>
      </c>
      <c r="EZ19" s="294">
        <f t="shared" ca="1" si="24"/>
        <v>0.71625000000000005</v>
      </c>
      <c r="FA19" s="294">
        <f t="shared" ca="1" si="24"/>
        <v>0</v>
      </c>
      <c r="FB19" s="294">
        <f t="shared" ca="1" si="24"/>
        <v>0.41437499999999999</v>
      </c>
      <c r="FC19" s="294">
        <f t="shared" ca="1" si="24"/>
        <v>0</v>
      </c>
      <c r="FD19" s="294">
        <f t="shared" ca="1" si="24"/>
        <v>0</v>
      </c>
      <c r="FE19" s="294">
        <f t="shared" ca="1" si="24"/>
        <v>0</v>
      </c>
      <c r="FF19" s="294">
        <f t="shared" ca="1" si="24"/>
        <v>0</v>
      </c>
      <c r="FG19" s="294">
        <f t="shared" ca="1" si="24"/>
        <v>0.17695833333333333</v>
      </c>
      <c r="FH19" s="294">
        <f t="shared" ca="1" si="24"/>
        <v>0.52874999999999994</v>
      </c>
      <c r="FI19" s="294">
        <f t="shared" ca="1" si="24"/>
        <v>0</v>
      </c>
      <c r="FJ19" s="294">
        <f t="shared" ca="1" si="24"/>
        <v>0</v>
      </c>
      <c r="FK19" s="294">
        <f t="shared" ca="1" si="24"/>
        <v>0</v>
      </c>
      <c r="FL19" s="294">
        <f t="shared" ca="1" si="24"/>
        <v>0</v>
      </c>
      <c r="FM19" s="294">
        <f t="shared" ca="1" si="24"/>
        <v>0</v>
      </c>
      <c r="FN19" s="294">
        <f t="shared" ca="1" si="24"/>
        <v>0</v>
      </c>
      <c r="FO19" s="294">
        <f t="shared" ca="1" si="24"/>
        <v>0</v>
      </c>
      <c r="FP19" s="294">
        <f t="shared" ca="1" si="24"/>
        <v>0</v>
      </c>
      <c r="FQ19" s="294">
        <f t="shared" ca="1" si="24"/>
        <v>0</v>
      </c>
      <c r="FR19" s="294">
        <f t="shared" ca="1" si="24"/>
        <v>0</v>
      </c>
      <c r="FS19" s="294">
        <f t="shared" ca="1" si="24"/>
        <v>0</v>
      </c>
      <c r="FT19" s="294">
        <f t="shared" ca="1" si="24"/>
        <v>0</v>
      </c>
      <c r="FU19" s="294">
        <f t="shared" ca="1" si="24"/>
        <v>0</v>
      </c>
      <c r="FV19" s="294">
        <f t="shared" ca="1" si="24"/>
        <v>0</v>
      </c>
      <c r="FW19" s="294">
        <f t="shared" ca="1" si="24"/>
        <v>0</v>
      </c>
      <c r="FX19" s="294">
        <f t="shared" ca="1" si="24"/>
        <v>0</v>
      </c>
      <c r="FY19" s="294">
        <f t="shared" ca="1" si="24"/>
        <v>0</v>
      </c>
      <c r="FZ19" s="294">
        <f t="shared" ca="1" si="24"/>
        <v>0.11158333333333333</v>
      </c>
      <c r="GA19" s="294">
        <f t="shared" ca="1" si="24"/>
        <v>0</v>
      </c>
      <c r="GB19" s="294">
        <f t="shared" ca="1" si="24"/>
        <v>0</v>
      </c>
      <c r="GC19" s="294">
        <f t="shared" ca="1" si="24"/>
        <v>0</v>
      </c>
      <c r="GD19" s="294">
        <f t="shared" ca="1" si="24"/>
        <v>0</v>
      </c>
      <c r="GE19" s="427">
        <f ca="1">SUM(BU19:GD19,GF19:GI19)</f>
        <v>156.58687499999999</v>
      </c>
      <c r="GF19" s="294">
        <f t="shared" ref="GF19:GO19" ca="1" si="25">VLOOKUP(GF$15,$OP$2:$OT$300,5,FALSE)</f>
        <v>0.14708333333333332</v>
      </c>
      <c r="GG19" s="294">
        <f t="shared" ca="1" si="25"/>
        <v>13</v>
      </c>
      <c r="GH19" s="294">
        <f t="shared" ca="1" si="25"/>
        <v>7</v>
      </c>
      <c r="GI19" s="294">
        <f t="shared" ca="1" si="25"/>
        <v>4.2279166666666663</v>
      </c>
      <c r="GJ19" s="294">
        <f t="shared" ca="1" si="25"/>
        <v>13</v>
      </c>
      <c r="GK19" s="294">
        <f t="shared" ca="1" si="25"/>
        <v>13</v>
      </c>
      <c r="GL19" s="294">
        <f t="shared" ca="1" si="25"/>
        <v>17</v>
      </c>
      <c r="GM19" s="294">
        <f t="shared" ca="1" si="25"/>
        <v>7.7</v>
      </c>
      <c r="GN19" s="294">
        <f t="shared" ca="1" si="25"/>
        <v>0</v>
      </c>
      <c r="GO19" s="294">
        <f t="shared" ca="1" si="25"/>
        <v>0</v>
      </c>
      <c r="JB19" s="175"/>
      <c r="JC19" s="175"/>
      <c r="JD19" s="175"/>
      <c r="JE19" s="175"/>
      <c r="JF19" s="175"/>
      <c r="JG19" s="175"/>
      <c r="JH19" s="175"/>
      <c r="JI19" s="175"/>
      <c r="JJ19" s="175"/>
      <c r="JK19" s="175"/>
      <c r="JL19" s="175"/>
      <c r="JM19" s="175"/>
      <c r="JN19" s="175"/>
      <c r="JO19" s="175"/>
      <c r="JP19" s="175"/>
      <c r="JQ19" s="175"/>
      <c r="JR19" s="175"/>
      <c r="JS19" s="175"/>
      <c r="JT19" s="175"/>
      <c r="JU19" s="175"/>
      <c r="JV19" s="175"/>
      <c r="JW19" s="175"/>
      <c r="JX19" s="175"/>
      <c r="JY19" s="175"/>
      <c r="ON19" s="223" t="s">
        <v>267</v>
      </c>
      <c r="OO19" s="224" t="s">
        <v>268</v>
      </c>
      <c r="OP19" s="224">
        <v>1018</v>
      </c>
      <c r="OQ19" s="224" t="s">
        <v>312</v>
      </c>
      <c r="OR19" s="224">
        <f ca="1">VLOOKUP($OP19,INDIRECT($ON19):INDIRECT($OO19),4,FALSE)</f>
        <v>0</v>
      </c>
      <c r="OS19" s="224">
        <f ca="1">VLOOKUP($OP19,INDIRECT($ON19):INDIRECT($OO19),5,FALSE)</f>
        <v>0</v>
      </c>
      <c r="OT19" s="224">
        <f ca="1">VLOOKUP($OP19,INDIRECT($ON19):INDIRECT($OO19),6,FALSE)</f>
        <v>0</v>
      </c>
    </row>
    <row r="20" spans="1:410" x14ac:dyDescent="0.2">
      <c r="A20" s="175">
        <v>1007</v>
      </c>
      <c r="B20" s="391">
        <f t="shared" si="12"/>
        <v>3.3541666666666665</v>
      </c>
      <c r="C20" s="392" t="s">
        <v>64</v>
      </c>
      <c r="D20" s="415">
        <v>80.5</v>
      </c>
      <c r="E20" s="394">
        <f t="shared" si="13"/>
        <v>2.5</v>
      </c>
      <c r="F20" s="395">
        <f t="shared" si="14"/>
        <v>2.5</v>
      </c>
      <c r="G20" s="396">
        <v>8007</v>
      </c>
      <c r="H20" s="416" t="str">
        <f>IF(I20&gt;0,"Bhairab Kunda_3("&amp;ROUND(I20/24,3)&amp;")","Bhairab Kunda_3")</f>
        <v>Bhairab Kunda_3</v>
      </c>
      <c r="I20" s="397"/>
      <c r="J20" s="398">
        <f t="shared" si="15"/>
        <v>0</v>
      </c>
      <c r="K20" s="289">
        <f t="shared" si="15"/>
        <v>0</v>
      </c>
      <c r="L20" s="396">
        <v>8073</v>
      </c>
      <c r="M20" s="392" t="str">
        <f>IF(N20&gt;0,"Pheme Khola_0.995("&amp;ROUND(N20/24,3)&amp;")","Pheme Khola_0.995")</f>
        <v>Pheme Khola_0.995</v>
      </c>
      <c r="N20" s="397"/>
      <c r="O20" s="398">
        <f t="shared" si="16"/>
        <v>0</v>
      </c>
      <c r="P20" s="289">
        <f t="shared" si="16"/>
        <v>0</v>
      </c>
      <c r="Q20" s="379"/>
      <c r="R20" s="290"/>
      <c r="S20" s="350">
        <v>0.375</v>
      </c>
      <c r="T20" s="351">
        <v>4.8</v>
      </c>
      <c r="U20" s="351"/>
      <c r="V20" s="351"/>
      <c r="W20" s="352">
        <v>96</v>
      </c>
      <c r="X20" s="351"/>
      <c r="Y20" s="351"/>
      <c r="Z20" s="353"/>
      <c r="AA20" s="353"/>
      <c r="AB20" s="353"/>
      <c r="AC20" s="175">
        <f t="shared" ref="AC20:AC27" si="26">T20+U19+(V19+W19+X19+Y19)/20</f>
        <v>8.85</v>
      </c>
      <c r="AD20" s="340">
        <v>233</v>
      </c>
      <c r="AE20" s="341">
        <v>58</v>
      </c>
      <c r="AG20" s="175">
        <v>8131</v>
      </c>
      <c r="AH20" s="254" t="s">
        <v>27</v>
      </c>
      <c r="AI20" s="380">
        <v>13</v>
      </c>
      <c r="AJ20" s="380">
        <v>13</v>
      </c>
      <c r="AK20" s="255">
        <v>13</v>
      </c>
      <c r="AN20" s="256"/>
      <c r="AO20" s="257">
        <v>1.0966666666666667</v>
      </c>
      <c r="AZ20" s="293" t="s">
        <v>358</v>
      </c>
      <c r="BA20" s="343">
        <f t="shared" ref="BA20:BF20" ca="1" si="27">IF(BA18=0," - ",(BA17/(BA18*24)))</f>
        <v>0.99479166666666674</v>
      </c>
      <c r="BB20" s="343">
        <f t="shared" ca="1" si="27"/>
        <v>1.3416666666666666</v>
      </c>
      <c r="BC20" s="343">
        <f t="shared" ca="1" si="27"/>
        <v>0.76822916666666652</v>
      </c>
      <c r="BD20" s="343" t="str">
        <f t="shared" si="27"/>
        <v xml:space="preserve"> - </v>
      </c>
      <c r="BE20" s="343" t="str">
        <f t="shared" si="27"/>
        <v xml:space="preserve"> - </v>
      </c>
      <c r="BF20" s="344">
        <f t="shared" ca="1" si="27"/>
        <v>0.53191699040219365</v>
      </c>
      <c r="BG20" s="430"/>
      <c r="BH20" s="722" t="s">
        <v>368</v>
      </c>
      <c r="BI20" s="723"/>
      <c r="BJ20" s="726">
        <f>BJ18</f>
        <v>0</v>
      </c>
      <c r="BK20" s="727"/>
      <c r="BL20" s="436"/>
      <c r="BM20" s="334"/>
      <c r="BN20" s="276" t="s">
        <v>405</v>
      </c>
      <c r="BO20" s="424"/>
      <c r="BP20" s="262"/>
      <c r="BQ20" s="263"/>
      <c r="BR20" s="296"/>
      <c r="BS20" s="432" t="e">
        <f>(BQ22-BP22)/BP22*100</f>
        <v>#DIV/0!</v>
      </c>
      <c r="BT20" s="426" t="s">
        <v>360</v>
      </c>
      <c r="BU20" s="343">
        <f t="shared" ref="BU20:EF20" ca="1" si="28">IF(BU18=0," - ",(BU17/(BU18*24)))</f>
        <v>0.54771505376344087</v>
      </c>
      <c r="BV20" s="437">
        <f t="shared" ca="1" si="28"/>
        <v>0</v>
      </c>
      <c r="BW20" s="437">
        <f t="shared" ca="1" si="28"/>
        <v>0.63816666666666666</v>
      </c>
      <c r="BX20" s="437">
        <f t="shared" ca="1" si="28"/>
        <v>0.86963888888888885</v>
      </c>
      <c r="BY20" s="437">
        <f t="shared" ca="1" si="28"/>
        <v>0.31285714285714289</v>
      </c>
      <c r="BZ20" s="343">
        <f t="shared" ca="1" si="28"/>
        <v>1</v>
      </c>
      <c r="CA20" s="437">
        <f t="shared" ca="1" si="28"/>
        <v>0.70120192307692308</v>
      </c>
      <c r="CB20" s="437">
        <f t="shared" ca="1" si="28"/>
        <v>0</v>
      </c>
      <c r="CC20" s="437">
        <f t="shared" ca="1" si="28"/>
        <v>0.96708333333333341</v>
      </c>
      <c r="CD20" s="437" t="str">
        <f t="shared" ca="1" si="28"/>
        <v xml:space="preserve"> - </v>
      </c>
      <c r="CE20" s="343">
        <f t="shared" ca="1" si="28"/>
        <v>1</v>
      </c>
      <c r="CF20" s="343">
        <f t="shared" ca="1" si="28"/>
        <v>1</v>
      </c>
      <c r="CG20" s="343">
        <f t="shared" ca="1" si="28"/>
        <v>1</v>
      </c>
      <c r="CH20" s="343">
        <f t="shared" ca="1" si="28"/>
        <v>1</v>
      </c>
      <c r="CI20" s="343">
        <f t="shared" ca="1" si="28"/>
        <v>1</v>
      </c>
      <c r="CJ20" s="343">
        <f t="shared" ca="1" si="28"/>
        <v>1</v>
      </c>
      <c r="CK20" s="343">
        <f t="shared" ca="1" si="28"/>
        <v>1</v>
      </c>
      <c r="CL20" s="343" t="str">
        <f t="shared" ca="1" si="28"/>
        <v xml:space="preserve"> - </v>
      </c>
      <c r="CM20" s="343">
        <f t="shared" ca="1" si="28"/>
        <v>1</v>
      </c>
      <c r="CN20" s="343">
        <f t="shared" ca="1" si="28"/>
        <v>1</v>
      </c>
      <c r="CO20" s="343">
        <f t="shared" ca="1" si="28"/>
        <v>0.99999999999999989</v>
      </c>
      <c r="CP20" s="343" t="str">
        <f t="shared" ca="1" si="28"/>
        <v xml:space="preserve"> - </v>
      </c>
      <c r="CQ20" s="343">
        <f t="shared" ca="1" si="28"/>
        <v>1</v>
      </c>
      <c r="CR20" s="343">
        <f t="shared" ca="1" si="28"/>
        <v>1</v>
      </c>
      <c r="CS20" s="343">
        <f t="shared" ca="1" si="28"/>
        <v>0.99999999999999989</v>
      </c>
      <c r="CT20" s="343">
        <f t="shared" ca="1" si="28"/>
        <v>0.99999999999999989</v>
      </c>
      <c r="CU20" s="343">
        <f t="shared" ca="1" si="28"/>
        <v>1</v>
      </c>
      <c r="CV20" s="343">
        <f t="shared" ca="1" si="28"/>
        <v>1</v>
      </c>
      <c r="CW20" s="343" t="str">
        <f t="shared" ca="1" si="28"/>
        <v xml:space="preserve"> - </v>
      </c>
      <c r="CX20" s="343">
        <f t="shared" ca="1" si="28"/>
        <v>1</v>
      </c>
      <c r="CY20" s="343">
        <f t="shared" ca="1" si="28"/>
        <v>1</v>
      </c>
      <c r="CZ20" s="343">
        <f t="shared" ca="1" si="28"/>
        <v>0.99999999999999989</v>
      </c>
      <c r="DA20" s="343" t="str">
        <f t="shared" ca="1" si="28"/>
        <v xml:space="preserve"> - </v>
      </c>
      <c r="DB20" s="343" t="str">
        <f t="shared" ca="1" si="28"/>
        <v xml:space="preserve"> - </v>
      </c>
      <c r="DC20" s="343">
        <f t="shared" ca="1" si="28"/>
        <v>1</v>
      </c>
      <c r="DD20" s="343">
        <f t="shared" ca="1" si="28"/>
        <v>1.0000000000000002</v>
      </c>
      <c r="DE20" s="343">
        <f t="shared" ca="1" si="28"/>
        <v>1</v>
      </c>
      <c r="DF20" s="343">
        <f t="shared" ca="1" si="28"/>
        <v>1</v>
      </c>
      <c r="DG20" s="343" t="str">
        <f t="shared" ca="1" si="28"/>
        <v xml:space="preserve"> - </v>
      </c>
      <c r="DH20" s="343">
        <f t="shared" ca="1" si="28"/>
        <v>1</v>
      </c>
      <c r="DI20" s="343" t="str">
        <f t="shared" ca="1" si="28"/>
        <v xml:space="preserve"> - </v>
      </c>
      <c r="DJ20" s="343">
        <f t="shared" ca="1" si="28"/>
        <v>1</v>
      </c>
      <c r="DK20" s="343" t="str">
        <f t="shared" ca="1" si="28"/>
        <v xml:space="preserve"> - </v>
      </c>
      <c r="DL20" s="343">
        <f t="shared" ca="1" si="28"/>
        <v>0.99999999999999989</v>
      </c>
      <c r="DM20" s="343">
        <f t="shared" ca="1" si="28"/>
        <v>0.99999999999999989</v>
      </c>
      <c r="DN20" s="343">
        <f t="shared" ca="1" si="28"/>
        <v>0.99999999999999989</v>
      </c>
      <c r="DO20" s="343" t="str">
        <f t="shared" ca="1" si="28"/>
        <v xml:space="preserve"> - </v>
      </c>
      <c r="DP20" s="343" t="str">
        <f t="shared" ca="1" si="28"/>
        <v xml:space="preserve"> - </v>
      </c>
      <c r="DQ20" s="343" t="str">
        <f t="shared" ca="1" si="28"/>
        <v xml:space="preserve"> - </v>
      </c>
      <c r="DR20" s="343">
        <f t="shared" ca="1" si="28"/>
        <v>1</v>
      </c>
      <c r="DS20" s="343" t="str">
        <f t="shared" ca="1" si="28"/>
        <v xml:space="preserve"> - </v>
      </c>
      <c r="DT20" s="343">
        <f t="shared" ca="1" si="28"/>
        <v>1.0000000000000002</v>
      </c>
      <c r="DU20" s="343" t="str">
        <f t="shared" ca="1" si="28"/>
        <v xml:space="preserve"> - </v>
      </c>
      <c r="DV20" s="343" t="str">
        <f t="shared" ca="1" si="28"/>
        <v xml:space="preserve"> - </v>
      </c>
      <c r="DW20" s="343" t="str">
        <f t="shared" ca="1" si="28"/>
        <v xml:space="preserve"> - </v>
      </c>
      <c r="DX20" s="343">
        <f t="shared" ca="1" si="28"/>
        <v>1</v>
      </c>
      <c r="DY20" s="343">
        <f t="shared" ca="1" si="28"/>
        <v>1</v>
      </c>
      <c r="DZ20" s="343">
        <f t="shared" ca="1" si="28"/>
        <v>1</v>
      </c>
      <c r="EA20" s="343">
        <f t="shared" ca="1" si="28"/>
        <v>1</v>
      </c>
      <c r="EB20" s="343" t="str">
        <f t="shared" ca="1" si="28"/>
        <v xml:space="preserve"> - </v>
      </c>
      <c r="EC20" s="343" t="str">
        <f t="shared" ca="1" si="28"/>
        <v xml:space="preserve"> - </v>
      </c>
      <c r="ED20" s="343">
        <f t="shared" ca="1" si="28"/>
        <v>1</v>
      </c>
      <c r="EE20" s="343" t="str">
        <f t="shared" ca="1" si="28"/>
        <v xml:space="preserve"> - </v>
      </c>
      <c r="EF20" s="343">
        <f t="shared" ca="1" si="28"/>
        <v>1</v>
      </c>
      <c r="EG20" s="343">
        <f t="shared" ref="EG20:GL20" ca="1" si="29">IF(EG18=0," - ",(EG17/(EG18*24)))</f>
        <v>1</v>
      </c>
      <c r="EH20" s="343" t="str">
        <f t="shared" ca="1" si="29"/>
        <v xml:space="preserve"> - </v>
      </c>
      <c r="EI20" s="343" t="str">
        <f t="shared" ca="1" si="29"/>
        <v xml:space="preserve"> - </v>
      </c>
      <c r="EJ20" s="343" t="str">
        <f t="shared" ca="1" si="29"/>
        <v xml:space="preserve"> - </v>
      </c>
      <c r="EK20" s="343" t="str">
        <f t="shared" ca="1" si="29"/>
        <v xml:space="preserve"> - </v>
      </c>
      <c r="EL20" s="343" t="str">
        <f t="shared" ca="1" si="29"/>
        <v xml:space="preserve"> - </v>
      </c>
      <c r="EM20" s="343" t="str">
        <f t="shared" ca="1" si="29"/>
        <v xml:space="preserve"> - </v>
      </c>
      <c r="EN20" s="343" t="str">
        <f t="shared" ca="1" si="29"/>
        <v xml:space="preserve"> - </v>
      </c>
      <c r="EO20" s="343" t="str">
        <f t="shared" ca="1" si="29"/>
        <v xml:space="preserve"> - </v>
      </c>
      <c r="EP20" s="343" t="str">
        <f t="shared" ca="1" si="29"/>
        <v xml:space="preserve"> - </v>
      </c>
      <c r="EQ20" s="343" t="str">
        <f t="shared" ca="1" si="29"/>
        <v xml:space="preserve"> - </v>
      </c>
      <c r="ER20" s="343" t="str">
        <f t="shared" ca="1" si="29"/>
        <v xml:space="preserve"> - </v>
      </c>
      <c r="ES20" s="343" t="str">
        <f t="shared" ca="1" si="29"/>
        <v xml:space="preserve"> - </v>
      </c>
      <c r="ET20" s="343">
        <f t="shared" ca="1" si="29"/>
        <v>1</v>
      </c>
      <c r="EU20" s="343">
        <f t="shared" ca="1" si="29"/>
        <v>1</v>
      </c>
      <c r="EV20" s="343" t="str">
        <f t="shared" ca="1" si="29"/>
        <v xml:space="preserve"> - </v>
      </c>
      <c r="EW20" s="343" t="str">
        <f t="shared" ca="1" si="29"/>
        <v xml:space="preserve"> - </v>
      </c>
      <c r="EX20" s="343" t="str">
        <f t="shared" ca="1" si="29"/>
        <v xml:space="preserve"> - </v>
      </c>
      <c r="EY20" s="343" t="str">
        <f t="shared" ca="1" si="29"/>
        <v xml:space="preserve"> - </v>
      </c>
      <c r="EZ20" s="343">
        <f t="shared" ca="1" si="29"/>
        <v>1</v>
      </c>
      <c r="FA20" s="343" t="str">
        <f t="shared" ca="1" si="29"/>
        <v xml:space="preserve"> - </v>
      </c>
      <c r="FB20" s="343">
        <f t="shared" ca="1" si="29"/>
        <v>1</v>
      </c>
      <c r="FC20" s="343" t="str">
        <f t="shared" ca="1" si="29"/>
        <v xml:space="preserve"> - </v>
      </c>
      <c r="FD20" s="343" t="str">
        <f t="shared" ca="1" si="29"/>
        <v xml:space="preserve"> - </v>
      </c>
      <c r="FE20" s="343" t="str">
        <f t="shared" ca="1" si="29"/>
        <v xml:space="preserve"> - </v>
      </c>
      <c r="FF20" s="343" t="str">
        <f t="shared" ca="1" si="29"/>
        <v xml:space="preserve"> - </v>
      </c>
      <c r="FG20" s="343">
        <f t="shared" ca="1" si="29"/>
        <v>1</v>
      </c>
      <c r="FH20" s="343">
        <f t="shared" ca="1" si="29"/>
        <v>1.0000000000000002</v>
      </c>
      <c r="FI20" s="343" t="str">
        <f t="shared" ca="1" si="29"/>
        <v xml:space="preserve"> - </v>
      </c>
      <c r="FJ20" s="343" t="str">
        <f t="shared" ca="1" si="29"/>
        <v xml:space="preserve"> - </v>
      </c>
      <c r="FK20" s="343" t="str">
        <f t="shared" ca="1" si="29"/>
        <v xml:space="preserve"> - </v>
      </c>
      <c r="FL20" s="343" t="str">
        <f t="shared" ca="1" si="29"/>
        <v xml:space="preserve"> - </v>
      </c>
      <c r="FM20" s="343" t="str">
        <f t="shared" ca="1" si="29"/>
        <v xml:space="preserve"> - </v>
      </c>
      <c r="FN20" s="343" t="str">
        <f t="shared" ca="1" si="29"/>
        <v xml:space="preserve"> - </v>
      </c>
      <c r="FO20" s="343" t="str">
        <f t="shared" ca="1" si="29"/>
        <v xml:space="preserve"> - </v>
      </c>
      <c r="FP20" s="343" t="str">
        <f t="shared" ca="1" si="29"/>
        <v xml:space="preserve"> - </v>
      </c>
      <c r="FQ20" s="343" t="str">
        <f t="shared" ca="1" si="29"/>
        <v xml:space="preserve"> - </v>
      </c>
      <c r="FR20" s="343" t="str">
        <f t="shared" ca="1" si="29"/>
        <v xml:space="preserve"> - </v>
      </c>
      <c r="FS20" s="343" t="str">
        <f t="shared" ca="1" si="29"/>
        <v xml:space="preserve"> - </v>
      </c>
      <c r="FT20" s="343" t="str">
        <f t="shared" ca="1" si="29"/>
        <v xml:space="preserve"> - </v>
      </c>
      <c r="FU20" s="343" t="str">
        <f t="shared" ca="1" si="29"/>
        <v xml:space="preserve"> - </v>
      </c>
      <c r="FV20" s="343" t="str">
        <f t="shared" ca="1" si="29"/>
        <v xml:space="preserve"> - </v>
      </c>
      <c r="FW20" s="343" t="str">
        <f t="shared" ca="1" si="29"/>
        <v xml:space="preserve"> - </v>
      </c>
      <c r="FX20" s="343" t="str">
        <f t="shared" ca="1" si="29"/>
        <v xml:space="preserve"> - </v>
      </c>
      <c r="FY20" s="343" t="str">
        <f t="shared" ca="1" si="29"/>
        <v xml:space="preserve"> - </v>
      </c>
      <c r="FZ20" s="343">
        <f t="shared" ca="1" si="29"/>
        <v>1</v>
      </c>
      <c r="GA20" s="343" t="str">
        <f t="shared" ca="1" si="29"/>
        <v xml:space="preserve"> - </v>
      </c>
      <c r="GB20" s="343" t="str">
        <f t="shared" ca="1" si="29"/>
        <v xml:space="preserve"> - </v>
      </c>
      <c r="GC20" s="343" t="str">
        <f t="shared" ca="1" si="29"/>
        <v xml:space="preserve"> - </v>
      </c>
      <c r="GD20" s="343" t="str">
        <f t="shared" ca="1" si="29"/>
        <v xml:space="preserve"> - </v>
      </c>
      <c r="GE20" s="356">
        <f t="shared" ca="1" si="29"/>
        <v>0.80477184523500678</v>
      </c>
      <c r="GF20" s="343">
        <f t="shared" ca="1" si="29"/>
        <v>1.0000000000000002</v>
      </c>
      <c r="GG20" s="343">
        <f t="shared" ca="1" si="29"/>
        <v>0.653076923076923</v>
      </c>
      <c r="GH20" s="343">
        <f t="shared" ca="1" si="29"/>
        <v>0.47327380952380954</v>
      </c>
      <c r="GI20" s="343">
        <f t="shared" ca="1" si="29"/>
        <v>1</v>
      </c>
      <c r="GJ20" s="343">
        <f t="shared" ca="1" si="29"/>
        <v>0.83846153846153848</v>
      </c>
      <c r="GK20" s="343">
        <f t="shared" ca="1" si="29"/>
        <v>0.72596153846153844</v>
      </c>
      <c r="GL20" s="343">
        <f t="shared" ca="1" si="29"/>
        <v>0.81127450980392157</v>
      </c>
      <c r="GM20" s="343">
        <f ca="1">IF(GM18=0," - ",(GM17/(GM18*24)))</f>
        <v>0.67443722943722939</v>
      </c>
      <c r="GN20" s="343" t="str">
        <f ca="1">IF(GN18=0," - ",(GN17/(GN18*24)))</f>
        <v xml:space="preserve"> - </v>
      </c>
      <c r="GO20" s="343" t="str">
        <f ca="1">IF(GO18=0," - ",(GO17/(GO18*24)))</f>
        <v xml:space="preserve"> - </v>
      </c>
      <c r="JB20" s="175"/>
      <c r="JC20" s="175"/>
      <c r="JD20" s="175"/>
      <c r="JE20" s="175"/>
      <c r="JF20" s="175"/>
      <c r="JG20" s="175"/>
      <c r="JH20" s="175"/>
      <c r="JI20" s="175"/>
      <c r="JJ20" s="175"/>
      <c r="JK20" s="175"/>
      <c r="JL20" s="175"/>
      <c r="JM20" s="175"/>
      <c r="JN20" s="175"/>
      <c r="JO20" s="175"/>
      <c r="JP20" s="175"/>
      <c r="JQ20" s="175"/>
      <c r="JR20" s="175"/>
      <c r="JS20" s="175"/>
      <c r="JT20" s="175"/>
      <c r="JU20" s="175"/>
      <c r="JV20" s="175"/>
      <c r="JW20" s="175"/>
      <c r="JX20" s="175"/>
      <c r="JY20" s="175"/>
      <c r="ON20" s="223" t="s">
        <v>267</v>
      </c>
      <c r="OO20" s="224" t="s">
        <v>268</v>
      </c>
      <c r="OP20" s="224">
        <v>1019</v>
      </c>
      <c r="OQ20" s="224" t="s">
        <v>313</v>
      </c>
      <c r="OR20" s="224">
        <f ca="1">VLOOKUP($OP20,INDIRECT($ON20):INDIRECT($OO20),4,FALSE)</f>
        <v>0</v>
      </c>
      <c r="OS20" s="224">
        <f ca="1">VLOOKUP($OP20,INDIRECT($ON20):INDIRECT($OO20),5,FALSE)</f>
        <v>0</v>
      </c>
      <c r="OT20" s="224">
        <f ca="1">VLOOKUP($OP20,INDIRECT($ON20):INDIRECT($OO20),6,FALSE)</f>
        <v>0</v>
      </c>
    </row>
    <row r="21" spans="1:410" ht="15.75" thickBot="1" x14ac:dyDescent="0.25">
      <c r="A21" s="175">
        <v>1008</v>
      </c>
      <c r="B21" s="391">
        <f t="shared" si="12"/>
        <v>11.340000000000002</v>
      </c>
      <c r="C21" s="392" t="s">
        <v>65</v>
      </c>
      <c r="D21" s="415">
        <v>272.16000000000003</v>
      </c>
      <c r="E21" s="394">
        <f t="shared" si="13"/>
        <v>13.3</v>
      </c>
      <c r="F21" s="395">
        <f t="shared" si="14"/>
        <v>12.3</v>
      </c>
      <c r="G21" s="396">
        <v>8008</v>
      </c>
      <c r="H21" s="416" t="str">
        <f>IF(I21&gt;0,"Bijayapur 2 Khola Small_4.5("&amp;ROUND(I21/24,3)&amp;")","Bijayapur 2 Khola Small_4.5")</f>
        <v>Bijayapur 2 Khola Small_4.5(2.391)</v>
      </c>
      <c r="I21" s="438">
        <v>57.383000000000003</v>
      </c>
      <c r="J21" s="398">
        <f t="shared" si="15"/>
        <v>2.3909583333333333</v>
      </c>
      <c r="K21" s="289">
        <f t="shared" si="15"/>
        <v>2.3909583333333333</v>
      </c>
      <c r="L21" s="396">
        <v>8074</v>
      </c>
      <c r="M21" s="392" t="str">
        <f>IF(N21&gt;0,"Pikhuwa Khola_5("&amp;ROUND(N21/24,3)&amp;")","Pikhuwa Khola_5")</f>
        <v>Pikhuwa Khola_5</v>
      </c>
      <c r="N21" s="397"/>
      <c r="O21" s="398">
        <f t="shared" si="16"/>
        <v>0</v>
      </c>
      <c r="P21" s="289">
        <f t="shared" si="16"/>
        <v>0</v>
      </c>
      <c r="Q21" s="379"/>
      <c r="R21" s="290"/>
      <c r="S21" s="350">
        <v>0.41666666666666702</v>
      </c>
      <c r="T21" s="351">
        <v>4.9000000000000004</v>
      </c>
      <c r="U21" s="351"/>
      <c r="V21" s="351"/>
      <c r="W21" s="352">
        <v>81</v>
      </c>
      <c r="X21" s="351"/>
      <c r="Y21" s="351"/>
      <c r="Z21" s="353"/>
      <c r="AA21" s="353"/>
      <c r="AB21" s="353"/>
      <c r="AC21" s="175">
        <f t="shared" si="26"/>
        <v>9.6999999999999993</v>
      </c>
      <c r="AD21" s="340">
        <v>118</v>
      </c>
      <c r="AE21" s="341">
        <v>58</v>
      </c>
      <c r="AG21" s="175">
        <v>8121</v>
      </c>
      <c r="AH21" s="254" t="s">
        <v>28</v>
      </c>
      <c r="AI21" s="380">
        <v>10</v>
      </c>
      <c r="AJ21" s="380">
        <v>10</v>
      </c>
      <c r="AK21" s="255">
        <v>10</v>
      </c>
      <c r="AN21" s="256"/>
      <c r="AO21" s="257">
        <v>1.345</v>
      </c>
      <c r="AZ21" s="332" t="s">
        <v>362</v>
      </c>
      <c r="BA21" s="356"/>
      <c r="BB21" s="356"/>
      <c r="BC21" s="356"/>
      <c r="BD21" s="356"/>
      <c r="BE21" s="356"/>
      <c r="BF21" s="418"/>
      <c r="BG21" s="187"/>
      <c r="BH21" s="724"/>
      <c r="BI21" s="725"/>
      <c r="BJ21" s="728"/>
      <c r="BK21" s="729"/>
      <c r="BL21" s="439"/>
      <c r="BM21" s="334"/>
      <c r="BN21" s="366" t="s">
        <v>406</v>
      </c>
      <c r="BO21" s="440"/>
      <c r="BP21" s="441"/>
      <c r="BQ21" s="441"/>
      <c r="BR21" s="442"/>
      <c r="BS21" s="432" t="e">
        <f>(BQ23-BP23)/BP23*100</f>
        <v>#DIV/0!</v>
      </c>
      <c r="BT21" s="280" t="s">
        <v>362</v>
      </c>
      <c r="BU21" s="356">
        <f t="shared" ref="BU21:EF21" ca="1" si="30">BU17</f>
        <v>81.5</v>
      </c>
      <c r="BV21" s="356">
        <f t="shared" ca="1" si="30"/>
        <v>0</v>
      </c>
      <c r="BW21" s="356">
        <f t="shared" ca="1" si="30"/>
        <v>76.58</v>
      </c>
      <c r="BX21" s="356">
        <f t="shared" ca="1" si="30"/>
        <v>250.45599999999999</v>
      </c>
      <c r="BY21" s="356">
        <f t="shared" ca="1" si="30"/>
        <v>52.56</v>
      </c>
      <c r="BZ21" s="356">
        <f t="shared" ca="1" si="30"/>
        <v>71.38</v>
      </c>
      <c r="CA21" s="356">
        <f t="shared" ca="1" si="30"/>
        <v>87.51</v>
      </c>
      <c r="CB21" s="356">
        <f t="shared" ca="1" si="30"/>
        <v>0</v>
      </c>
      <c r="CC21" s="356">
        <f t="shared" ca="1" si="30"/>
        <v>92.84</v>
      </c>
      <c r="CD21" s="356">
        <f t="shared" ca="1" si="30"/>
        <v>0</v>
      </c>
      <c r="CE21" s="356">
        <f t="shared" ca="1" si="30"/>
        <v>60</v>
      </c>
      <c r="CF21" s="356">
        <f t="shared" ca="1" si="30"/>
        <v>49.9</v>
      </c>
      <c r="CG21" s="356">
        <f t="shared" ca="1" si="30"/>
        <v>37.159999999999997</v>
      </c>
      <c r="CH21" s="356">
        <f t="shared" ca="1" si="30"/>
        <v>62.17</v>
      </c>
      <c r="CI21" s="356">
        <f t="shared" ca="1" si="30"/>
        <v>72.69</v>
      </c>
      <c r="CJ21" s="356">
        <f t="shared" ca="1" si="30"/>
        <v>170.82</v>
      </c>
      <c r="CK21" s="356">
        <f t="shared" ca="1" si="30"/>
        <v>66.81</v>
      </c>
      <c r="CL21" s="356">
        <f t="shared" ca="1" si="30"/>
        <v>0</v>
      </c>
      <c r="CM21" s="356">
        <f t="shared" ca="1" si="30"/>
        <v>88</v>
      </c>
      <c r="CN21" s="356">
        <f t="shared" ca="1" si="30"/>
        <v>51.31</v>
      </c>
      <c r="CO21" s="356">
        <f t="shared" ca="1" si="30"/>
        <v>57.48</v>
      </c>
      <c r="CP21" s="356">
        <f t="shared" ca="1" si="30"/>
        <v>0</v>
      </c>
      <c r="CQ21" s="356">
        <f t="shared" ca="1" si="30"/>
        <v>65.709999999999994</v>
      </c>
      <c r="CR21" s="356">
        <f t="shared" ca="1" si="30"/>
        <v>62.3</v>
      </c>
      <c r="CS21" s="356">
        <f t="shared" ca="1" si="30"/>
        <v>51.48</v>
      </c>
      <c r="CT21" s="356">
        <f t="shared" ca="1" si="30"/>
        <v>30.59</v>
      </c>
      <c r="CU21" s="356">
        <f t="shared" ca="1" si="30"/>
        <v>93.37</v>
      </c>
      <c r="CV21" s="356">
        <f t="shared" ca="1" si="30"/>
        <v>20.64</v>
      </c>
      <c r="CW21" s="356">
        <f t="shared" ca="1" si="30"/>
        <v>0</v>
      </c>
      <c r="CX21" s="356">
        <f t="shared" ca="1" si="30"/>
        <v>45.09</v>
      </c>
      <c r="CY21" s="356">
        <f t="shared" ca="1" si="30"/>
        <v>32.61</v>
      </c>
      <c r="CZ21" s="356">
        <f t="shared" ca="1" si="30"/>
        <v>56.4</v>
      </c>
      <c r="DA21" s="356">
        <f t="shared" ca="1" si="30"/>
        <v>0</v>
      </c>
      <c r="DB21" s="356">
        <f t="shared" ca="1" si="30"/>
        <v>0</v>
      </c>
      <c r="DC21" s="356">
        <f t="shared" ca="1" si="30"/>
        <v>54.4</v>
      </c>
      <c r="DD21" s="356">
        <f t="shared" ca="1" si="30"/>
        <v>28.361999999999998</v>
      </c>
      <c r="DE21" s="356">
        <f t="shared" ca="1" si="30"/>
        <v>54</v>
      </c>
      <c r="DF21" s="356">
        <f t="shared" ca="1" si="30"/>
        <v>37.340000000000003</v>
      </c>
      <c r="DG21" s="356">
        <f t="shared" ca="1" si="30"/>
        <v>0</v>
      </c>
      <c r="DH21" s="356">
        <f t="shared" ca="1" si="30"/>
        <v>33.109000000000002</v>
      </c>
      <c r="DI21" s="356">
        <f t="shared" ca="1" si="30"/>
        <v>0</v>
      </c>
      <c r="DJ21" s="356">
        <f t="shared" ca="1" si="30"/>
        <v>43.48</v>
      </c>
      <c r="DK21" s="356">
        <f t="shared" ca="1" si="30"/>
        <v>0</v>
      </c>
      <c r="DL21" s="356">
        <f t="shared" ca="1" si="30"/>
        <v>29.254999999999999</v>
      </c>
      <c r="DM21" s="356">
        <f t="shared" ca="1" si="30"/>
        <v>48.1</v>
      </c>
      <c r="DN21" s="356">
        <f t="shared" ca="1" si="30"/>
        <v>62.4</v>
      </c>
      <c r="DO21" s="356">
        <f t="shared" ca="1" si="30"/>
        <v>0</v>
      </c>
      <c r="DP21" s="356">
        <f t="shared" ca="1" si="30"/>
        <v>0</v>
      </c>
      <c r="DQ21" s="356">
        <f t="shared" ca="1" si="30"/>
        <v>0</v>
      </c>
      <c r="DR21" s="356">
        <f t="shared" ca="1" si="30"/>
        <v>29.99</v>
      </c>
      <c r="DS21" s="356">
        <f t="shared" ca="1" si="30"/>
        <v>0</v>
      </c>
      <c r="DT21" s="356">
        <f t="shared" ca="1" si="30"/>
        <v>57.383000000000003</v>
      </c>
      <c r="DU21" s="356">
        <f t="shared" ca="1" si="30"/>
        <v>0</v>
      </c>
      <c r="DV21" s="356">
        <f t="shared" ca="1" si="30"/>
        <v>0</v>
      </c>
      <c r="DW21" s="356">
        <f t="shared" ca="1" si="30"/>
        <v>0</v>
      </c>
      <c r="DX21" s="356">
        <f t="shared" ca="1" si="30"/>
        <v>55.515999999999998</v>
      </c>
      <c r="DY21" s="356">
        <f t="shared" ca="1" si="30"/>
        <v>23.67</v>
      </c>
      <c r="DZ21" s="356">
        <f t="shared" ca="1" si="30"/>
        <v>21.475000000000001</v>
      </c>
      <c r="EA21" s="356">
        <f t="shared" ca="1" si="30"/>
        <v>15.945</v>
      </c>
      <c r="EB21" s="356">
        <f t="shared" ca="1" si="30"/>
        <v>0</v>
      </c>
      <c r="EC21" s="356">
        <f t="shared" ca="1" si="30"/>
        <v>0</v>
      </c>
      <c r="ED21" s="356">
        <f t="shared" ca="1" si="30"/>
        <v>17.88</v>
      </c>
      <c r="EE21" s="356">
        <f t="shared" ca="1" si="30"/>
        <v>0</v>
      </c>
      <c r="EF21" s="356">
        <f t="shared" ca="1" si="30"/>
        <v>23.32</v>
      </c>
      <c r="EG21" s="356">
        <f t="shared" ref="EG21:GL21" ca="1" si="31">EG17</f>
        <v>19.86</v>
      </c>
      <c r="EH21" s="356">
        <f t="shared" ca="1" si="31"/>
        <v>0</v>
      </c>
      <c r="EI21" s="356">
        <f t="shared" ca="1" si="31"/>
        <v>0</v>
      </c>
      <c r="EJ21" s="356">
        <f t="shared" ca="1" si="31"/>
        <v>0</v>
      </c>
      <c r="EK21" s="356">
        <f t="shared" ca="1" si="31"/>
        <v>0</v>
      </c>
      <c r="EL21" s="356">
        <f t="shared" ca="1" si="31"/>
        <v>0</v>
      </c>
      <c r="EM21" s="356">
        <f t="shared" ca="1" si="31"/>
        <v>0</v>
      </c>
      <c r="EN21" s="356">
        <f t="shared" ca="1" si="31"/>
        <v>0</v>
      </c>
      <c r="EO21" s="356">
        <f t="shared" ca="1" si="31"/>
        <v>0</v>
      </c>
      <c r="EP21" s="356">
        <f t="shared" ca="1" si="31"/>
        <v>0</v>
      </c>
      <c r="EQ21" s="356">
        <f t="shared" ca="1" si="31"/>
        <v>0</v>
      </c>
      <c r="ER21" s="356">
        <f t="shared" ca="1" si="31"/>
        <v>0</v>
      </c>
      <c r="ES21" s="356">
        <f t="shared" ca="1" si="31"/>
        <v>0</v>
      </c>
      <c r="ET21" s="356">
        <f t="shared" ca="1" si="31"/>
        <v>30.35</v>
      </c>
      <c r="EU21" s="356">
        <f t="shared" ca="1" si="31"/>
        <v>16.190000000000001</v>
      </c>
      <c r="EV21" s="356">
        <f t="shared" ca="1" si="31"/>
        <v>0</v>
      </c>
      <c r="EW21" s="356">
        <f t="shared" ca="1" si="31"/>
        <v>0</v>
      </c>
      <c r="EX21" s="356">
        <f t="shared" ca="1" si="31"/>
        <v>0</v>
      </c>
      <c r="EY21" s="356">
        <f t="shared" ca="1" si="31"/>
        <v>0</v>
      </c>
      <c r="EZ21" s="356">
        <f t="shared" ca="1" si="31"/>
        <v>17.190000000000001</v>
      </c>
      <c r="FA21" s="356">
        <f t="shared" ca="1" si="31"/>
        <v>0</v>
      </c>
      <c r="FB21" s="356">
        <f t="shared" ca="1" si="31"/>
        <v>9.9450000000000003</v>
      </c>
      <c r="FC21" s="356">
        <f t="shared" ca="1" si="31"/>
        <v>0</v>
      </c>
      <c r="FD21" s="356">
        <f t="shared" ca="1" si="31"/>
        <v>0</v>
      </c>
      <c r="FE21" s="356">
        <f t="shared" ca="1" si="31"/>
        <v>0</v>
      </c>
      <c r="FF21" s="356">
        <f t="shared" ca="1" si="31"/>
        <v>0</v>
      </c>
      <c r="FG21" s="356">
        <f t="shared" ca="1" si="31"/>
        <v>4.2469999999999999</v>
      </c>
      <c r="FH21" s="356">
        <f t="shared" ca="1" si="31"/>
        <v>12.69</v>
      </c>
      <c r="FI21" s="356">
        <f t="shared" ca="1" si="31"/>
        <v>0</v>
      </c>
      <c r="FJ21" s="356">
        <f t="shared" ca="1" si="31"/>
        <v>0</v>
      </c>
      <c r="FK21" s="356">
        <f t="shared" ca="1" si="31"/>
        <v>0</v>
      </c>
      <c r="FL21" s="356">
        <f t="shared" ca="1" si="31"/>
        <v>0</v>
      </c>
      <c r="FM21" s="356">
        <f t="shared" ca="1" si="31"/>
        <v>0</v>
      </c>
      <c r="FN21" s="356">
        <f t="shared" ca="1" si="31"/>
        <v>0</v>
      </c>
      <c r="FO21" s="356">
        <f t="shared" ca="1" si="31"/>
        <v>0</v>
      </c>
      <c r="FP21" s="356">
        <f t="shared" ca="1" si="31"/>
        <v>0</v>
      </c>
      <c r="FQ21" s="356">
        <f t="shared" ca="1" si="31"/>
        <v>0</v>
      </c>
      <c r="FR21" s="356">
        <f t="shared" ca="1" si="31"/>
        <v>0</v>
      </c>
      <c r="FS21" s="356">
        <f t="shared" ca="1" si="31"/>
        <v>0</v>
      </c>
      <c r="FT21" s="356">
        <f t="shared" ca="1" si="31"/>
        <v>0</v>
      </c>
      <c r="FU21" s="356">
        <f t="shared" ca="1" si="31"/>
        <v>0</v>
      </c>
      <c r="FV21" s="356">
        <f t="shared" ca="1" si="31"/>
        <v>0</v>
      </c>
      <c r="FW21" s="356">
        <f t="shared" ca="1" si="31"/>
        <v>0</v>
      </c>
      <c r="FX21" s="356">
        <f t="shared" ca="1" si="31"/>
        <v>0</v>
      </c>
      <c r="FY21" s="356">
        <f t="shared" ca="1" si="31"/>
        <v>0</v>
      </c>
      <c r="FZ21" s="356">
        <f t="shared" ca="1" si="31"/>
        <v>2.6779999999999999</v>
      </c>
      <c r="GA21" s="356">
        <f t="shared" ca="1" si="31"/>
        <v>0</v>
      </c>
      <c r="GB21" s="356">
        <f t="shared" ca="1" si="31"/>
        <v>0</v>
      </c>
      <c r="GC21" s="356">
        <f t="shared" ca="1" si="31"/>
        <v>0</v>
      </c>
      <c r="GD21" s="356">
        <f t="shared" ca="1" si="31"/>
        <v>0</v>
      </c>
      <c r="GE21" s="356">
        <f t="shared" ca="1" si="31"/>
        <v>3024.4010000000003</v>
      </c>
      <c r="GF21" s="356">
        <f t="shared" ca="1" si="31"/>
        <v>3.53</v>
      </c>
      <c r="GG21" s="356">
        <f t="shared" ca="1" si="31"/>
        <v>203.76</v>
      </c>
      <c r="GH21" s="356">
        <f t="shared" ca="1" si="31"/>
        <v>79.510000000000005</v>
      </c>
      <c r="GI21" s="356">
        <f t="shared" ca="1" si="31"/>
        <v>101.47</v>
      </c>
      <c r="GJ21" s="356">
        <f t="shared" ca="1" si="31"/>
        <v>261.60000000000002</v>
      </c>
      <c r="GK21" s="356">
        <f t="shared" ca="1" si="31"/>
        <v>226.5</v>
      </c>
      <c r="GL21" s="356">
        <f t="shared" ca="1" si="31"/>
        <v>331</v>
      </c>
      <c r="GM21" s="356">
        <f ca="1">GM17</f>
        <v>124.636</v>
      </c>
      <c r="GN21" s="356">
        <f ca="1">GN17</f>
        <v>0</v>
      </c>
      <c r="GO21" s="356">
        <f ca="1">GO17</f>
        <v>0</v>
      </c>
      <c r="JB21" s="175"/>
      <c r="JC21" s="175"/>
      <c r="JD21" s="175"/>
      <c r="JE21" s="175"/>
      <c r="JF21" s="175"/>
      <c r="JG21" s="175"/>
      <c r="JH21" s="175"/>
      <c r="JI21" s="175"/>
      <c r="JJ21" s="175"/>
      <c r="JK21" s="175"/>
      <c r="JL21" s="175"/>
      <c r="JM21" s="175"/>
      <c r="JN21" s="175"/>
      <c r="JO21" s="175"/>
      <c r="JP21" s="175"/>
      <c r="JQ21" s="175"/>
      <c r="JR21" s="175"/>
      <c r="JS21" s="175"/>
      <c r="JT21" s="175"/>
      <c r="JU21" s="175"/>
      <c r="JV21" s="175"/>
      <c r="JW21" s="175"/>
      <c r="JX21" s="175"/>
      <c r="JY21" s="175"/>
      <c r="ON21" s="223" t="s">
        <v>267</v>
      </c>
      <c r="OO21" s="224" t="s">
        <v>268</v>
      </c>
      <c r="OP21" s="224">
        <v>1020</v>
      </c>
      <c r="OQ21" s="224" t="s">
        <v>407</v>
      </c>
      <c r="OR21" s="224">
        <f ca="1">VLOOKUP($OP21,INDIRECT($ON21):INDIRECT($OO21),4,FALSE)</f>
        <v>0</v>
      </c>
      <c r="OS21" s="224">
        <f ca="1">VLOOKUP($OP21,INDIRECT($ON21):INDIRECT($OO21),5,FALSE)</f>
        <v>0</v>
      </c>
      <c r="OT21" s="224">
        <f ca="1">VLOOKUP($OP21,INDIRECT($ON21):INDIRECT($OO21),6,FALSE)</f>
        <v>0</v>
      </c>
    </row>
    <row r="22" spans="1:410" ht="16.5" thickTop="1" thickBot="1" x14ac:dyDescent="0.25">
      <c r="A22" s="175">
        <v>1009</v>
      </c>
      <c r="B22" s="391">
        <f t="shared" si="12"/>
        <v>4.7749999999999995</v>
      </c>
      <c r="C22" s="392" t="s">
        <v>66</v>
      </c>
      <c r="D22" s="415">
        <v>114.6</v>
      </c>
      <c r="E22" s="394">
        <f t="shared" si="13"/>
        <v>4.8</v>
      </c>
      <c r="F22" s="395">
        <f t="shared" si="14"/>
        <v>3.9</v>
      </c>
      <c r="G22" s="396">
        <v>8009</v>
      </c>
      <c r="H22" s="416" t="str">
        <f>IF(I22&gt;0,"Bijayapur-1_4.41("&amp;ROUND(I22/24,3)&amp;")","Bijayapur-1_4.41")</f>
        <v>Bijayapur-1_4.41</v>
      </c>
      <c r="I22" s="398"/>
      <c r="J22" s="398">
        <f t="shared" si="15"/>
        <v>0</v>
      </c>
      <c r="K22" s="289">
        <f t="shared" si="15"/>
        <v>0</v>
      </c>
      <c r="L22" s="396">
        <v>8075</v>
      </c>
      <c r="M22" s="416" t="str">
        <f>IF(N22&gt;0,"Piluwa Khola Small_3("&amp;ROUND(N22/24,3)&amp;")","Piluwa Khola Small_3")</f>
        <v>Piluwa Khola Small_3</v>
      </c>
      <c r="N22" s="438"/>
      <c r="O22" s="398">
        <f t="shared" si="16"/>
        <v>0</v>
      </c>
      <c r="P22" s="289">
        <f t="shared" si="16"/>
        <v>0</v>
      </c>
      <c r="Q22" s="379"/>
      <c r="S22" s="350">
        <v>0.45833333333333398</v>
      </c>
      <c r="T22" s="351">
        <v>4.0999999999999996</v>
      </c>
      <c r="U22" s="351"/>
      <c r="V22" s="351"/>
      <c r="W22" s="352">
        <v>73</v>
      </c>
      <c r="X22" s="351"/>
      <c r="Y22" s="351"/>
      <c r="Z22" s="353"/>
      <c r="AA22" s="353"/>
      <c r="AB22" s="353"/>
      <c r="AC22" s="175">
        <f t="shared" si="26"/>
        <v>8.1499999999999986</v>
      </c>
      <c r="AD22" s="340">
        <v>62</v>
      </c>
      <c r="AE22" s="341">
        <v>56.5</v>
      </c>
      <c r="AG22" s="175">
        <v>8038</v>
      </c>
      <c r="AH22" s="254" t="s">
        <v>29</v>
      </c>
      <c r="AI22" s="380">
        <v>10</v>
      </c>
      <c r="AJ22" s="380">
        <v>10</v>
      </c>
      <c r="AK22" s="255">
        <v>10</v>
      </c>
      <c r="AN22" s="256"/>
      <c r="AO22" s="257">
        <v>1.8917083333333335</v>
      </c>
      <c r="AZ22" s="366" t="s">
        <v>368</v>
      </c>
      <c r="BA22" s="367"/>
      <c r="BB22" s="367"/>
      <c r="BC22" s="367"/>
      <c r="BD22" s="367"/>
      <c r="BE22" s="367"/>
      <c r="BF22" s="367"/>
      <c r="BG22" s="730"/>
      <c r="BH22" s="731"/>
      <c r="BI22" s="731"/>
      <c r="BJ22" s="731"/>
      <c r="BK22" s="443"/>
      <c r="BL22" s="334"/>
      <c r="BM22" s="334"/>
      <c r="BN22" s="276" t="s">
        <v>408</v>
      </c>
      <c r="BO22" s="424"/>
      <c r="BP22" s="262"/>
      <c r="BQ22" s="263"/>
      <c r="BR22" s="444"/>
      <c r="BS22" s="445"/>
      <c r="BT22" s="280" t="s">
        <v>368</v>
      </c>
      <c r="BU22" s="356">
        <f t="shared" ref="BU22:EF22" ca="1" si="32">BU17</f>
        <v>81.5</v>
      </c>
      <c r="BV22" s="356">
        <f t="shared" ca="1" si="32"/>
        <v>0</v>
      </c>
      <c r="BW22" s="356">
        <f t="shared" ca="1" si="32"/>
        <v>76.58</v>
      </c>
      <c r="BX22" s="356">
        <f t="shared" ca="1" si="32"/>
        <v>250.45599999999999</v>
      </c>
      <c r="BY22" s="356">
        <f t="shared" ca="1" si="32"/>
        <v>52.56</v>
      </c>
      <c r="BZ22" s="356">
        <f t="shared" ca="1" si="32"/>
        <v>71.38</v>
      </c>
      <c r="CA22" s="356">
        <f t="shared" ca="1" si="32"/>
        <v>87.51</v>
      </c>
      <c r="CB22" s="356">
        <f t="shared" ca="1" si="32"/>
        <v>0</v>
      </c>
      <c r="CC22" s="356">
        <f t="shared" ca="1" si="32"/>
        <v>92.84</v>
      </c>
      <c r="CD22" s="356">
        <f t="shared" ca="1" si="32"/>
        <v>0</v>
      </c>
      <c r="CE22" s="356">
        <f t="shared" ca="1" si="32"/>
        <v>60</v>
      </c>
      <c r="CF22" s="356">
        <f t="shared" ca="1" si="32"/>
        <v>49.9</v>
      </c>
      <c r="CG22" s="356">
        <f t="shared" ca="1" si="32"/>
        <v>37.159999999999997</v>
      </c>
      <c r="CH22" s="356">
        <f t="shared" ca="1" si="32"/>
        <v>62.17</v>
      </c>
      <c r="CI22" s="356">
        <f t="shared" ca="1" si="32"/>
        <v>72.69</v>
      </c>
      <c r="CJ22" s="356">
        <f t="shared" ca="1" si="32"/>
        <v>170.82</v>
      </c>
      <c r="CK22" s="356">
        <f t="shared" ca="1" si="32"/>
        <v>66.81</v>
      </c>
      <c r="CL22" s="356">
        <f t="shared" ca="1" si="32"/>
        <v>0</v>
      </c>
      <c r="CM22" s="356">
        <f t="shared" ca="1" si="32"/>
        <v>88</v>
      </c>
      <c r="CN22" s="356">
        <f t="shared" ca="1" si="32"/>
        <v>51.31</v>
      </c>
      <c r="CO22" s="356">
        <f t="shared" ca="1" si="32"/>
        <v>57.48</v>
      </c>
      <c r="CP22" s="356">
        <f t="shared" ca="1" si="32"/>
        <v>0</v>
      </c>
      <c r="CQ22" s="356">
        <f t="shared" ca="1" si="32"/>
        <v>65.709999999999994</v>
      </c>
      <c r="CR22" s="356">
        <f t="shared" ca="1" si="32"/>
        <v>62.3</v>
      </c>
      <c r="CS22" s="356">
        <f t="shared" ca="1" si="32"/>
        <v>51.48</v>
      </c>
      <c r="CT22" s="356">
        <f t="shared" ca="1" si="32"/>
        <v>30.59</v>
      </c>
      <c r="CU22" s="356">
        <f t="shared" ca="1" si="32"/>
        <v>93.37</v>
      </c>
      <c r="CV22" s="356">
        <f t="shared" ca="1" si="32"/>
        <v>20.64</v>
      </c>
      <c r="CW22" s="356">
        <f t="shared" ca="1" si="32"/>
        <v>0</v>
      </c>
      <c r="CX22" s="356">
        <f t="shared" ca="1" si="32"/>
        <v>45.09</v>
      </c>
      <c r="CY22" s="356">
        <f t="shared" ca="1" si="32"/>
        <v>32.61</v>
      </c>
      <c r="CZ22" s="356">
        <f t="shared" ca="1" si="32"/>
        <v>56.4</v>
      </c>
      <c r="DA22" s="356">
        <f t="shared" ca="1" si="32"/>
        <v>0</v>
      </c>
      <c r="DB22" s="356">
        <f t="shared" ca="1" si="32"/>
        <v>0</v>
      </c>
      <c r="DC22" s="356">
        <f t="shared" ca="1" si="32"/>
        <v>54.4</v>
      </c>
      <c r="DD22" s="356">
        <f t="shared" ca="1" si="32"/>
        <v>28.361999999999998</v>
      </c>
      <c r="DE22" s="356">
        <f t="shared" ca="1" si="32"/>
        <v>54</v>
      </c>
      <c r="DF22" s="356">
        <f t="shared" ca="1" si="32"/>
        <v>37.340000000000003</v>
      </c>
      <c r="DG22" s="356">
        <f t="shared" ca="1" si="32"/>
        <v>0</v>
      </c>
      <c r="DH22" s="356">
        <f t="shared" ca="1" si="32"/>
        <v>33.109000000000002</v>
      </c>
      <c r="DI22" s="356">
        <f t="shared" ca="1" si="32"/>
        <v>0</v>
      </c>
      <c r="DJ22" s="356">
        <f t="shared" ca="1" si="32"/>
        <v>43.48</v>
      </c>
      <c r="DK22" s="356">
        <f t="shared" ca="1" si="32"/>
        <v>0</v>
      </c>
      <c r="DL22" s="356">
        <f t="shared" ca="1" si="32"/>
        <v>29.254999999999999</v>
      </c>
      <c r="DM22" s="356">
        <f t="shared" ca="1" si="32"/>
        <v>48.1</v>
      </c>
      <c r="DN22" s="356">
        <f t="shared" ca="1" si="32"/>
        <v>62.4</v>
      </c>
      <c r="DO22" s="356">
        <f t="shared" ca="1" si="32"/>
        <v>0</v>
      </c>
      <c r="DP22" s="356">
        <f t="shared" ca="1" si="32"/>
        <v>0</v>
      </c>
      <c r="DQ22" s="356">
        <f t="shared" ca="1" si="32"/>
        <v>0</v>
      </c>
      <c r="DR22" s="356">
        <f t="shared" ca="1" si="32"/>
        <v>29.99</v>
      </c>
      <c r="DS22" s="356">
        <f t="shared" ca="1" si="32"/>
        <v>0</v>
      </c>
      <c r="DT22" s="356">
        <f t="shared" ca="1" si="32"/>
        <v>57.383000000000003</v>
      </c>
      <c r="DU22" s="356">
        <f t="shared" ca="1" si="32"/>
        <v>0</v>
      </c>
      <c r="DV22" s="356">
        <f t="shared" ca="1" si="32"/>
        <v>0</v>
      </c>
      <c r="DW22" s="356">
        <f t="shared" ca="1" si="32"/>
        <v>0</v>
      </c>
      <c r="DX22" s="356">
        <f t="shared" ca="1" si="32"/>
        <v>55.515999999999998</v>
      </c>
      <c r="DY22" s="356">
        <f t="shared" ca="1" si="32"/>
        <v>23.67</v>
      </c>
      <c r="DZ22" s="356">
        <f t="shared" ca="1" si="32"/>
        <v>21.475000000000001</v>
      </c>
      <c r="EA22" s="356">
        <f t="shared" ca="1" si="32"/>
        <v>15.945</v>
      </c>
      <c r="EB22" s="356">
        <f t="shared" ca="1" si="32"/>
        <v>0</v>
      </c>
      <c r="EC22" s="356">
        <f t="shared" ca="1" si="32"/>
        <v>0</v>
      </c>
      <c r="ED22" s="356">
        <f t="shared" ca="1" si="32"/>
        <v>17.88</v>
      </c>
      <c r="EE22" s="356">
        <f t="shared" ca="1" si="32"/>
        <v>0</v>
      </c>
      <c r="EF22" s="356">
        <f t="shared" ca="1" si="32"/>
        <v>23.32</v>
      </c>
      <c r="EG22" s="356">
        <f t="shared" ref="EG22:GD22" ca="1" si="33">EG17</f>
        <v>19.86</v>
      </c>
      <c r="EH22" s="356">
        <f t="shared" ca="1" si="33"/>
        <v>0</v>
      </c>
      <c r="EI22" s="356">
        <f t="shared" ca="1" si="33"/>
        <v>0</v>
      </c>
      <c r="EJ22" s="356">
        <f t="shared" ca="1" si="33"/>
        <v>0</v>
      </c>
      <c r="EK22" s="356">
        <f t="shared" ca="1" si="33"/>
        <v>0</v>
      </c>
      <c r="EL22" s="356">
        <f t="shared" ca="1" si="33"/>
        <v>0</v>
      </c>
      <c r="EM22" s="356">
        <f t="shared" ca="1" si="33"/>
        <v>0</v>
      </c>
      <c r="EN22" s="356">
        <f t="shared" ca="1" si="33"/>
        <v>0</v>
      </c>
      <c r="EO22" s="356">
        <f t="shared" ca="1" si="33"/>
        <v>0</v>
      </c>
      <c r="EP22" s="356">
        <f t="shared" ca="1" si="33"/>
        <v>0</v>
      </c>
      <c r="EQ22" s="356">
        <f t="shared" ca="1" si="33"/>
        <v>0</v>
      </c>
      <c r="ER22" s="356">
        <f t="shared" ca="1" si="33"/>
        <v>0</v>
      </c>
      <c r="ES22" s="356">
        <f t="shared" ca="1" si="33"/>
        <v>0</v>
      </c>
      <c r="ET22" s="356">
        <f t="shared" ca="1" si="33"/>
        <v>30.35</v>
      </c>
      <c r="EU22" s="356">
        <f t="shared" ca="1" si="33"/>
        <v>16.190000000000001</v>
      </c>
      <c r="EV22" s="356">
        <f t="shared" ca="1" si="33"/>
        <v>0</v>
      </c>
      <c r="EW22" s="356">
        <f t="shared" ca="1" si="33"/>
        <v>0</v>
      </c>
      <c r="EX22" s="356">
        <f t="shared" ca="1" si="33"/>
        <v>0</v>
      </c>
      <c r="EY22" s="356">
        <f t="shared" ca="1" si="33"/>
        <v>0</v>
      </c>
      <c r="EZ22" s="356">
        <f t="shared" ca="1" si="33"/>
        <v>17.190000000000001</v>
      </c>
      <c r="FA22" s="356">
        <f t="shared" ca="1" si="33"/>
        <v>0</v>
      </c>
      <c r="FB22" s="356">
        <f t="shared" ca="1" si="33"/>
        <v>9.9450000000000003</v>
      </c>
      <c r="FC22" s="356">
        <f t="shared" ca="1" si="33"/>
        <v>0</v>
      </c>
      <c r="FD22" s="356">
        <f t="shared" ca="1" si="33"/>
        <v>0</v>
      </c>
      <c r="FE22" s="356">
        <f t="shared" ca="1" si="33"/>
        <v>0</v>
      </c>
      <c r="FF22" s="356">
        <f t="shared" ca="1" si="33"/>
        <v>0</v>
      </c>
      <c r="FG22" s="356">
        <f t="shared" ca="1" si="33"/>
        <v>4.2469999999999999</v>
      </c>
      <c r="FH22" s="356">
        <f t="shared" ca="1" si="33"/>
        <v>12.69</v>
      </c>
      <c r="FI22" s="356">
        <f t="shared" ca="1" si="33"/>
        <v>0</v>
      </c>
      <c r="FJ22" s="356">
        <f t="shared" ca="1" si="33"/>
        <v>0</v>
      </c>
      <c r="FK22" s="356">
        <f t="shared" ca="1" si="33"/>
        <v>0</v>
      </c>
      <c r="FL22" s="356">
        <f t="shared" ca="1" si="33"/>
        <v>0</v>
      </c>
      <c r="FM22" s="356">
        <f t="shared" ca="1" si="33"/>
        <v>0</v>
      </c>
      <c r="FN22" s="356">
        <f t="shared" ca="1" si="33"/>
        <v>0</v>
      </c>
      <c r="FO22" s="356">
        <f t="shared" ca="1" si="33"/>
        <v>0</v>
      </c>
      <c r="FP22" s="356">
        <f t="shared" ca="1" si="33"/>
        <v>0</v>
      </c>
      <c r="FQ22" s="356">
        <f t="shared" ca="1" si="33"/>
        <v>0</v>
      </c>
      <c r="FR22" s="356">
        <f t="shared" ca="1" si="33"/>
        <v>0</v>
      </c>
      <c r="FS22" s="356">
        <f t="shared" ca="1" si="33"/>
        <v>0</v>
      </c>
      <c r="FT22" s="356">
        <f t="shared" ca="1" si="33"/>
        <v>0</v>
      </c>
      <c r="FU22" s="356">
        <f t="shared" ca="1" si="33"/>
        <v>0</v>
      </c>
      <c r="FV22" s="356">
        <f t="shared" ca="1" si="33"/>
        <v>0</v>
      </c>
      <c r="FW22" s="356">
        <f t="shared" ca="1" si="33"/>
        <v>0</v>
      </c>
      <c r="FX22" s="356">
        <f t="shared" ca="1" si="33"/>
        <v>0</v>
      </c>
      <c r="FY22" s="356">
        <f t="shared" ca="1" si="33"/>
        <v>0</v>
      </c>
      <c r="FZ22" s="356">
        <f t="shared" ca="1" si="33"/>
        <v>2.6779999999999999</v>
      </c>
      <c r="GA22" s="356">
        <f t="shared" ca="1" si="33"/>
        <v>0</v>
      </c>
      <c r="GB22" s="356">
        <f t="shared" ca="1" si="33"/>
        <v>0</v>
      </c>
      <c r="GC22" s="356">
        <f t="shared" ca="1" si="33"/>
        <v>0</v>
      </c>
      <c r="GD22" s="356">
        <f t="shared" ca="1" si="33"/>
        <v>0</v>
      </c>
      <c r="GE22" s="427">
        <f ca="1">SUM(BU22:GD22,GF22:GI22)</f>
        <v>3024.4010000000003</v>
      </c>
      <c r="GF22" s="356">
        <f t="shared" ref="GF22:GL22" ca="1" si="34">GF17</f>
        <v>3.53</v>
      </c>
      <c r="GG22" s="356">
        <f t="shared" ca="1" si="34"/>
        <v>203.76</v>
      </c>
      <c r="GH22" s="356">
        <f t="shared" ca="1" si="34"/>
        <v>79.510000000000005</v>
      </c>
      <c r="GI22" s="356">
        <f t="shared" ca="1" si="34"/>
        <v>101.47</v>
      </c>
      <c r="GJ22" s="356">
        <f t="shared" ca="1" si="34"/>
        <v>261.60000000000002</v>
      </c>
      <c r="GK22" s="356">
        <f t="shared" ca="1" si="34"/>
        <v>226.5</v>
      </c>
      <c r="GL22" s="356">
        <f t="shared" ca="1" si="34"/>
        <v>331</v>
      </c>
      <c r="GM22" s="356">
        <f ca="1">GM17</f>
        <v>124.636</v>
      </c>
      <c r="GN22" s="356">
        <f ca="1">GN17</f>
        <v>0</v>
      </c>
      <c r="GO22" s="356">
        <f ca="1">GO17</f>
        <v>0</v>
      </c>
      <c r="JB22" s="175"/>
      <c r="JC22" s="175"/>
      <c r="JD22" s="175"/>
      <c r="JE22" s="175"/>
      <c r="JF22" s="175"/>
      <c r="JG22" s="175"/>
      <c r="JH22" s="175"/>
      <c r="JI22" s="175"/>
      <c r="JJ22" s="175"/>
      <c r="JK22" s="175"/>
      <c r="JL22" s="175"/>
      <c r="JM22" s="175"/>
      <c r="JN22" s="175"/>
      <c r="JO22" s="175"/>
      <c r="JP22" s="175"/>
      <c r="JQ22" s="175"/>
      <c r="JR22" s="175"/>
      <c r="JS22" s="175"/>
      <c r="JT22" s="175"/>
      <c r="JU22" s="175"/>
      <c r="JV22" s="175"/>
      <c r="JW22" s="175"/>
      <c r="JX22" s="175"/>
      <c r="JY22" s="175"/>
      <c r="ON22" s="223" t="s">
        <v>267</v>
      </c>
      <c r="OO22" s="224" t="s">
        <v>268</v>
      </c>
      <c r="OP22" s="224">
        <v>1021</v>
      </c>
      <c r="OQ22" s="224" t="s">
        <v>409</v>
      </c>
      <c r="OR22" s="224">
        <f ca="1">VLOOKUP($OP22,INDIRECT($ON22):INDIRECT($OO22),4,FALSE)</f>
        <v>0</v>
      </c>
      <c r="OS22" s="224">
        <f ca="1">VLOOKUP($OP22,INDIRECT($ON22):INDIRECT($OO22),5,FALSE)</f>
        <v>0</v>
      </c>
      <c r="OT22" s="224">
        <f ca="1">VLOOKUP($OP22,INDIRECT($ON22):INDIRECT($OO22),6,FALSE)</f>
        <v>0</v>
      </c>
    </row>
    <row r="23" spans="1:410" ht="16.5" thickTop="1" thickBot="1" x14ac:dyDescent="0.25">
      <c r="A23" s="175">
        <v>1010</v>
      </c>
      <c r="B23" s="391">
        <f t="shared" si="12"/>
        <v>4.6878333333333329</v>
      </c>
      <c r="C23" s="392" t="s">
        <v>67</v>
      </c>
      <c r="D23" s="415">
        <v>112.508</v>
      </c>
      <c r="E23" s="394">
        <f t="shared" si="13"/>
        <v>5.2</v>
      </c>
      <c r="F23" s="395">
        <f t="shared" si="14"/>
        <v>5.2</v>
      </c>
      <c r="G23" s="396">
        <v>8010</v>
      </c>
      <c r="H23" s="429" t="str">
        <f>IF(I23&gt;0,"Bishnu Priya Solar Farm Project_0.96("&amp;ROUND(I23/24,3)&amp;")","Bishnu Priya Solar Farm Project_0.96")</f>
        <v>Bishnu Priya Solar Farm Project_0.96</v>
      </c>
      <c r="I23" s="402"/>
      <c r="J23" s="398">
        <f t="shared" si="15"/>
        <v>0</v>
      </c>
      <c r="K23" s="289">
        <f t="shared" si="15"/>
        <v>0</v>
      </c>
      <c r="L23" s="396">
        <v>8076</v>
      </c>
      <c r="M23" s="416" t="str">
        <f>IF(N23&gt;0,"Puwa Khola -1 _4("&amp;ROUND(N23/24,3)&amp;")","Puwa Khola -1 _4")</f>
        <v>Puwa Khola -1 _4</v>
      </c>
      <c r="N23" s="402"/>
      <c r="O23" s="398">
        <f t="shared" si="16"/>
        <v>0</v>
      </c>
      <c r="P23" s="289">
        <f t="shared" si="16"/>
        <v>0</v>
      </c>
      <c r="Q23" s="379"/>
      <c r="S23" s="350">
        <v>0.5</v>
      </c>
      <c r="T23" s="351">
        <v>4.5</v>
      </c>
      <c r="U23" s="351"/>
      <c r="V23" s="351"/>
      <c r="W23" s="352">
        <v>70</v>
      </c>
      <c r="X23" s="351"/>
      <c r="Y23" s="351"/>
      <c r="Z23" s="353"/>
      <c r="AA23" s="353"/>
      <c r="AB23" s="353"/>
      <c r="AC23" s="175">
        <f t="shared" si="26"/>
        <v>8.15</v>
      </c>
      <c r="AD23" s="340">
        <v>25</v>
      </c>
      <c r="AE23" s="341">
        <v>56.5</v>
      </c>
      <c r="AG23" s="175">
        <v>8091</v>
      </c>
      <c r="AH23" s="254" t="s">
        <v>30</v>
      </c>
      <c r="AI23" s="380">
        <v>11</v>
      </c>
      <c r="AJ23" s="380">
        <v>11</v>
      </c>
      <c r="AK23" s="255">
        <v>11</v>
      </c>
      <c r="AN23" s="256"/>
      <c r="AO23" s="257">
        <v>1.2</v>
      </c>
      <c r="AZ23" s="231" t="s">
        <v>410</v>
      </c>
      <c r="BA23" s="442"/>
      <c r="BB23" s="446"/>
      <c r="BC23" s="447"/>
      <c r="BD23" s="447"/>
      <c r="BE23" s="442"/>
      <c r="BF23" s="442"/>
      <c r="BG23" s="442"/>
      <c r="BH23" s="732" t="s">
        <v>411</v>
      </c>
      <c r="BI23" s="733"/>
      <c r="BJ23" s="733"/>
      <c r="BK23" s="733"/>
      <c r="BL23" s="448">
        <f>BQ23-BJ20</f>
        <v>0</v>
      </c>
      <c r="BM23" s="334"/>
      <c r="BN23" s="366" t="s">
        <v>412</v>
      </c>
      <c r="BO23" s="440"/>
      <c r="BP23" s="441"/>
      <c r="BQ23" s="441"/>
      <c r="BR23" s="449"/>
      <c r="BS23" s="445"/>
      <c r="BT23" s="188"/>
      <c r="BU23" s="232"/>
      <c r="BV23" s="188"/>
      <c r="BW23" s="188"/>
      <c r="BX23" s="188"/>
      <c r="BY23" s="188"/>
      <c r="BZ23" s="188"/>
      <c r="CA23" s="188"/>
      <c r="CB23" s="188"/>
      <c r="CC23" s="188"/>
      <c r="CD23" s="188"/>
      <c r="CE23" s="188"/>
      <c r="CF23" s="188"/>
      <c r="CG23" s="188"/>
      <c r="CH23" s="188"/>
      <c r="CI23" s="188"/>
      <c r="CJ23" s="188"/>
      <c r="CK23" s="188"/>
      <c r="CL23" s="188"/>
      <c r="CM23" s="188"/>
      <c r="CN23" s="188"/>
      <c r="CO23" s="188"/>
      <c r="CP23" s="188"/>
      <c r="CQ23" s="188"/>
      <c r="CR23" s="188"/>
      <c r="CS23" s="188"/>
      <c r="CT23" s="188"/>
      <c r="CU23" s="188"/>
      <c r="CV23" s="188"/>
      <c r="CW23" s="188"/>
      <c r="CX23" s="188"/>
      <c r="CY23" s="188"/>
      <c r="CZ23" s="188"/>
      <c r="DA23" s="188"/>
      <c r="DB23" s="188"/>
      <c r="DC23" s="188"/>
      <c r="DD23" s="188"/>
      <c r="DE23" s="188"/>
      <c r="DF23" s="181"/>
      <c r="DG23" s="181"/>
      <c r="DH23" s="181"/>
      <c r="DI23" s="181"/>
      <c r="DJ23" s="181"/>
      <c r="DK23" s="181"/>
      <c r="DL23" s="181"/>
      <c r="DM23" s="181"/>
      <c r="DN23" s="181"/>
      <c r="DO23" s="181"/>
      <c r="DP23" s="181"/>
      <c r="DQ23" s="181"/>
      <c r="DR23" s="181"/>
      <c r="DS23" s="181"/>
      <c r="DT23" s="181"/>
      <c r="DU23" s="181"/>
      <c r="DV23" s="181"/>
      <c r="DW23" s="181"/>
      <c r="DX23" s="181"/>
      <c r="DY23" s="181"/>
      <c r="DZ23" s="181"/>
      <c r="EA23" s="188"/>
      <c r="EB23" s="181"/>
      <c r="EC23" s="181"/>
      <c r="ED23" s="206"/>
      <c r="EE23" s="206"/>
      <c r="EF23" s="206"/>
      <c r="EG23" s="181"/>
      <c r="EH23" s="181"/>
      <c r="EI23" s="181"/>
      <c r="EJ23" s="181"/>
      <c r="EK23" s="181"/>
      <c r="EL23" s="181"/>
      <c r="EM23" s="181"/>
      <c r="EN23" s="181"/>
      <c r="EO23" s="181"/>
      <c r="EP23" s="181"/>
      <c r="EQ23" s="181"/>
      <c r="ER23" s="189"/>
      <c r="ES23" s="181"/>
      <c r="ET23" s="181"/>
      <c r="EU23" s="181"/>
      <c r="EV23" s="181"/>
      <c r="EW23" s="181"/>
      <c r="EX23" s="181"/>
      <c r="EY23" s="181"/>
      <c r="EZ23" s="181"/>
      <c r="FA23" s="181"/>
      <c r="FB23" s="181"/>
      <c r="FC23" s="181"/>
      <c r="FD23" s="181"/>
      <c r="FE23" s="181"/>
      <c r="FF23" s="181"/>
      <c r="FG23" s="181"/>
      <c r="FH23" s="181"/>
      <c r="FI23" s="181"/>
      <c r="FJ23" s="181"/>
      <c r="FK23" s="181"/>
      <c r="FL23" s="181"/>
      <c r="FM23" s="181"/>
      <c r="FN23" s="181"/>
      <c r="FO23" s="181"/>
      <c r="FP23" s="181"/>
      <c r="FQ23" s="181"/>
      <c r="FR23" s="181"/>
      <c r="FS23" s="181"/>
      <c r="FT23" s="181"/>
      <c r="FU23" s="181"/>
      <c r="FV23" s="181"/>
      <c r="FW23" s="181"/>
      <c r="FX23" s="181"/>
      <c r="FY23" s="181"/>
      <c r="FZ23" s="181"/>
      <c r="GA23" s="181"/>
      <c r="GB23" s="181"/>
      <c r="GC23" s="181"/>
      <c r="GD23" s="181"/>
      <c r="GE23" s="181"/>
      <c r="GF23" s="181"/>
      <c r="JB23" s="175"/>
      <c r="JC23" s="175"/>
      <c r="JD23" s="175"/>
      <c r="JE23" s="175"/>
      <c r="JF23" s="175"/>
      <c r="JG23" s="175"/>
      <c r="JH23" s="175"/>
      <c r="JI23" s="175"/>
      <c r="JJ23" s="175"/>
      <c r="JK23" s="175"/>
      <c r="JL23" s="175"/>
      <c r="JM23" s="175"/>
      <c r="JN23" s="175"/>
      <c r="JO23" s="175"/>
      <c r="JP23" s="175"/>
      <c r="JQ23" s="175"/>
      <c r="JR23" s="175"/>
      <c r="JS23" s="175"/>
      <c r="JT23" s="175"/>
      <c r="JU23" s="175"/>
      <c r="JV23" s="175"/>
      <c r="JW23" s="175"/>
      <c r="JX23" s="175"/>
      <c r="JY23" s="175"/>
      <c r="ON23" s="223" t="s">
        <v>267</v>
      </c>
      <c r="OO23" s="224" t="s">
        <v>268</v>
      </c>
      <c r="OP23" s="224">
        <v>1022</v>
      </c>
      <c r="OQ23" s="224" t="s">
        <v>413</v>
      </c>
      <c r="OR23" s="224">
        <f ca="1">VLOOKUP($OP23,INDIRECT($ON23):INDIRECT($OO23),4,FALSE)</f>
        <v>0</v>
      </c>
      <c r="OS23" s="224">
        <f ca="1">VLOOKUP($OP23,INDIRECT($ON23):INDIRECT($OO23),5,FALSE)</f>
        <v>8</v>
      </c>
      <c r="OT23" s="224">
        <f ca="1">VLOOKUP($OP23,INDIRECT($ON23):INDIRECT($OO23),6,FALSE)</f>
        <v>0</v>
      </c>
    </row>
    <row r="24" spans="1:410" ht="16.5" thickTop="1" thickBot="1" x14ac:dyDescent="0.3">
      <c r="A24" s="175">
        <v>1011</v>
      </c>
      <c r="B24" s="450">
        <f t="shared" si="12"/>
        <v>2.4583333333333335</v>
      </c>
      <c r="C24" s="451" t="s">
        <v>68</v>
      </c>
      <c r="D24" s="452">
        <v>59</v>
      </c>
      <c r="E24" s="453">
        <f t="shared" si="13"/>
        <v>3.2</v>
      </c>
      <c r="F24" s="454">
        <f t="shared" si="14"/>
        <v>3.2</v>
      </c>
      <c r="G24" s="396">
        <v>8011</v>
      </c>
      <c r="H24" s="392" t="str">
        <f>IF(I24&gt;0,"Butwal Solar Project_8.5("&amp;ROUND(I24/24,3)&amp;")","Butwal Solar Project_8.5")</f>
        <v>Butwal Solar Project_8.5</v>
      </c>
      <c r="I24" s="402"/>
      <c r="J24" s="398">
        <f t="shared" si="15"/>
        <v>0</v>
      </c>
      <c r="K24" s="289">
        <f t="shared" si="15"/>
        <v>0</v>
      </c>
      <c r="L24" s="396">
        <v>8138</v>
      </c>
      <c r="M24" s="416" t="str">
        <f>IF(N24&gt;0,"Puwa -1I _4.96("&amp;ROUND(N24/24,3)&amp;")","Puwa -I1 _4.96")</f>
        <v>Puwa -I1 _4.96</v>
      </c>
      <c r="N24" s="402"/>
      <c r="O24" s="398">
        <f t="shared" si="16"/>
        <v>0</v>
      </c>
      <c r="P24" s="289">
        <f t="shared" si="16"/>
        <v>0</v>
      </c>
      <c r="Q24" s="379"/>
      <c r="R24" s="434"/>
      <c r="S24" s="350">
        <v>0.54166666666666696</v>
      </c>
      <c r="T24" s="351">
        <v>4.2</v>
      </c>
      <c r="U24" s="351"/>
      <c r="V24" s="351"/>
      <c r="W24" s="352">
        <v>62</v>
      </c>
      <c r="X24" s="351"/>
      <c r="Y24" s="351"/>
      <c r="Z24" s="353"/>
      <c r="AA24" s="353"/>
      <c r="AB24" s="353"/>
      <c r="AC24" s="175">
        <f t="shared" si="26"/>
        <v>7.7</v>
      </c>
      <c r="AD24" s="340">
        <v>25</v>
      </c>
      <c r="AE24" s="341">
        <v>56.5</v>
      </c>
      <c r="AG24" s="175">
        <v>8135</v>
      </c>
      <c r="AH24" s="254" t="s">
        <v>395</v>
      </c>
      <c r="AI24" s="380">
        <v>13</v>
      </c>
      <c r="AJ24" s="380">
        <v>13</v>
      </c>
      <c r="AK24" s="255">
        <v>13</v>
      </c>
      <c r="AN24" s="256"/>
      <c r="AO24" s="257">
        <v>0</v>
      </c>
      <c r="AZ24" s="231"/>
      <c r="BA24">
        <v>8046</v>
      </c>
      <c r="BB24">
        <v>8125</v>
      </c>
      <c r="BC24">
        <v>8112</v>
      </c>
      <c r="BD24">
        <v>8063</v>
      </c>
      <c r="BE24">
        <v>8069</v>
      </c>
      <c r="BF24">
        <v>8038</v>
      </c>
      <c r="BG24">
        <v>8091</v>
      </c>
      <c r="BH24">
        <v>8121</v>
      </c>
      <c r="BI24">
        <v>8045</v>
      </c>
      <c r="BJ24">
        <v>8097</v>
      </c>
      <c r="BK24">
        <v>8113</v>
      </c>
      <c r="BL24">
        <v>8107</v>
      </c>
      <c r="BM24">
        <v>8003</v>
      </c>
      <c r="BN24">
        <v>8086</v>
      </c>
      <c r="BO24">
        <v>8051</v>
      </c>
      <c r="BP24" s="449"/>
      <c r="BQ24" s="449"/>
      <c r="BR24" s="449"/>
      <c r="BS24" s="455"/>
      <c r="BT24" s="455"/>
      <c r="BU24" s="456" t="s">
        <v>414</v>
      </c>
      <c r="BV24" s="457" t="s">
        <v>415</v>
      </c>
      <c r="BW24" s="458"/>
      <c r="BX24" s="459" t="s">
        <v>416</v>
      </c>
      <c r="BY24" s="734"/>
      <c r="BZ24" s="734"/>
      <c r="CA24" s="734"/>
      <c r="CB24" s="188"/>
      <c r="CC24" s="188"/>
      <c r="CD24" s="188"/>
      <c r="CE24" s="188"/>
      <c r="CF24" s="188"/>
      <c r="CG24" s="188"/>
      <c r="CH24" s="188"/>
      <c r="CI24" s="188"/>
      <c r="CJ24" s="188"/>
      <c r="CK24" s="188"/>
      <c r="CL24" s="188"/>
      <c r="CM24" s="188"/>
      <c r="CN24" s="188"/>
      <c r="CO24" s="188"/>
      <c r="CP24" s="187"/>
      <c r="CQ24" s="187"/>
      <c r="CR24" s="187"/>
      <c r="CS24" s="187"/>
      <c r="CT24" s="187"/>
      <c r="CU24" s="187"/>
      <c r="CV24" s="187"/>
      <c r="CW24" s="187"/>
      <c r="CX24" s="187"/>
      <c r="CY24" s="187"/>
      <c r="CZ24" s="187"/>
      <c r="DA24" s="187"/>
      <c r="DB24" s="187"/>
      <c r="DC24" s="187"/>
      <c r="DD24" s="187"/>
      <c r="DE24" s="187"/>
      <c r="DF24" s="187"/>
      <c r="DG24" s="187"/>
      <c r="DH24" s="187"/>
      <c r="DI24" s="187"/>
      <c r="DJ24" s="187"/>
      <c r="DK24" s="187"/>
      <c r="DL24" s="187"/>
      <c r="DM24" s="187"/>
      <c r="DN24" s="187"/>
      <c r="DO24" s="187"/>
      <c r="DP24" s="187"/>
      <c r="DQ24" s="187"/>
      <c r="DR24" s="187"/>
      <c r="DS24" s="187"/>
      <c r="DT24" s="187"/>
      <c r="DU24" s="187"/>
      <c r="DV24" s="187"/>
      <c r="DW24" s="187"/>
      <c r="DX24" s="187"/>
      <c r="DY24" s="187"/>
      <c r="DZ24" s="187"/>
      <c r="EA24" s="187"/>
      <c r="EB24" s="187"/>
      <c r="EC24" s="187"/>
      <c r="ED24" s="187"/>
      <c r="EE24" s="187"/>
      <c r="EF24" s="187"/>
      <c r="EG24" s="187"/>
      <c r="EH24" s="187"/>
      <c r="EI24" s="187"/>
      <c r="EJ24" s="187"/>
      <c r="EK24" s="187"/>
      <c r="EL24" s="187"/>
      <c r="EM24" s="187"/>
      <c r="EN24" s="187"/>
      <c r="EO24" s="187"/>
      <c r="EP24" s="187"/>
      <c r="EQ24" s="187"/>
      <c r="ER24" s="187"/>
      <c r="ES24" s="187"/>
      <c r="ET24" s="187"/>
      <c r="EU24" s="187"/>
      <c r="EV24" s="187"/>
      <c r="EW24" s="187"/>
      <c r="EX24" s="187"/>
      <c r="EY24" s="187"/>
      <c r="EZ24" s="187"/>
      <c r="FA24" s="187"/>
      <c r="FB24" s="187"/>
      <c r="FC24" s="187"/>
      <c r="FD24" s="187"/>
      <c r="FE24" s="187"/>
      <c r="FF24" s="187"/>
      <c r="FG24" s="187"/>
      <c r="FH24" s="187"/>
      <c r="FI24" s="187"/>
      <c r="FJ24" s="187"/>
      <c r="FK24" s="181"/>
      <c r="FL24" s="181"/>
      <c r="FM24" s="181"/>
      <c r="FN24" s="181"/>
      <c r="FO24" s="181"/>
      <c r="FP24" s="181"/>
      <c r="FQ24" s="181"/>
      <c r="FR24" s="181"/>
      <c r="FS24" s="181"/>
      <c r="FT24" s="181"/>
      <c r="FU24" s="181"/>
      <c r="FV24" s="181"/>
      <c r="FW24" s="181"/>
      <c r="FX24" s="181"/>
      <c r="FY24" s="181"/>
      <c r="FZ24" s="181"/>
      <c r="GA24" s="181"/>
      <c r="GB24" s="181"/>
      <c r="GC24" s="181"/>
      <c r="GD24" s="181"/>
      <c r="GE24" s="181"/>
      <c r="GF24" s="181"/>
      <c r="JB24" s="175"/>
      <c r="JC24" s="175"/>
      <c r="JD24" s="175"/>
      <c r="JE24" s="175"/>
      <c r="JF24" s="175"/>
      <c r="JG24" s="175"/>
      <c r="JH24" s="175"/>
      <c r="JI24" s="175"/>
      <c r="JJ24" s="175"/>
      <c r="JK24" s="175"/>
      <c r="JL24" s="175"/>
      <c r="JM24" s="175"/>
      <c r="JN24" s="175"/>
      <c r="JO24" s="175"/>
      <c r="JP24" s="175"/>
      <c r="JQ24" s="175"/>
      <c r="JR24" s="175"/>
      <c r="JS24" s="175"/>
      <c r="JT24" s="175"/>
      <c r="JU24" s="175"/>
      <c r="JV24" s="175"/>
      <c r="JW24" s="175"/>
      <c r="JX24" s="175"/>
      <c r="JY24" s="175"/>
      <c r="ON24" s="223" t="s">
        <v>267</v>
      </c>
      <c r="OO24" s="224" t="s">
        <v>268</v>
      </c>
      <c r="OP24" s="224">
        <v>1023</v>
      </c>
      <c r="OQ24" s="224" t="s">
        <v>417</v>
      </c>
      <c r="OR24" s="224" t="e">
        <f ca="1">VLOOKUP($OP24,INDIRECT($ON24):INDIRECT($OO24),4,FALSE)</f>
        <v>#N/A</v>
      </c>
      <c r="OS24" s="224" t="e">
        <f ca="1">VLOOKUP($OP24,INDIRECT($ON24):INDIRECT($OO24),5,FALSE)</f>
        <v>#N/A</v>
      </c>
      <c r="OT24" s="224" t="e">
        <f ca="1">VLOOKUP($OP24,INDIRECT($ON24):INDIRECT($OO24),6,FALSE)</f>
        <v>#N/A</v>
      </c>
    </row>
    <row r="25" spans="1:410" ht="37.5" customHeight="1" thickTop="1" x14ac:dyDescent="0.2">
      <c r="A25" s="175">
        <v>1012</v>
      </c>
      <c r="B25" s="373">
        <f t="shared" si="12"/>
        <v>2.25</v>
      </c>
      <c r="C25" s="374" t="s">
        <v>71</v>
      </c>
      <c r="D25" s="460">
        <v>54</v>
      </c>
      <c r="E25" s="375">
        <f t="shared" si="13"/>
        <v>20</v>
      </c>
      <c r="F25" s="376">
        <f t="shared" si="14"/>
        <v>14</v>
      </c>
      <c r="G25" s="396">
        <v>8012</v>
      </c>
      <c r="H25" s="461" t="str">
        <f>IF(I25&gt;0,"Chake Khola_2.83("&amp;ROUND(I25/24,3)&amp;")","Chake Khola_2.83")</f>
        <v>Chake Khola_2.83(1.265)</v>
      </c>
      <c r="I25" s="397">
        <v>30.35</v>
      </c>
      <c r="J25" s="398">
        <f t="shared" si="15"/>
        <v>1.2645833333333334</v>
      </c>
      <c r="K25" s="289">
        <f t="shared" si="15"/>
        <v>1.2645833333333334</v>
      </c>
      <c r="L25" s="396">
        <v>8077</v>
      </c>
      <c r="M25" s="462" t="str">
        <f>IF(N25&gt;0,"Radhi Khola_4.4("&amp;ROUND(N25/24,3)&amp;")","Radhi Khola_4.4")</f>
        <v>Radhi Khola_4.4(2.313)</v>
      </c>
      <c r="N25" s="402">
        <v>55.515999999999998</v>
      </c>
      <c r="O25" s="398">
        <f t="shared" si="16"/>
        <v>2.3131666666666666</v>
      </c>
      <c r="P25" s="289">
        <f t="shared" si="16"/>
        <v>2.3131666666666666</v>
      </c>
      <c r="Q25" s="379"/>
      <c r="S25" s="350">
        <v>0.58333333333333404</v>
      </c>
      <c r="T25" s="351">
        <v>4.7</v>
      </c>
      <c r="U25" s="351"/>
      <c r="V25" s="351"/>
      <c r="W25" s="352">
        <v>63</v>
      </c>
      <c r="X25" s="351"/>
      <c r="Y25" s="351"/>
      <c r="Z25" s="353"/>
      <c r="AA25" s="353"/>
      <c r="AB25" s="353"/>
      <c r="AC25" s="175">
        <f t="shared" si="26"/>
        <v>7.8000000000000007</v>
      </c>
      <c r="AD25" s="340">
        <v>168</v>
      </c>
      <c r="AE25" s="341">
        <v>32</v>
      </c>
      <c r="AG25" s="175">
        <v>8097</v>
      </c>
      <c r="AH25" s="254" t="s">
        <v>32</v>
      </c>
      <c r="AI25" s="380">
        <v>9</v>
      </c>
      <c r="AJ25" s="380">
        <v>9</v>
      </c>
      <c r="AK25" s="255">
        <v>9</v>
      </c>
      <c r="AN25" s="256"/>
      <c r="AO25" s="257">
        <v>1.1822083333333333</v>
      </c>
      <c r="AZ25" s="463" t="s">
        <v>378</v>
      </c>
      <c r="BA25" s="273" t="s">
        <v>19</v>
      </c>
      <c r="BB25" s="273" t="s">
        <v>20</v>
      </c>
      <c r="BC25" s="273" t="s">
        <v>21</v>
      </c>
      <c r="BD25" s="273" t="s">
        <v>22</v>
      </c>
      <c r="BE25" s="273" t="s">
        <v>24</v>
      </c>
      <c r="BF25" s="273" t="s">
        <v>29</v>
      </c>
      <c r="BG25" s="273" t="s">
        <v>30</v>
      </c>
      <c r="BH25" s="273" t="s">
        <v>28</v>
      </c>
      <c r="BI25" s="273" t="s">
        <v>25</v>
      </c>
      <c r="BJ25" s="273" t="s">
        <v>32</v>
      </c>
      <c r="BK25" s="273" t="s">
        <v>33</v>
      </c>
      <c r="BL25" s="273" t="s">
        <v>34</v>
      </c>
      <c r="BM25" s="273" t="s">
        <v>36</v>
      </c>
      <c r="BN25" s="273" t="s">
        <v>418</v>
      </c>
      <c r="BO25" s="273" t="s">
        <v>37</v>
      </c>
      <c r="BP25" s="464" t="s">
        <v>419</v>
      </c>
      <c r="BQ25" s="275" t="s">
        <v>420</v>
      </c>
      <c r="BR25" s="447"/>
      <c r="BS25" s="465" t="s">
        <v>341</v>
      </c>
      <c r="BT25" s="466" t="s">
        <v>292</v>
      </c>
      <c r="BU25" s="467"/>
      <c r="BV25" s="277"/>
      <c r="BW25" s="279"/>
      <c r="BX25" s="735" t="s">
        <v>421</v>
      </c>
      <c r="BY25" s="736"/>
      <c r="BZ25" s="468" t="s">
        <v>422</v>
      </c>
      <c r="CA25" s="469"/>
      <c r="CB25" s="188"/>
      <c r="CC25" s="188"/>
      <c r="CD25" s="188"/>
      <c r="CE25" s="188"/>
      <c r="CF25" s="188"/>
      <c r="CG25" s="188"/>
      <c r="CH25" s="188"/>
      <c r="CI25" s="188"/>
      <c r="CJ25" s="188"/>
      <c r="CK25" s="188"/>
      <c r="CL25" s="188"/>
      <c r="CM25" s="187"/>
      <c r="CN25" s="188"/>
      <c r="CO25" s="187"/>
      <c r="CP25" s="187"/>
      <c r="CQ25" s="187"/>
      <c r="CR25" s="187"/>
      <c r="CS25" s="187"/>
      <c r="CT25" s="187"/>
      <c r="CU25" s="187"/>
      <c r="CV25" s="187"/>
      <c r="CW25" s="187"/>
      <c r="CX25" s="187"/>
      <c r="CY25" s="187"/>
      <c r="CZ25" s="187"/>
      <c r="DA25" s="187"/>
      <c r="DB25" s="187"/>
      <c r="DC25" s="187"/>
      <c r="DD25" s="187"/>
      <c r="DE25" s="187"/>
      <c r="DF25" s="187"/>
      <c r="DG25" s="187"/>
      <c r="DH25" s="187"/>
      <c r="DI25" s="187"/>
      <c r="DJ25" s="187"/>
      <c r="DK25" s="187"/>
      <c r="DL25" s="187"/>
      <c r="DM25" s="187"/>
      <c r="DN25" s="187"/>
      <c r="DO25" s="187"/>
      <c r="DP25" s="187"/>
      <c r="DQ25" s="187"/>
      <c r="DR25" s="187"/>
      <c r="DS25" s="187"/>
      <c r="DT25" s="187"/>
      <c r="DU25" s="187"/>
      <c r="DV25" s="187"/>
      <c r="DW25" s="187"/>
      <c r="DX25" s="187"/>
      <c r="DY25" s="187"/>
      <c r="DZ25" s="187"/>
      <c r="EA25" s="187"/>
      <c r="EB25" s="187"/>
      <c r="EC25" s="187"/>
      <c r="ED25" s="187"/>
      <c r="EE25" s="187"/>
      <c r="EF25" s="187"/>
      <c r="EG25" s="187"/>
      <c r="EH25" s="187"/>
      <c r="EI25" s="187"/>
      <c r="EJ25" s="187"/>
      <c r="EK25" s="187"/>
      <c r="EL25" s="187"/>
      <c r="EM25" s="187"/>
      <c r="EN25" s="187"/>
      <c r="EO25" s="187"/>
      <c r="EP25" s="187"/>
      <c r="EQ25" s="187"/>
      <c r="ER25" s="187"/>
      <c r="ES25" s="187"/>
      <c r="ET25" s="187"/>
      <c r="EU25" s="187"/>
      <c r="EV25" s="187"/>
      <c r="EW25" s="187"/>
      <c r="EX25" s="187"/>
      <c r="EY25" s="187"/>
      <c r="EZ25" s="187"/>
      <c r="FA25" s="187"/>
      <c r="FB25" s="187"/>
      <c r="FC25" s="187"/>
      <c r="FD25" s="187"/>
      <c r="FE25" s="187"/>
      <c r="FF25" s="187"/>
      <c r="FG25" s="187"/>
      <c r="FH25" s="187"/>
      <c r="FI25" s="187"/>
      <c r="FJ25" s="187"/>
      <c r="FK25" s="181"/>
      <c r="FL25" s="181"/>
      <c r="FM25" s="181"/>
      <c r="FN25" s="181"/>
      <c r="FO25" s="181"/>
      <c r="FP25" s="181"/>
      <c r="FQ25" s="181"/>
      <c r="FR25" s="181"/>
      <c r="FS25" s="181"/>
      <c r="FT25" s="181"/>
      <c r="FU25" s="181"/>
      <c r="FV25" s="181"/>
      <c r="FW25" s="181"/>
      <c r="FX25" s="181"/>
      <c r="FY25" s="181"/>
      <c r="FZ25" s="181"/>
      <c r="GA25" s="181"/>
      <c r="GB25" s="181"/>
      <c r="GC25" s="181"/>
      <c r="GD25" s="181"/>
      <c r="GE25" s="181"/>
      <c r="GF25" s="181"/>
      <c r="JB25" s="175"/>
      <c r="JC25" s="175"/>
      <c r="JD25" s="175"/>
      <c r="JE25" s="175"/>
      <c r="JF25" s="175"/>
      <c r="JG25" s="175"/>
      <c r="JH25" s="175"/>
      <c r="JI25" s="175"/>
      <c r="JJ25" s="175"/>
      <c r="JK25" s="175"/>
      <c r="JL25" s="175"/>
      <c r="JM25" s="175"/>
      <c r="JN25" s="175"/>
      <c r="JO25" s="175"/>
      <c r="JP25" s="175"/>
      <c r="JQ25" s="175"/>
      <c r="JR25" s="175"/>
      <c r="JS25" s="175"/>
      <c r="JT25" s="175"/>
      <c r="JU25" s="175"/>
      <c r="JV25" s="175"/>
      <c r="JW25" s="175"/>
      <c r="JX25" s="175"/>
      <c r="JY25" s="175"/>
      <c r="ON25" s="223" t="s">
        <v>267</v>
      </c>
      <c r="OO25" s="224" t="s">
        <v>268</v>
      </c>
      <c r="OP25" s="224">
        <v>1024</v>
      </c>
      <c r="OQ25" s="224" t="s">
        <v>423</v>
      </c>
      <c r="OR25" s="224" t="e">
        <f ca="1">VLOOKUP($OP25,INDIRECT($ON25):INDIRECT($OO25),4,FALSE)</f>
        <v>#N/A</v>
      </c>
      <c r="OS25" s="224" t="e">
        <f ca="1">VLOOKUP($OP25,INDIRECT($ON25):INDIRECT($OO25),5,FALSE)</f>
        <v>#N/A</v>
      </c>
      <c r="OT25" s="224" t="e">
        <f ca="1">VLOOKUP($OP25,INDIRECT($ON25):INDIRECT($OO25),6,FALSE)</f>
        <v>#N/A</v>
      </c>
    </row>
    <row r="26" spans="1:410" ht="21" customHeight="1" x14ac:dyDescent="0.2">
      <c r="A26" s="175">
        <v>1013</v>
      </c>
      <c r="B26" s="391">
        <f t="shared" si="12"/>
        <v>0.98499999999999999</v>
      </c>
      <c r="C26" s="392" t="s">
        <v>72</v>
      </c>
      <c r="D26" s="415">
        <v>23.64</v>
      </c>
      <c r="E26" s="394">
        <f t="shared" si="13"/>
        <v>9.4</v>
      </c>
      <c r="F26" s="395">
        <f t="shared" si="14"/>
        <v>3.8</v>
      </c>
      <c r="G26" s="396">
        <v>8013</v>
      </c>
      <c r="H26" s="416" t="str">
        <f>IF(I26&gt;0,"Chaku Khola_3("&amp;ROUND(I26/24,3)&amp;")","Chaku Khola_3")</f>
        <v>Chaku Khola_3</v>
      </c>
      <c r="I26" s="438"/>
      <c r="J26" s="398">
        <f t="shared" si="15"/>
        <v>0</v>
      </c>
      <c r="K26" s="289">
        <f t="shared" si="15"/>
        <v>0</v>
      </c>
      <c r="L26" s="396">
        <v>8078</v>
      </c>
      <c r="M26" s="433" t="str">
        <f>IF(N26&gt;0,"Rairang Khola_0.5("&amp;ROUND(N26/24,3)&amp;")","Rairang Khola_0.5")</f>
        <v>Rairang Khola_0.5</v>
      </c>
      <c r="N26" s="397"/>
      <c r="O26" s="398">
        <f t="shared" si="16"/>
        <v>0</v>
      </c>
      <c r="P26" s="289">
        <f t="shared" si="16"/>
        <v>0</v>
      </c>
      <c r="Q26" s="379"/>
      <c r="S26" s="350">
        <v>0.625</v>
      </c>
      <c r="T26" s="351">
        <v>4.0999999999999996</v>
      </c>
      <c r="U26" s="351"/>
      <c r="V26" s="351"/>
      <c r="W26" s="352">
        <v>66</v>
      </c>
      <c r="X26" s="351"/>
      <c r="Y26" s="351"/>
      <c r="Z26" s="353"/>
      <c r="AA26" s="353"/>
      <c r="AB26" s="353"/>
      <c r="AC26" s="175">
        <f t="shared" si="26"/>
        <v>7.25</v>
      </c>
      <c r="AD26" s="340">
        <v>200</v>
      </c>
      <c r="AE26" s="341">
        <v>32</v>
      </c>
      <c r="AG26" s="175">
        <v>8113</v>
      </c>
      <c r="AH26" s="254" t="s">
        <v>33</v>
      </c>
      <c r="AI26" s="380">
        <v>7</v>
      </c>
      <c r="AJ26" s="380">
        <v>7</v>
      </c>
      <c r="AK26" s="255">
        <v>7</v>
      </c>
      <c r="AN26" s="256"/>
      <c r="AO26" s="257"/>
      <c r="AZ26" s="293" t="s">
        <v>324</v>
      </c>
      <c r="BA26" s="294">
        <f ca="1">VLOOKUP(BA$24,$OP$2:$OT$300,3,FALSE)</f>
        <v>482.214</v>
      </c>
      <c r="BB26" s="294">
        <f t="shared" ref="BB26:BO26" ca="1" si="35">VLOOKUP(BB$24,$OP$2:$OT$300,3,FALSE)</f>
        <v>914.6</v>
      </c>
      <c r="BC26" s="294">
        <f t="shared" ca="1" si="35"/>
        <v>480.11700000000002</v>
      </c>
      <c r="BD26" s="294">
        <f t="shared" ca="1" si="35"/>
        <v>244.70099999999999</v>
      </c>
      <c r="BE26" s="294">
        <f t="shared" ca="1" si="35"/>
        <v>232.57</v>
      </c>
      <c r="BF26" s="294">
        <f t="shared" ca="1" si="35"/>
        <v>185.7</v>
      </c>
      <c r="BG26" s="294">
        <f t="shared" ca="1" si="35"/>
        <v>173.92</v>
      </c>
      <c r="BH26" s="294">
        <f t="shared" ca="1" si="35"/>
        <v>223.05199999999999</v>
      </c>
      <c r="BI26" s="294">
        <f t="shared" ca="1" si="35"/>
        <v>210.42</v>
      </c>
      <c r="BJ26" s="294">
        <f t="shared" ca="1" si="35"/>
        <v>215.4</v>
      </c>
      <c r="BK26" s="294">
        <f t="shared" ca="1" si="35"/>
        <v>115.83199999999999</v>
      </c>
      <c r="BL26" s="294">
        <f t="shared" ca="1" si="35"/>
        <v>126.85899999999999</v>
      </c>
      <c r="BM26" s="294">
        <f t="shared" ca="1" si="35"/>
        <v>277.38</v>
      </c>
      <c r="BN26" s="294">
        <f t="shared" ca="1" si="35"/>
        <v>144.09399999999999</v>
      </c>
      <c r="BO26" s="294">
        <f t="shared" ca="1" si="35"/>
        <v>145.94999999999999</v>
      </c>
      <c r="BP26" s="417">
        <f ca="1">GE17</f>
        <v>3024.4010000000003</v>
      </c>
      <c r="BQ26" s="418">
        <f ca="1">SUM(BA26:BP26)</f>
        <v>7197.2100000000009</v>
      </c>
      <c r="BR26" s="470"/>
      <c r="BS26" s="471"/>
      <c r="BT26" s="472" t="s">
        <v>287</v>
      </c>
      <c r="BU26" s="473"/>
      <c r="BV26" s="277"/>
      <c r="BW26" s="188"/>
      <c r="BX26" s="737"/>
      <c r="BY26" s="738"/>
      <c r="BZ26" s="468" t="s">
        <v>424</v>
      </c>
      <c r="CA26" s="469"/>
      <c r="CB26" s="188"/>
      <c r="CC26" s="188"/>
      <c r="CD26" s="188"/>
      <c r="CE26" s="188"/>
      <c r="CF26" s="188"/>
      <c r="CG26" s="188"/>
      <c r="CH26" s="188"/>
      <c r="CI26" s="188"/>
      <c r="CJ26" s="188"/>
      <c r="CK26" s="188"/>
      <c r="CL26" s="188"/>
      <c r="CM26" s="187"/>
      <c r="CN26" s="188"/>
      <c r="CO26" s="187"/>
      <c r="CP26" s="187"/>
      <c r="CQ26" s="187"/>
      <c r="CR26" s="187"/>
      <c r="CS26" s="187"/>
      <c r="CT26" s="187"/>
      <c r="CU26" s="187"/>
      <c r="CV26" s="187"/>
      <c r="CW26" s="187"/>
      <c r="CX26" s="187"/>
      <c r="CY26" s="187"/>
      <c r="CZ26" s="187"/>
      <c r="DA26" s="187"/>
      <c r="DB26" s="187"/>
      <c r="DC26" s="187"/>
      <c r="DD26" s="187"/>
      <c r="DE26" s="187"/>
      <c r="DF26" s="187"/>
      <c r="DG26" s="187"/>
      <c r="DH26" s="187"/>
      <c r="DI26" s="187"/>
      <c r="DJ26" s="187"/>
      <c r="DK26" s="187"/>
      <c r="DL26" s="187"/>
      <c r="DM26" s="187"/>
      <c r="DN26" s="187"/>
      <c r="DO26" s="187"/>
      <c r="DP26" s="187"/>
      <c r="DQ26" s="187"/>
      <c r="DR26" s="187"/>
      <c r="DS26" s="187"/>
      <c r="DT26" s="187"/>
      <c r="DU26" s="187"/>
      <c r="DV26" s="187"/>
      <c r="DW26" s="187"/>
      <c r="DX26" s="187"/>
      <c r="DY26" s="187"/>
      <c r="DZ26" s="187"/>
      <c r="EA26" s="187"/>
      <c r="EB26" s="187"/>
      <c r="EC26" s="187"/>
      <c r="ED26" s="187"/>
      <c r="EE26" s="187"/>
      <c r="EF26" s="187"/>
      <c r="EG26" s="187"/>
      <c r="EH26" s="187"/>
      <c r="EI26" s="187"/>
      <c r="EJ26" s="187"/>
      <c r="EK26" s="187"/>
      <c r="EL26" s="187"/>
      <c r="EM26" s="187"/>
      <c r="EN26" s="187"/>
      <c r="EO26" s="187"/>
      <c r="EP26" s="187"/>
      <c r="EQ26" s="187"/>
      <c r="ER26" s="187"/>
      <c r="ES26" s="187"/>
      <c r="ET26" s="187"/>
      <c r="EU26" s="187"/>
      <c r="EV26" s="187"/>
      <c r="EW26" s="187"/>
      <c r="EX26" s="187"/>
      <c r="EY26" s="187"/>
      <c r="EZ26" s="187"/>
      <c r="FA26" s="187"/>
      <c r="FB26" s="187"/>
      <c r="FC26" s="187"/>
      <c r="FD26" s="187"/>
      <c r="FE26" s="187"/>
      <c r="FF26" s="187"/>
      <c r="FG26" s="187"/>
      <c r="FH26" s="187"/>
      <c r="FI26" s="187"/>
      <c r="FJ26" s="187"/>
      <c r="FK26" s="181"/>
      <c r="FL26" s="181"/>
      <c r="FM26" s="181"/>
      <c r="FN26" s="181"/>
      <c r="FO26" s="181"/>
      <c r="FP26" s="181"/>
      <c r="FQ26" s="181"/>
      <c r="FR26" s="181"/>
      <c r="FS26" s="181"/>
      <c r="FT26" s="181"/>
      <c r="FU26" s="181"/>
      <c r="FV26" s="181"/>
      <c r="FW26" s="181"/>
      <c r="FX26" s="181"/>
      <c r="FY26" s="181"/>
      <c r="FZ26" s="181"/>
      <c r="GA26" s="181"/>
      <c r="GB26" s="181"/>
      <c r="GC26" s="181"/>
      <c r="GD26" s="181"/>
      <c r="GE26" s="181"/>
      <c r="GF26" s="181"/>
      <c r="JB26" s="175"/>
      <c r="JC26" s="175"/>
      <c r="JD26" s="175"/>
      <c r="JE26" s="175"/>
      <c r="JF26" s="175"/>
      <c r="JG26" s="175"/>
      <c r="JH26" s="175"/>
      <c r="JI26" s="175"/>
      <c r="JJ26" s="175"/>
      <c r="JK26" s="175"/>
      <c r="JL26" s="175"/>
      <c r="JM26" s="175"/>
      <c r="JN26" s="175"/>
      <c r="JO26" s="175"/>
      <c r="JP26" s="175"/>
      <c r="JQ26" s="175"/>
      <c r="JR26" s="175"/>
      <c r="JS26" s="175"/>
      <c r="JT26" s="175"/>
      <c r="JU26" s="175"/>
      <c r="JV26" s="175"/>
      <c r="JW26" s="175"/>
      <c r="JX26" s="175"/>
      <c r="JY26" s="175"/>
      <c r="ON26" s="223" t="s">
        <v>267</v>
      </c>
      <c r="OO26" s="224" t="s">
        <v>268</v>
      </c>
      <c r="OP26" s="224">
        <v>1025</v>
      </c>
      <c r="OQ26" s="224" t="s">
        <v>425</v>
      </c>
      <c r="OR26" s="224" t="e">
        <f ca="1">VLOOKUP($OP26,INDIRECT($ON26):INDIRECT($OO26),4,FALSE)</f>
        <v>#N/A</v>
      </c>
      <c r="OS26" s="224" t="e">
        <f ca="1">VLOOKUP($OP26,INDIRECT($ON26):INDIRECT($OO26),5,FALSE)</f>
        <v>#N/A</v>
      </c>
      <c r="OT26" s="224" t="e">
        <f ca="1">VLOOKUP($OP26,INDIRECT($ON26):INDIRECT($OO26),6,FALSE)</f>
        <v>#N/A</v>
      </c>
    </row>
    <row r="27" spans="1:410" ht="15.75" thickBot="1" x14ac:dyDescent="0.25">
      <c r="A27" s="175">
        <v>1014</v>
      </c>
      <c r="B27" s="450">
        <f t="shared" si="12"/>
        <v>0.67499999999999993</v>
      </c>
      <c r="C27" s="474" t="s">
        <v>73</v>
      </c>
      <c r="D27" s="475">
        <v>16.2</v>
      </c>
      <c r="E27" s="476">
        <f t="shared" si="13"/>
        <v>3.4</v>
      </c>
      <c r="F27" s="477">
        <f t="shared" si="14"/>
        <v>1.4</v>
      </c>
      <c r="G27" s="396">
        <v>8014</v>
      </c>
      <c r="H27" s="429" t="str">
        <f>IF(I27&gt;0,"Chandranigahpur Solar Project_4("&amp;ROUND(I27/24,3)&amp;")","Chandranigahpur Solar Project_4")</f>
        <v>Chandranigahpur Solar Project_4(0.664)</v>
      </c>
      <c r="I27" s="428">
        <v>15.945</v>
      </c>
      <c r="J27" s="398">
        <f t="shared" si="15"/>
        <v>0.66437500000000005</v>
      </c>
      <c r="K27" s="289">
        <f t="shared" si="15"/>
        <v>0.66437500000000005</v>
      </c>
      <c r="L27" s="396">
        <v>8079</v>
      </c>
      <c r="M27" s="433" t="str">
        <f>IF(N27&gt;0,"Richet Khola_4.98("&amp;ROUND(N27/24,3)&amp;")","Richet Khola_4.98")</f>
        <v>Richet Khola_4.98</v>
      </c>
      <c r="N27" s="478"/>
      <c r="O27" s="398">
        <f t="shared" si="16"/>
        <v>0</v>
      </c>
      <c r="P27" s="289">
        <f t="shared" si="16"/>
        <v>0</v>
      </c>
      <c r="Q27" s="379"/>
      <c r="S27" s="350">
        <v>0.66666666666666696</v>
      </c>
      <c r="T27" s="351">
        <v>4.3</v>
      </c>
      <c r="U27" s="351"/>
      <c r="V27" s="351"/>
      <c r="W27" s="352">
        <v>75</v>
      </c>
      <c r="X27" s="351"/>
      <c r="Y27" s="351"/>
      <c r="Z27" s="353"/>
      <c r="AA27" s="353"/>
      <c r="AB27" s="353"/>
      <c r="AC27" s="175">
        <f t="shared" si="26"/>
        <v>7.6</v>
      </c>
      <c r="AD27" s="340">
        <v>219</v>
      </c>
      <c r="AE27" s="341">
        <v>28</v>
      </c>
      <c r="AG27" s="175">
        <v>8107</v>
      </c>
      <c r="AH27" s="254" t="s">
        <v>34</v>
      </c>
      <c r="AI27" s="380">
        <v>7</v>
      </c>
      <c r="AJ27" s="380">
        <v>7</v>
      </c>
      <c r="AK27" s="255">
        <v>7</v>
      </c>
      <c r="AN27" s="256"/>
      <c r="AO27" s="257">
        <v>2</v>
      </c>
      <c r="AZ27" s="293" t="s">
        <v>342</v>
      </c>
      <c r="BA27" s="294">
        <f ca="1">VLOOKUP(BA$24,$OP$2:$OT$300,4,FALSE)</f>
        <v>20.9</v>
      </c>
      <c r="BB27" s="294">
        <f t="shared" ref="BB27:BO27" ca="1" si="36">VLOOKUP(BB$24,$OP$2:$OT$300,4,FALSE)</f>
        <v>38.4</v>
      </c>
      <c r="BC27" s="294">
        <f t="shared" ca="1" si="36"/>
        <v>23.4</v>
      </c>
      <c r="BD27" s="294">
        <f t="shared" ca="1" si="36"/>
        <v>11</v>
      </c>
      <c r="BE27" s="294">
        <f t="shared" ca="1" si="36"/>
        <v>9.8000000000000007</v>
      </c>
      <c r="BF27" s="294">
        <f t="shared" ca="1" si="36"/>
        <v>7.7374999999999998</v>
      </c>
      <c r="BG27" s="294">
        <f t="shared" ca="1" si="36"/>
        <v>11</v>
      </c>
      <c r="BH27" s="294">
        <f t="shared" ca="1" si="36"/>
        <v>10</v>
      </c>
      <c r="BI27" s="294">
        <f t="shared" ca="1" si="36"/>
        <v>9.3000000000000007</v>
      </c>
      <c r="BJ27" s="294">
        <f t="shared" ca="1" si="36"/>
        <v>9</v>
      </c>
      <c r="BK27" s="294">
        <f t="shared" ca="1" si="36"/>
        <v>7</v>
      </c>
      <c r="BL27" s="294">
        <f t="shared" ca="1" si="36"/>
        <v>7</v>
      </c>
      <c r="BM27" s="294">
        <f t="shared" ca="1" si="36"/>
        <v>9.4</v>
      </c>
      <c r="BN27" s="294">
        <f t="shared" ca="1" si="36"/>
        <v>8</v>
      </c>
      <c r="BO27" s="294">
        <f t="shared" ca="1" si="36"/>
        <v>7</v>
      </c>
      <c r="BP27" s="417">
        <f ca="1">GE18</f>
        <v>156.58687499999999</v>
      </c>
      <c r="BQ27" s="344">
        <f ca="1">SUM(BA27:BP27)</f>
        <v>345.52437499999996</v>
      </c>
      <c r="BR27" s="479"/>
      <c r="BS27" s="471"/>
      <c r="BT27" s="343" t="s">
        <v>7</v>
      </c>
      <c r="BU27" s="480"/>
      <c r="BV27" s="277"/>
      <c r="BW27" s="188"/>
      <c r="BX27" s="739" t="s">
        <v>426</v>
      </c>
      <c r="BY27" s="739"/>
      <c r="BZ27" s="281" t="s">
        <v>253</v>
      </c>
      <c r="CA27" s="281" t="s">
        <v>266</v>
      </c>
      <c r="CB27" s="188"/>
      <c r="CC27" s="188"/>
      <c r="CD27" s="188"/>
      <c r="CE27" s="188"/>
      <c r="CF27" s="188"/>
      <c r="CG27" s="188"/>
      <c r="CH27" s="188"/>
      <c r="CI27" s="188"/>
      <c r="CJ27" s="188"/>
      <c r="CK27" s="188"/>
      <c r="CL27" s="188"/>
      <c r="CM27" s="187"/>
      <c r="CN27" s="188"/>
      <c r="CO27" s="187"/>
      <c r="CP27" s="187"/>
      <c r="CQ27" s="187"/>
      <c r="CR27" s="187"/>
      <c r="CS27" s="187"/>
      <c r="CT27" s="187"/>
      <c r="CU27" s="187"/>
      <c r="CV27" s="187"/>
      <c r="CW27" s="187"/>
      <c r="CX27" s="187"/>
      <c r="CY27" s="187"/>
      <c r="CZ27" s="187"/>
      <c r="DA27" s="187"/>
      <c r="DB27" s="187"/>
      <c r="DC27" s="187"/>
      <c r="DD27" s="187"/>
      <c r="DE27" s="187"/>
      <c r="DF27" s="187"/>
      <c r="DG27" s="187"/>
      <c r="DH27" s="187"/>
      <c r="DI27" s="187"/>
      <c r="DJ27" s="187"/>
      <c r="DK27" s="187"/>
      <c r="DL27" s="187"/>
      <c r="DM27" s="187"/>
      <c r="DN27" s="187"/>
      <c r="DO27" s="187"/>
      <c r="DP27" s="187"/>
      <c r="DQ27" s="187"/>
      <c r="DR27" s="187"/>
      <c r="DS27" s="187"/>
      <c r="DT27" s="187"/>
      <c r="DU27" s="187"/>
      <c r="DV27" s="187"/>
      <c r="DW27" s="187"/>
      <c r="DX27" s="187"/>
      <c r="DY27" s="187"/>
      <c r="DZ27" s="187"/>
      <c r="EA27" s="187"/>
      <c r="EB27" s="187"/>
      <c r="EC27" s="187"/>
      <c r="ED27" s="187"/>
      <c r="EE27" s="187"/>
      <c r="EF27" s="187"/>
      <c r="EG27" s="187"/>
      <c r="EH27" s="187"/>
      <c r="EI27" s="187"/>
      <c r="EJ27" s="187"/>
      <c r="EK27" s="187"/>
      <c r="EL27" s="187"/>
      <c r="EM27" s="187"/>
      <c r="EN27" s="187"/>
      <c r="EO27" s="187"/>
      <c r="EP27" s="187"/>
      <c r="EQ27" s="187"/>
      <c r="ER27" s="187"/>
      <c r="ES27" s="187"/>
      <c r="ET27" s="187"/>
      <c r="EU27" s="187"/>
      <c r="EV27" s="187"/>
      <c r="EW27" s="187"/>
      <c r="EX27" s="187"/>
      <c r="EY27" s="187"/>
      <c r="EZ27" s="187"/>
      <c r="FA27" s="187"/>
      <c r="FB27" s="187"/>
      <c r="FC27" s="187"/>
      <c r="FD27" s="187"/>
      <c r="FE27" s="187"/>
      <c r="FF27" s="187"/>
      <c r="FG27" s="187"/>
      <c r="FH27" s="187"/>
      <c r="FI27" s="187"/>
      <c r="FJ27" s="187"/>
      <c r="FK27" s="181"/>
      <c r="FL27" s="181"/>
      <c r="FM27" s="181"/>
      <c r="FN27" s="181"/>
      <c r="FO27" s="181"/>
      <c r="FP27" s="181"/>
      <c r="FQ27" s="181"/>
      <c r="FR27" s="181"/>
      <c r="FS27" s="181"/>
      <c r="FT27" s="181"/>
      <c r="FU27" s="181"/>
      <c r="FV27" s="181"/>
      <c r="FW27" s="181"/>
      <c r="FX27" s="181"/>
      <c r="FY27" s="181"/>
      <c r="FZ27" s="181"/>
      <c r="GA27" s="181"/>
      <c r="GB27" s="181"/>
      <c r="GC27" s="181"/>
      <c r="GD27" s="181"/>
      <c r="GE27" s="181"/>
      <c r="GF27" s="181"/>
      <c r="JB27" s="175"/>
      <c r="JC27" s="175"/>
      <c r="JD27" s="175"/>
      <c r="JE27" s="175"/>
      <c r="JF27" s="175"/>
      <c r="JG27" s="175"/>
      <c r="JH27" s="175"/>
      <c r="JI27" s="175"/>
      <c r="JJ27" s="175"/>
      <c r="JK27" s="175"/>
      <c r="JL27" s="175"/>
      <c r="JM27" s="175"/>
      <c r="JN27" s="175"/>
      <c r="JO27" s="175"/>
      <c r="JP27" s="175"/>
      <c r="JQ27" s="175"/>
      <c r="JR27" s="175"/>
      <c r="JS27" s="175"/>
      <c r="JT27" s="175"/>
      <c r="JU27" s="175"/>
      <c r="JV27" s="175"/>
      <c r="JW27" s="175"/>
      <c r="JX27" s="175"/>
      <c r="JY27" s="175"/>
      <c r="ON27" s="223" t="s">
        <v>267</v>
      </c>
      <c r="OO27" s="224" t="s">
        <v>268</v>
      </c>
      <c r="OP27" s="224"/>
      <c r="OQ27" s="224"/>
      <c r="OR27" s="224" t="e">
        <f ca="1">VLOOKUP($OP27,INDIRECT($ON27):INDIRECT($OO27),4,FALSE)</f>
        <v>#N/A</v>
      </c>
      <c r="OS27" s="224" t="e">
        <f ca="1">VLOOKUP($OP27,INDIRECT($ON27):INDIRECT($OO27),5,FALSE)</f>
        <v>#N/A</v>
      </c>
      <c r="OT27" s="224" t="e">
        <f ca="1">VLOOKUP($OP27,INDIRECT($ON27):INDIRECT($OO27),6,FALSE)</f>
        <v>#N/A</v>
      </c>
    </row>
    <row r="28" spans="1:410" x14ac:dyDescent="0.2">
      <c r="A28" s="175">
        <v>1015</v>
      </c>
      <c r="B28" s="373">
        <f t="shared" si="12"/>
        <v>0.27583333333333332</v>
      </c>
      <c r="C28" s="481" t="s">
        <v>229</v>
      </c>
      <c r="D28" s="482">
        <v>6.62</v>
      </c>
      <c r="E28" s="482">
        <f t="shared" ref="E28:F33" si="37">$D28/24</f>
        <v>0.27583333333333332</v>
      </c>
      <c r="F28" s="483">
        <f t="shared" si="37"/>
        <v>0.27583333333333332</v>
      </c>
      <c r="G28" s="396">
        <v>8015</v>
      </c>
      <c r="H28" s="416" t="str">
        <f>IF(I28&gt;0,"Charanawati  Khola_3.52("&amp;ROUND(I28/24,3)&amp;")","Charanawati  Khola_3.52")</f>
        <v>Charanawati  Khola_3.52</v>
      </c>
      <c r="I28" s="402"/>
      <c r="J28" s="398">
        <f t="shared" si="15"/>
        <v>0</v>
      </c>
      <c r="K28" s="289">
        <f t="shared" si="15"/>
        <v>0</v>
      </c>
      <c r="L28" s="396">
        <v>8080</v>
      </c>
      <c r="M28" s="416" t="str">
        <f>IF(N28&gt;0,"Ridi Khola_2.4("&amp;ROUND(N28/24,3)&amp;")","Ridi Khola_2.4")</f>
        <v>Ridi Khola_2.4</v>
      </c>
      <c r="N28" s="438"/>
      <c r="O28" s="398">
        <f t="shared" si="16"/>
        <v>0</v>
      </c>
      <c r="P28" s="289">
        <f t="shared" si="16"/>
        <v>0</v>
      </c>
      <c r="Q28" s="379"/>
      <c r="R28" s="290"/>
      <c r="S28" s="350">
        <v>0.70833333333333404</v>
      </c>
      <c r="T28" s="351">
        <v>4.9000000000000004</v>
      </c>
      <c r="U28" s="351"/>
      <c r="V28" s="351"/>
      <c r="W28" s="352">
        <v>113</v>
      </c>
      <c r="X28" s="351"/>
      <c r="Y28" s="351"/>
      <c r="Z28" s="353"/>
      <c r="AA28" s="353"/>
      <c r="AB28" s="353"/>
      <c r="AC28" s="175" t="e">
        <f>#REF!+U27+(V27+W27+X27+Y27)/20</f>
        <v>#REF!</v>
      </c>
      <c r="AD28" s="340">
        <v>260</v>
      </c>
      <c r="AE28" s="341">
        <v>54.8</v>
      </c>
      <c r="AG28" s="175">
        <v>8086</v>
      </c>
      <c r="AH28" s="254" t="s">
        <v>418</v>
      </c>
      <c r="AI28" s="380">
        <v>8</v>
      </c>
      <c r="AJ28" s="380">
        <v>8</v>
      </c>
      <c r="AK28" s="255">
        <v>8</v>
      </c>
      <c r="AN28" s="256"/>
      <c r="AO28" s="257">
        <v>1.3424583333333333</v>
      </c>
      <c r="AZ28" s="332" t="s">
        <v>352</v>
      </c>
      <c r="BA28" s="294">
        <f ca="1">VLOOKUP(BA$24,$OP$2:$OT$300,5,FALSE)</f>
        <v>20.7</v>
      </c>
      <c r="BB28" s="294">
        <f t="shared" ref="BB28:BO28" ca="1" si="38">VLOOKUP(BB$24,$OP$2:$OT$300,5,FALSE)</f>
        <v>37.9</v>
      </c>
      <c r="BC28" s="294">
        <f t="shared" ca="1" si="38"/>
        <v>21</v>
      </c>
      <c r="BD28" s="294">
        <f t="shared" ca="1" si="38"/>
        <v>11</v>
      </c>
      <c r="BE28" s="294">
        <f t="shared" ca="1" si="38"/>
        <v>9.1</v>
      </c>
      <c r="BF28" s="294">
        <f t="shared" ca="1" si="38"/>
        <v>7.7374999999999998</v>
      </c>
      <c r="BG28" s="294">
        <f t="shared" ca="1" si="38"/>
        <v>11</v>
      </c>
      <c r="BH28" s="294">
        <f t="shared" ca="1" si="38"/>
        <v>10</v>
      </c>
      <c r="BI28" s="294">
        <f t="shared" ca="1" si="38"/>
        <v>9.3000000000000007</v>
      </c>
      <c r="BJ28" s="294">
        <f t="shared" ca="1" si="38"/>
        <v>9</v>
      </c>
      <c r="BK28" s="294">
        <f t="shared" ca="1" si="38"/>
        <v>7</v>
      </c>
      <c r="BL28" s="294">
        <f t="shared" ca="1" si="38"/>
        <v>7</v>
      </c>
      <c r="BM28" s="294">
        <f t="shared" ca="1" si="38"/>
        <v>9.4</v>
      </c>
      <c r="BN28" s="294">
        <f t="shared" ca="1" si="38"/>
        <v>8</v>
      </c>
      <c r="BO28" s="294">
        <f t="shared" ca="1" si="38"/>
        <v>7</v>
      </c>
      <c r="BP28" s="417">
        <f ca="1">GE19</f>
        <v>156.58687499999999</v>
      </c>
      <c r="BQ28" s="344">
        <f ca="1">SUM(BA28:BP28)</f>
        <v>341.72437500000001</v>
      </c>
      <c r="BR28" s="479"/>
      <c r="BS28" s="471"/>
      <c r="BT28" s="343" t="s">
        <v>427</v>
      </c>
      <c r="BU28" s="484"/>
      <c r="BV28" s="277"/>
      <c r="BW28" s="188"/>
      <c r="BX28" s="705" t="s">
        <v>428</v>
      </c>
      <c r="BY28" s="706"/>
      <c r="BZ28" s="469"/>
      <c r="CA28" s="469"/>
      <c r="CB28" s="188"/>
      <c r="CC28" s="188"/>
      <c r="CD28" s="188"/>
      <c r="CE28" s="188"/>
      <c r="CF28" s="188"/>
      <c r="CG28" s="188"/>
      <c r="CH28" s="188"/>
      <c r="CI28" s="188"/>
      <c r="CJ28" s="188"/>
      <c r="CK28" s="188"/>
      <c r="CL28" s="188"/>
      <c r="CM28" s="187"/>
      <c r="CN28" s="188"/>
      <c r="CO28" s="187"/>
      <c r="CP28" s="187"/>
      <c r="CQ28" s="187"/>
      <c r="CR28" s="177"/>
      <c r="CS28" s="177"/>
      <c r="CT28" s="181"/>
      <c r="CU28" s="181"/>
      <c r="CV28" s="181"/>
      <c r="CW28" s="181"/>
      <c r="CX28" s="181"/>
      <c r="CY28" s="181"/>
      <c r="CZ28" s="181"/>
      <c r="DA28" s="181"/>
      <c r="DB28" s="181"/>
      <c r="DC28" s="181"/>
      <c r="DD28" s="181"/>
      <c r="DE28" s="181"/>
      <c r="DF28" s="181"/>
      <c r="DG28" s="181"/>
      <c r="DH28" s="181"/>
      <c r="DI28" s="181"/>
      <c r="DJ28" s="181"/>
      <c r="DK28" s="181"/>
      <c r="DL28" s="181"/>
      <c r="DM28" s="181"/>
      <c r="DN28" s="181"/>
      <c r="DO28" s="181"/>
      <c r="DP28" s="181"/>
      <c r="DQ28" s="181"/>
      <c r="DR28" s="181"/>
      <c r="DS28" s="181"/>
      <c r="DT28" s="181"/>
      <c r="DU28" s="206"/>
      <c r="DV28" s="206"/>
      <c r="DW28" s="187"/>
      <c r="DX28" s="206"/>
      <c r="DY28" s="181"/>
      <c r="DZ28" s="181"/>
      <c r="EA28" s="181"/>
      <c r="EB28" s="181"/>
      <c r="EC28" s="181"/>
      <c r="ED28" s="181"/>
      <c r="EE28" s="181"/>
      <c r="EF28" s="181"/>
      <c r="EG28" s="181"/>
      <c r="EH28" s="181"/>
      <c r="EI28" s="189"/>
      <c r="EJ28" s="181"/>
      <c r="EK28" s="181"/>
      <c r="EL28" s="181"/>
      <c r="EM28" s="181"/>
      <c r="EN28" s="181"/>
      <c r="EO28" s="181"/>
      <c r="EP28" s="181"/>
      <c r="EQ28" s="181"/>
      <c r="ER28" s="181"/>
      <c r="ES28" s="181"/>
      <c r="ET28" s="181"/>
      <c r="EU28" s="181"/>
      <c r="EV28" s="181"/>
      <c r="EW28" s="181"/>
      <c r="EX28" s="181"/>
      <c r="EY28" s="181"/>
      <c r="EZ28" s="181"/>
      <c r="FA28" s="181"/>
      <c r="FB28" s="181"/>
      <c r="FC28" s="181"/>
      <c r="FD28" s="181"/>
      <c r="FE28" s="181"/>
      <c r="FF28" s="181"/>
      <c r="FG28" s="181"/>
      <c r="FH28" s="181"/>
      <c r="FI28" s="181"/>
      <c r="FJ28" s="181"/>
      <c r="FK28" s="181"/>
      <c r="FL28" s="181"/>
      <c r="FM28" s="181"/>
      <c r="FN28" s="181"/>
      <c r="FO28" s="181"/>
      <c r="FP28" s="181"/>
      <c r="FQ28" s="181"/>
      <c r="FR28" s="181"/>
      <c r="FS28" s="181"/>
      <c r="FT28" s="181"/>
      <c r="FU28" s="181"/>
      <c r="FV28" s="181"/>
      <c r="FW28" s="181"/>
      <c r="FX28" s="181"/>
      <c r="FY28" s="181"/>
      <c r="FZ28" s="181"/>
      <c r="GA28" s="181"/>
      <c r="GB28" s="181"/>
      <c r="GC28" s="181"/>
      <c r="GD28" s="181"/>
      <c r="GE28" s="181"/>
      <c r="GF28" s="181"/>
      <c r="JB28" s="175"/>
      <c r="JC28" s="175"/>
      <c r="JD28" s="175"/>
      <c r="JE28" s="175"/>
      <c r="JF28" s="175"/>
      <c r="JG28" s="175"/>
      <c r="JH28" s="175"/>
      <c r="JI28" s="175"/>
      <c r="JJ28" s="175"/>
      <c r="JK28" s="175"/>
      <c r="JL28" s="175"/>
      <c r="JM28" s="175"/>
      <c r="JN28" s="175"/>
      <c r="JO28" s="175"/>
      <c r="JP28" s="175"/>
      <c r="JQ28" s="175"/>
      <c r="JR28" s="175"/>
      <c r="JS28" s="175"/>
      <c r="JT28" s="175"/>
      <c r="JU28" s="175"/>
      <c r="JV28" s="175"/>
      <c r="JW28" s="175"/>
      <c r="JX28" s="175"/>
      <c r="JY28" s="175"/>
      <c r="ON28" s="223" t="s">
        <v>267</v>
      </c>
      <c r="OO28" s="224" t="s">
        <v>268</v>
      </c>
      <c r="OP28" s="224"/>
      <c r="OQ28" s="224"/>
      <c r="OR28" s="224" t="e">
        <f ca="1">VLOOKUP($OP28,INDIRECT($ON28):INDIRECT($OO28),4,FALSE)</f>
        <v>#N/A</v>
      </c>
      <c r="OS28" s="224" t="e">
        <f ca="1">VLOOKUP($OP28,INDIRECT($ON28):INDIRECT($OO28),5,FALSE)</f>
        <v>#N/A</v>
      </c>
      <c r="OT28" s="224" t="e">
        <f ca="1">VLOOKUP($OP28,INDIRECT($ON28):INDIRECT($OO28),6,FALSE)</f>
        <v>#N/A</v>
      </c>
    </row>
    <row r="29" spans="1:410" ht="15.75" thickBot="1" x14ac:dyDescent="0.25">
      <c r="A29" s="175">
        <v>1016</v>
      </c>
      <c r="B29" s="391">
        <f t="shared" si="12"/>
        <v>0</v>
      </c>
      <c r="C29" s="392" t="s">
        <v>230</v>
      </c>
      <c r="D29" s="415"/>
      <c r="E29" s="415">
        <f t="shared" si="37"/>
        <v>0</v>
      </c>
      <c r="F29" s="485">
        <f t="shared" si="37"/>
        <v>0</v>
      </c>
      <c r="G29" s="396">
        <v>8133</v>
      </c>
      <c r="H29" s="392" t="str">
        <f>IF(I29&gt;0,"Chepe_8.85("&amp;ROUND(I29/24,3)&amp;")","Chepe_8.85")</f>
        <v>Chepe_8.85(4.228)</v>
      </c>
      <c r="I29" s="402">
        <v>101.47</v>
      </c>
      <c r="J29" s="398">
        <f t="shared" si="15"/>
        <v>4.2279166666666663</v>
      </c>
      <c r="K29" s="289">
        <f t="shared" si="15"/>
        <v>4.2279166666666663</v>
      </c>
      <c r="L29" s="396">
        <v>8081</v>
      </c>
      <c r="M29" s="392" t="str">
        <f>IF(N29&gt;0,"Rudi Khola A_8.8("&amp;ROUND(N29/24,3)&amp;")","Rudi Khola A_8.8")</f>
        <v>Rudi Khola A_8.8(2.784)</v>
      </c>
      <c r="N29" s="428">
        <v>66.81</v>
      </c>
      <c r="O29" s="398">
        <f t="shared" si="16"/>
        <v>2.7837499999999999</v>
      </c>
      <c r="P29" s="289">
        <f t="shared" si="16"/>
        <v>2.7837499999999999</v>
      </c>
      <c r="Q29" s="379"/>
      <c r="R29" s="486"/>
      <c r="S29" s="350">
        <v>0.75</v>
      </c>
      <c r="T29" s="351">
        <v>5.0999999999999996</v>
      </c>
      <c r="U29" s="351"/>
      <c r="V29" s="351"/>
      <c r="W29" s="352">
        <v>122</v>
      </c>
      <c r="X29" s="351"/>
      <c r="Y29" s="351"/>
      <c r="Z29" s="353"/>
      <c r="AA29" s="353"/>
      <c r="AB29" s="353"/>
      <c r="AC29" s="175">
        <f t="shared" ref="AC29:AC35" si="39">T28+U28+(V28+W28+X28+Y28)/20</f>
        <v>10.55</v>
      </c>
      <c r="AD29" s="340">
        <v>275</v>
      </c>
      <c r="AE29" s="341">
        <v>55.4</v>
      </c>
      <c r="AG29" s="175">
        <v>8003</v>
      </c>
      <c r="AH29" s="254" t="s">
        <v>36</v>
      </c>
      <c r="AI29" s="380">
        <v>9.4</v>
      </c>
      <c r="AJ29" s="380">
        <v>9.4</v>
      </c>
      <c r="AK29" s="255">
        <v>9.4</v>
      </c>
      <c r="AN29" s="256"/>
      <c r="AO29" s="257">
        <v>1</v>
      </c>
      <c r="AZ29" s="293" t="s">
        <v>358</v>
      </c>
      <c r="BA29" s="343">
        <f t="shared" ref="BA29:BQ29" ca="1" si="40">IF(BA27=0," - ",(BA26/(BA27*24)))</f>
        <v>0.96135167464114835</v>
      </c>
      <c r="BB29" s="343">
        <f t="shared" ca="1" si="40"/>
        <v>0.99240451388888906</v>
      </c>
      <c r="BC29" s="343">
        <f t="shared" ca="1" si="40"/>
        <v>0.85490918803418825</v>
      </c>
      <c r="BD29" s="343">
        <f t="shared" ca="1" si="40"/>
        <v>0.92689772727272723</v>
      </c>
      <c r="BE29" s="343">
        <f t="shared" ca="1" si="40"/>
        <v>0.9888180272108843</v>
      </c>
      <c r="BF29" s="343">
        <f t="shared" ca="1" si="40"/>
        <v>1</v>
      </c>
      <c r="BG29" s="343">
        <f t="shared" ca="1" si="40"/>
        <v>0.6587878787878787</v>
      </c>
      <c r="BH29" s="343">
        <f t="shared" ca="1" si="40"/>
        <v>0.92938333333333334</v>
      </c>
      <c r="BI29" s="343">
        <f t="shared" ca="1" si="40"/>
        <v>0.94274193548387086</v>
      </c>
      <c r="BJ29" s="343">
        <f t="shared" ca="1" si="40"/>
        <v>0.99722222222222223</v>
      </c>
      <c r="BK29" s="343">
        <f t="shared" ca="1" si="40"/>
        <v>0.68947619047619046</v>
      </c>
      <c r="BL29" s="343">
        <f t="shared" ca="1" si="40"/>
        <v>0.75511309523809522</v>
      </c>
      <c r="BM29" s="343">
        <f t="shared" ca="1" si="40"/>
        <v>1.2295212765957446</v>
      </c>
      <c r="BN29" s="343">
        <f t="shared" ca="1" si="40"/>
        <v>0.75048958333333327</v>
      </c>
      <c r="BO29" s="343">
        <f t="shared" ca="1" si="40"/>
        <v>0.86874999999999991</v>
      </c>
      <c r="BP29" s="343">
        <f t="shared" ca="1" si="40"/>
        <v>0.80477184523500678</v>
      </c>
      <c r="BQ29" s="344">
        <f t="shared" ca="1" si="40"/>
        <v>0.86790910192660087</v>
      </c>
      <c r="BR29" s="430"/>
      <c r="BS29" s="471"/>
      <c r="BT29" s="487" t="s">
        <v>429</v>
      </c>
      <c r="BU29" s="488"/>
      <c r="BV29" s="489"/>
      <c r="BW29" s="188"/>
      <c r="BX29" s="705" t="s">
        <v>430</v>
      </c>
      <c r="BY29" s="706"/>
      <c r="BZ29" s="469"/>
      <c r="CA29" s="469"/>
      <c r="CB29" s="188"/>
      <c r="CC29" s="188"/>
      <c r="CD29" s="188"/>
      <c r="CE29" s="188"/>
      <c r="CF29" s="188"/>
      <c r="CG29" s="188"/>
      <c r="CH29" s="188"/>
      <c r="CI29" s="188"/>
      <c r="CJ29" s="188"/>
      <c r="CK29" s="188"/>
      <c r="CL29" s="188"/>
      <c r="CM29" s="187"/>
      <c r="CN29" s="188" t="s">
        <v>431</v>
      </c>
      <c r="CO29" s="187"/>
      <c r="CP29" s="187"/>
      <c r="CQ29" s="187"/>
      <c r="CR29" s="177"/>
      <c r="CS29" s="177"/>
      <c r="CT29" s="181"/>
      <c r="CU29" s="181"/>
      <c r="CV29" s="181"/>
      <c r="CW29" s="181"/>
      <c r="CX29" s="181"/>
      <c r="CY29" s="181"/>
      <c r="CZ29" s="181"/>
      <c r="DA29" s="181"/>
      <c r="DB29" s="181"/>
      <c r="DC29" s="181"/>
      <c r="DD29" s="181"/>
      <c r="DE29" s="181"/>
      <c r="DF29" s="181"/>
      <c r="DG29" s="181"/>
      <c r="DH29" s="181"/>
      <c r="DI29" s="181"/>
      <c r="DJ29" s="181"/>
      <c r="DK29" s="181"/>
      <c r="DL29" s="181"/>
      <c r="DM29" s="181"/>
      <c r="DN29" s="181"/>
      <c r="DO29" s="181"/>
      <c r="DP29" s="181"/>
      <c r="DQ29" s="181"/>
      <c r="DR29" s="181"/>
      <c r="DS29" s="181"/>
      <c r="DT29" s="181"/>
      <c r="DU29" s="206"/>
      <c r="DV29" s="206"/>
      <c r="DW29" s="187"/>
      <c r="DX29" s="206"/>
      <c r="DY29" s="181"/>
      <c r="DZ29" s="181"/>
      <c r="EA29" s="181"/>
      <c r="EB29" s="181"/>
      <c r="EC29" s="181"/>
      <c r="ED29" s="181"/>
      <c r="EE29" s="181"/>
      <c r="EF29" s="181"/>
      <c r="EG29" s="181"/>
      <c r="EH29" s="181"/>
      <c r="EI29" s="189"/>
      <c r="EJ29" s="181"/>
      <c r="EK29" s="181"/>
      <c r="EL29" s="181"/>
      <c r="EM29" s="181"/>
      <c r="EN29" s="181"/>
      <c r="EO29" s="181"/>
      <c r="EP29" s="181"/>
      <c r="EQ29" s="181"/>
      <c r="ER29" s="181"/>
      <c r="ES29" s="181"/>
      <c r="ET29" s="181"/>
      <c r="EU29" s="181"/>
      <c r="EV29" s="181"/>
      <c r="EW29" s="181"/>
      <c r="EX29" s="181"/>
      <c r="EY29" s="181"/>
      <c r="EZ29" s="181"/>
      <c r="FA29" s="181"/>
      <c r="FB29" s="181"/>
      <c r="FC29" s="181"/>
      <c r="FD29" s="181"/>
      <c r="FE29" s="181"/>
      <c r="FF29" s="181"/>
      <c r="FG29" s="181"/>
      <c r="FH29" s="181"/>
      <c r="FI29" s="181"/>
      <c r="FJ29" s="181"/>
      <c r="FK29" s="181"/>
      <c r="FL29" s="181"/>
      <c r="FM29" s="181"/>
      <c r="FN29" s="181"/>
      <c r="FO29" s="181"/>
      <c r="FP29" s="181"/>
      <c r="FQ29" s="181"/>
      <c r="FR29" s="181"/>
      <c r="FS29" s="181"/>
      <c r="FT29" s="181"/>
      <c r="FU29" s="181"/>
      <c r="FV29" s="181"/>
      <c r="FW29" s="181"/>
      <c r="FX29" s="181"/>
      <c r="FY29" s="181"/>
      <c r="FZ29" s="181"/>
      <c r="GA29" s="181"/>
      <c r="GB29" s="181"/>
      <c r="GC29" s="181"/>
      <c r="GD29" s="181"/>
      <c r="GE29" s="181"/>
      <c r="GF29" s="181"/>
      <c r="JB29" s="175"/>
      <c r="JC29" s="175"/>
      <c r="JD29" s="175"/>
      <c r="JE29" s="175"/>
      <c r="JF29" s="175"/>
      <c r="JG29" s="175"/>
      <c r="JH29" s="175"/>
      <c r="JI29" s="175"/>
      <c r="JJ29" s="175"/>
      <c r="JK29" s="175"/>
      <c r="JL29" s="175"/>
      <c r="JM29" s="175"/>
      <c r="JN29" s="175"/>
      <c r="JO29" s="175"/>
      <c r="JP29" s="175"/>
      <c r="JQ29" s="175"/>
      <c r="JR29" s="175"/>
      <c r="JS29" s="175"/>
      <c r="JT29" s="175"/>
      <c r="JU29" s="175"/>
      <c r="JV29" s="175"/>
      <c r="JW29" s="175"/>
      <c r="JX29" s="175"/>
      <c r="JY29" s="175"/>
      <c r="ON29" s="223" t="s">
        <v>267</v>
      </c>
      <c r="OO29" s="224" t="s">
        <v>268</v>
      </c>
      <c r="OP29" s="224">
        <v>2000</v>
      </c>
      <c r="OQ29" s="224" t="s">
        <v>432</v>
      </c>
      <c r="OR29" s="224" t="e">
        <f ca="1">VLOOKUP($OP29,INDIRECT($ON29):INDIRECT($OO29),4,FALSE)</f>
        <v>#N/A</v>
      </c>
      <c r="OS29" s="224" t="e">
        <f ca="1">VLOOKUP($OP29,INDIRECT($ON29):INDIRECT($OO29),5,FALSE)</f>
        <v>#N/A</v>
      </c>
      <c r="OT29" s="224" t="e">
        <f ca="1">VLOOKUP($OP29,INDIRECT($ON29):INDIRECT($OO29),6,FALSE)</f>
        <v>#N/A</v>
      </c>
    </row>
    <row r="30" spans="1:410" ht="30.75" customHeight="1" thickBot="1" x14ac:dyDescent="0.25">
      <c r="A30" s="175">
        <v>1017</v>
      </c>
      <c r="B30" s="391">
        <f t="shared" si="12"/>
        <v>0</v>
      </c>
      <c r="C30" s="392" t="s">
        <v>231</v>
      </c>
      <c r="D30" s="415"/>
      <c r="E30" s="415">
        <f t="shared" si="37"/>
        <v>0</v>
      </c>
      <c r="F30" s="485">
        <f t="shared" si="37"/>
        <v>0</v>
      </c>
      <c r="G30" s="396">
        <v>8016</v>
      </c>
      <c r="H30" s="392" t="str">
        <f>IF(I30&gt;0,"Chhandi_2("&amp;ROUND(I30/24,3)&amp;")","Chhandi_2")</f>
        <v>Chhandi_2(0.716)</v>
      </c>
      <c r="I30" s="402">
        <v>17.190000000000001</v>
      </c>
      <c r="J30" s="398">
        <f t="shared" si="15"/>
        <v>0.71625000000000005</v>
      </c>
      <c r="K30" s="289">
        <f t="shared" si="15"/>
        <v>0.71625000000000005</v>
      </c>
      <c r="L30" s="396">
        <v>8082</v>
      </c>
      <c r="M30" s="392" t="str">
        <f>IF(N30&gt;0,"Rudi Khola B_6.6("&amp;ROUND(N30/24,3)&amp;")","Rudi Khola B_6.6")</f>
        <v>Rudi Khola B_6.6</v>
      </c>
      <c r="N30" s="397">
        <v>0</v>
      </c>
      <c r="O30" s="398">
        <f t="shared" si="16"/>
        <v>0</v>
      </c>
      <c r="P30" s="289">
        <f t="shared" si="16"/>
        <v>0</v>
      </c>
      <c r="Q30" s="379"/>
      <c r="R30" s="486"/>
      <c r="S30" s="350">
        <v>0.79166666666666696</v>
      </c>
      <c r="T30" s="351">
        <v>5.2</v>
      </c>
      <c r="U30" s="351"/>
      <c r="V30" s="351"/>
      <c r="W30" s="352">
        <v>117</v>
      </c>
      <c r="X30" s="351"/>
      <c r="Y30" s="351"/>
      <c r="Z30" s="353"/>
      <c r="AA30" s="353"/>
      <c r="AB30" s="353"/>
      <c r="AC30" s="175">
        <f t="shared" si="39"/>
        <v>11.2</v>
      </c>
      <c r="AD30" s="340">
        <v>285</v>
      </c>
      <c r="AE30" s="341">
        <v>45.5</v>
      </c>
      <c r="AG30" s="175">
        <v>8051</v>
      </c>
      <c r="AH30" s="254" t="s">
        <v>37</v>
      </c>
      <c r="AI30" s="380">
        <v>7</v>
      </c>
      <c r="AJ30" s="380">
        <v>7</v>
      </c>
      <c r="AK30" s="255">
        <v>7</v>
      </c>
      <c r="AN30" s="256"/>
      <c r="AO30" s="257">
        <v>0.7</v>
      </c>
      <c r="AZ30" s="332" t="s">
        <v>362</v>
      </c>
      <c r="BA30" s="356"/>
      <c r="BB30" s="356"/>
      <c r="BC30" s="356"/>
      <c r="BD30" s="356"/>
      <c r="BE30" s="356"/>
      <c r="BF30" s="356"/>
      <c r="BG30" s="356"/>
      <c r="BH30" s="356"/>
      <c r="BI30" s="356"/>
      <c r="BJ30" s="356"/>
      <c r="BK30" s="356"/>
      <c r="BL30" s="356"/>
      <c r="BM30" s="356"/>
      <c r="BN30" s="356"/>
      <c r="BO30" s="356"/>
      <c r="BP30" s="356"/>
      <c r="BQ30" s="418"/>
      <c r="BR30" s="479"/>
      <c r="BS30" s="490"/>
      <c r="BT30" s="491" t="s">
        <v>433</v>
      </c>
      <c r="BU30" s="492"/>
      <c r="BV30" s="493"/>
      <c r="BW30" s="494"/>
      <c r="BX30" s="707" t="s">
        <v>434</v>
      </c>
      <c r="BY30" s="708"/>
      <c r="BZ30" s="281" t="s">
        <v>253</v>
      </c>
      <c r="CA30" s="281" t="s">
        <v>266</v>
      </c>
      <c r="CB30" s="188"/>
      <c r="CC30" s="188"/>
      <c r="CD30" s="188"/>
      <c r="CE30" s="188"/>
      <c r="CF30" s="188"/>
      <c r="CG30" s="188"/>
      <c r="CH30" s="188"/>
      <c r="CI30" s="188"/>
      <c r="CJ30" s="188"/>
      <c r="CK30" s="188"/>
      <c r="CL30" s="188"/>
      <c r="CM30" s="187"/>
      <c r="CN30" s="188"/>
      <c r="CO30" s="187"/>
      <c r="CP30" s="187"/>
      <c r="CQ30" s="187"/>
      <c r="CR30" s="177"/>
      <c r="CS30" s="177"/>
      <c r="CT30" s="181"/>
      <c r="CU30" s="181"/>
      <c r="CV30" s="181"/>
      <c r="CW30" s="181"/>
      <c r="CX30" s="181"/>
      <c r="CY30" s="181"/>
      <c r="CZ30" s="181"/>
      <c r="DA30" s="181"/>
      <c r="DB30" s="181"/>
      <c r="DC30" s="181"/>
      <c r="DD30" s="181"/>
      <c r="DE30" s="181"/>
      <c r="DF30" s="181"/>
      <c r="DG30" s="181"/>
      <c r="DH30" s="181"/>
      <c r="DI30" s="181"/>
      <c r="DJ30" s="181"/>
      <c r="DK30" s="181"/>
      <c r="DL30" s="181"/>
      <c r="DM30" s="181"/>
      <c r="DN30" s="181"/>
      <c r="DO30" s="181"/>
      <c r="DP30" s="181"/>
      <c r="DQ30" s="181"/>
      <c r="DR30" s="181"/>
      <c r="DS30" s="181"/>
      <c r="DT30" s="181"/>
      <c r="DU30" s="206"/>
      <c r="DV30" s="206"/>
      <c r="DW30" s="187"/>
      <c r="DX30" s="206"/>
      <c r="DY30" s="181"/>
      <c r="DZ30" s="181"/>
      <c r="EA30" s="181"/>
      <c r="EB30" s="181"/>
      <c r="EC30" s="181"/>
      <c r="ED30" s="181"/>
      <c r="EE30" s="181"/>
      <c r="EF30" s="181"/>
      <c r="EG30" s="181"/>
      <c r="EH30" s="181"/>
      <c r="EI30" s="189"/>
      <c r="EJ30" s="181"/>
      <c r="EK30" s="181"/>
      <c r="EL30" s="181"/>
      <c r="EM30" s="181"/>
      <c r="EN30" s="181"/>
      <c r="EO30" s="181"/>
      <c r="EP30" s="181"/>
      <c r="EQ30" s="181"/>
      <c r="ER30" s="181"/>
      <c r="ES30" s="181"/>
      <c r="ET30" s="181"/>
      <c r="EU30" s="181"/>
      <c r="EV30" s="181"/>
      <c r="EW30" s="181"/>
      <c r="EX30" s="181"/>
      <c r="EY30" s="181"/>
      <c r="EZ30" s="181"/>
      <c r="FA30" s="181"/>
      <c r="FB30" s="181"/>
      <c r="FC30" s="181"/>
      <c r="FD30" s="181"/>
      <c r="FE30" s="181"/>
      <c r="FF30" s="181"/>
      <c r="FG30" s="181"/>
      <c r="FH30" s="181"/>
      <c r="FI30" s="181"/>
      <c r="FJ30" s="181"/>
      <c r="FK30" s="181"/>
      <c r="FL30" s="181"/>
      <c r="FM30" s="181"/>
      <c r="FN30" s="181"/>
      <c r="FO30" s="181"/>
      <c r="FP30" s="181"/>
      <c r="FQ30" s="181"/>
      <c r="FR30" s="181"/>
      <c r="FS30" s="181"/>
      <c r="FT30" s="181"/>
      <c r="FU30" s="181"/>
      <c r="FV30" s="181"/>
      <c r="FW30" s="181"/>
      <c r="FX30" s="181"/>
      <c r="FY30" s="181"/>
      <c r="FZ30" s="181"/>
      <c r="GA30" s="181"/>
      <c r="GB30" s="181"/>
      <c r="GC30" s="181"/>
      <c r="GD30" s="181"/>
      <c r="GE30" s="181"/>
      <c r="GF30" s="181"/>
      <c r="JB30" s="175"/>
      <c r="JC30" s="175"/>
      <c r="JD30" s="175"/>
      <c r="JE30" s="175"/>
      <c r="JF30" s="175"/>
      <c r="JG30" s="175"/>
      <c r="JH30" s="175"/>
      <c r="JI30" s="175"/>
      <c r="JJ30" s="175"/>
      <c r="JK30" s="175"/>
      <c r="JL30" s="175"/>
      <c r="JM30" s="175"/>
      <c r="JN30" s="175"/>
      <c r="JO30" s="175"/>
      <c r="JP30" s="175"/>
      <c r="JQ30" s="175"/>
      <c r="JR30" s="175"/>
      <c r="JS30" s="175"/>
      <c r="JT30" s="175"/>
      <c r="JU30" s="175"/>
      <c r="JV30" s="175"/>
      <c r="JW30" s="175"/>
      <c r="JX30" s="175"/>
      <c r="JY30" s="175"/>
      <c r="ON30" s="223" t="s">
        <v>267</v>
      </c>
      <c r="OO30" s="224" t="s">
        <v>268</v>
      </c>
      <c r="OP30" s="224">
        <v>2001</v>
      </c>
      <c r="OQ30" s="224" t="s">
        <v>435</v>
      </c>
      <c r="OR30" s="224">
        <f ca="1">VLOOKUP($OP30,INDIRECT($ON30):INDIRECT($OO30),4,FALSE)</f>
        <v>849508.38</v>
      </c>
      <c r="OS30" s="224">
        <f ca="1">VLOOKUP($OP30,INDIRECT($ON30):INDIRECT($OO30),5,FALSE)</f>
        <v>77</v>
      </c>
      <c r="OT30" s="224">
        <f ca="1">VLOOKUP($OP30,INDIRECT($ON30):INDIRECT($OO30),6,FALSE)</f>
        <v>47.2</v>
      </c>
    </row>
    <row r="31" spans="1:410" ht="15.75" thickBot="1" x14ac:dyDescent="0.25">
      <c r="A31" s="175">
        <v>1018</v>
      </c>
      <c r="B31" s="391">
        <f t="shared" si="12"/>
        <v>0</v>
      </c>
      <c r="C31" s="392" t="s">
        <v>232</v>
      </c>
      <c r="D31" s="415"/>
      <c r="E31" s="415">
        <f t="shared" si="37"/>
        <v>0</v>
      </c>
      <c r="F31" s="485">
        <f t="shared" si="37"/>
        <v>0</v>
      </c>
      <c r="G31" s="396">
        <v>8017</v>
      </c>
      <c r="H31" s="416" t="str">
        <f>IF(I31&gt;0,"Chhote Khola_0.993("&amp;ROUND(I31/24,3)&amp;")","Chhote Khola_0.993")</f>
        <v>Chhote Khola_0.993</v>
      </c>
      <c r="I31" s="495"/>
      <c r="J31" s="398">
        <f t="shared" si="15"/>
        <v>0</v>
      </c>
      <c r="K31" s="289">
        <f t="shared" si="15"/>
        <v>0</v>
      </c>
      <c r="L31" s="396">
        <v>8083</v>
      </c>
      <c r="M31" s="433" t="str">
        <f>IF(N31&gt;0,"Sabha Khola_4("&amp;ROUND(N31/24,3)&amp;")","Sabha Khola_4")</f>
        <v>Sabha Khola_4(0.745)</v>
      </c>
      <c r="N31" s="402">
        <v>17.88</v>
      </c>
      <c r="O31" s="398">
        <f t="shared" si="16"/>
        <v>0.745</v>
      </c>
      <c r="P31" s="289">
        <f t="shared" si="16"/>
        <v>0.745</v>
      </c>
      <c r="Q31" s="379"/>
      <c r="R31" s="486"/>
      <c r="S31" s="350">
        <v>0.83333333333333404</v>
      </c>
      <c r="T31" s="351">
        <v>5.5</v>
      </c>
      <c r="U31" s="351"/>
      <c r="V31" s="351"/>
      <c r="W31" s="352">
        <v>104</v>
      </c>
      <c r="X31" s="351"/>
      <c r="Y31" s="351"/>
      <c r="Z31" s="353"/>
      <c r="AA31" s="353"/>
      <c r="AB31" s="353"/>
      <c r="AC31" s="175">
        <f t="shared" si="39"/>
        <v>11.05</v>
      </c>
      <c r="AD31" s="340">
        <v>308</v>
      </c>
      <c r="AE31" s="341">
        <v>38.799999999999997</v>
      </c>
      <c r="AG31" s="175">
        <v>8137</v>
      </c>
      <c r="AH31" s="254" t="s">
        <v>436</v>
      </c>
      <c r="AI31" s="380">
        <v>7.7</v>
      </c>
      <c r="AJ31" s="380">
        <v>7.7</v>
      </c>
      <c r="AK31" s="255">
        <v>7.7</v>
      </c>
      <c r="AN31" s="256"/>
      <c r="AO31" s="257">
        <v>0.6908333333333333</v>
      </c>
      <c r="AZ31" s="366" t="s">
        <v>368</v>
      </c>
      <c r="BA31" s="367"/>
      <c r="BB31" s="367"/>
      <c r="BC31" s="367"/>
      <c r="BD31" s="367"/>
      <c r="BE31" s="367"/>
      <c r="BF31" s="367"/>
      <c r="BG31" s="367"/>
      <c r="BH31" s="367"/>
      <c r="BI31" s="367"/>
      <c r="BJ31" s="367"/>
      <c r="BK31" s="367"/>
      <c r="BL31" s="367"/>
      <c r="BM31" s="367"/>
      <c r="BN31" s="367"/>
      <c r="BO31" s="367"/>
      <c r="BP31" s="367"/>
      <c r="BQ31" s="367"/>
      <c r="BR31" s="479"/>
      <c r="BS31" s="471"/>
      <c r="BT31" s="496" t="s">
        <v>247</v>
      </c>
      <c r="BU31" s="497"/>
      <c r="BV31" s="498"/>
      <c r="BW31" s="188"/>
      <c r="BX31" s="709" t="s">
        <v>437</v>
      </c>
      <c r="BY31" s="710"/>
      <c r="BZ31" s="469"/>
      <c r="CA31" s="499"/>
      <c r="CB31" s="188"/>
      <c r="CC31" s="188"/>
      <c r="CD31" s="188"/>
      <c r="CE31" s="188"/>
      <c r="CF31" s="188"/>
      <c r="CG31" s="188"/>
      <c r="CH31" s="188"/>
      <c r="CI31" s="188"/>
      <c r="CJ31" s="188"/>
      <c r="CK31" s="188"/>
      <c r="CL31" s="188"/>
      <c r="CM31" s="187"/>
      <c r="CN31" s="188"/>
      <c r="CO31" s="187"/>
      <c r="CP31" s="187"/>
      <c r="CQ31" s="187"/>
      <c r="CR31" s="177"/>
      <c r="CS31" s="177"/>
      <c r="CT31" s="181"/>
      <c r="CU31" s="181"/>
      <c r="CV31" s="181"/>
      <c r="CW31" s="181"/>
      <c r="CX31" s="181"/>
      <c r="CY31" s="181"/>
      <c r="CZ31" s="181"/>
      <c r="DA31" s="181"/>
      <c r="DB31" s="181"/>
      <c r="DC31" s="181"/>
      <c r="DD31" s="181"/>
      <c r="DE31" s="181"/>
      <c r="DF31" s="181"/>
      <c r="DG31" s="181"/>
      <c r="DH31" s="181"/>
      <c r="DI31" s="181"/>
      <c r="DJ31" s="181"/>
      <c r="DK31" s="181"/>
      <c r="DL31" s="181"/>
      <c r="DM31" s="181"/>
      <c r="DN31" s="181"/>
      <c r="DO31" s="181"/>
      <c r="DP31" s="181"/>
      <c r="DQ31" s="181"/>
      <c r="DR31" s="181"/>
      <c r="DS31" s="181"/>
      <c r="DT31" s="181"/>
      <c r="DU31" s="206"/>
      <c r="DV31" s="206"/>
      <c r="DW31" s="187"/>
      <c r="DX31" s="206"/>
      <c r="DY31" s="181"/>
      <c r="DZ31" s="181"/>
      <c r="EA31" s="181"/>
      <c r="EB31" s="181"/>
      <c r="EC31" s="181"/>
      <c r="ED31" s="181"/>
      <c r="EE31" s="181"/>
      <c r="EF31" s="181"/>
      <c r="EG31" s="181"/>
      <c r="EH31" s="181"/>
      <c r="EI31" s="189"/>
      <c r="EJ31" s="181"/>
      <c r="EK31" s="181"/>
      <c r="EL31" s="181"/>
      <c r="EM31" s="181"/>
      <c r="EN31" s="181"/>
      <c r="EO31" s="181"/>
      <c r="EP31" s="181"/>
      <c r="EQ31" s="181"/>
      <c r="ER31" s="181"/>
      <c r="ES31" s="181"/>
      <c r="ET31" s="181"/>
      <c r="EU31" s="181"/>
      <c r="EV31" s="181"/>
      <c r="EW31" s="181"/>
      <c r="EX31" s="181"/>
      <c r="EY31" s="181"/>
      <c r="EZ31" s="181"/>
      <c r="FA31" s="181"/>
      <c r="FB31" s="181"/>
      <c r="FC31" s="181"/>
      <c r="FD31" s="181"/>
      <c r="FE31" s="181"/>
      <c r="FF31" s="181"/>
      <c r="FG31" s="181"/>
      <c r="FH31" s="181"/>
      <c r="FI31" s="181"/>
      <c r="FJ31" s="181"/>
      <c r="FK31" s="181"/>
      <c r="FL31" s="181"/>
      <c r="FM31" s="181"/>
      <c r="FN31" s="181"/>
      <c r="FO31" s="181"/>
      <c r="FP31" s="181"/>
      <c r="FQ31" s="181"/>
      <c r="FR31" s="181"/>
      <c r="FS31" s="181"/>
      <c r="FT31" s="181"/>
      <c r="FU31" s="181"/>
      <c r="FV31" s="181"/>
      <c r="FW31" s="181"/>
      <c r="FX31" s="181"/>
      <c r="FY31" s="181"/>
      <c r="FZ31" s="181"/>
      <c r="GA31" s="181"/>
      <c r="GB31" s="181"/>
      <c r="GC31" s="181"/>
      <c r="GD31" s="181"/>
      <c r="GE31" s="181"/>
      <c r="GF31" s="181"/>
      <c r="JB31" s="175"/>
      <c r="JC31" s="175"/>
      <c r="JD31" s="175"/>
      <c r="JE31" s="175"/>
      <c r="JF31" s="175"/>
      <c r="JG31" s="175"/>
      <c r="JH31" s="175"/>
      <c r="JI31" s="175"/>
      <c r="JJ31" s="175"/>
      <c r="JK31" s="175"/>
      <c r="JL31" s="175"/>
      <c r="JM31" s="175"/>
      <c r="JN31" s="175"/>
      <c r="JO31" s="175"/>
      <c r="JP31" s="175"/>
      <c r="JQ31" s="175"/>
      <c r="JR31" s="175"/>
      <c r="JS31" s="175"/>
      <c r="JT31" s="175"/>
      <c r="JU31" s="175"/>
      <c r="JV31" s="175"/>
      <c r="JW31" s="175"/>
      <c r="JX31" s="175"/>
      <c r="JY31" s="175"/>
      <c r="ON31" s="223" t="s">
        <v>267</v>
      </c>
      <c r="OO31" s="224" t="s">
        <v>268</v>
      </c>
      <c r="OP31" s="224">
        <v>2002</v>
      </c>
      <c r="OQ31" s="224" t="s">
        <v>438</v>
      </c>
      <c r="OR31" s="224">
        <f ca="1">VLOOKUP($OP31,INDIRECT($ON31):INDIRECT($OO31),4,FALSE)</f>
        <v>-8.4</v>
      </c>
      <c r="OS31" s="224">
        <f ca="1">VLOOKUP($OP31,INDIRECT($ON31):INDIRECT($OO31),5,FALSE)</f>
        <v>0</v>
      </c>
      <c r="OT31" s="224">
        <f ca="1">VLOOKUP($OP31,INDIRECT($ON31):INDIRECT($OO31),6,FALSE)</f>
        <v>0</v>
      </c>
    </row>
    <row r="32" spans="1:410" ht="14.25" customHeight="1" thickTop="1" thickBot="1" x14ac:dyDescent="0.3">
      <c r="A32" s="175">
        <v>1019</v>
      </c>
      <c r="B32" s="391">
        <f t="shared" si="12"/>
        <v>0</v>
      </c>
      <c r="C32" s="392" t="s">
        <v>233</v>
      </c>
      <c r="D32" s="415"/>
      <c r="E32" s="415">
        <f t="shared" si="37"/>
        <v>0</v>
      </c>
      <c r="F32" s="485">
        <f t="shared" si="37"/>
        <v>0</v>
      </c>
      <c r="G32" s="396">
        <v>8018</v>
      </c>
      <c r="H32" s="392" t="str">
        <f>IF(I32&gt;0,"Daram Khola A_2.5("&amp;ROUND(I32/24,3)&amp;")","Daram Khola A_2.5")</f>
        <v>Daram Khola A_2.5(0.675)</v>
      </c>
      <c r="I32" s="397">
        <v>16.190000000000001</v>
      </c>
      <c r="J32" s="398">
        <f t="shared" si="15"/>
        <v>0.67458333333333342</v>
      </c>
      <c r="K32" s="289">
        <f t="shared" si="15"/>
        <v>0.67458333333333342</v>
      </c>
      <c r="L32" s="396">
        <v>8084</v>
      </c>
      <c r="M32" s="416" t="str">
        <f>IF(N32&gt;0,"Sali Nadi_0.25("&amp;ROUND(N32/24,3)&amp;")","Sali Nadi_0.25")</f>
        <v>Sali Nadi_0.25</v>
      </c>
      <c r="N32" s="397"/>
      <c r="O32" s="398">
        <f t="shared" si="16"/>
        <v>0</v>
      </c>
      <c r="P32" s="289">
        <f t="shared" si="16"/>
        <v>0</v>
      </c>
      <c r="Q32" s="379"/>
      <c r="R32" s="486"/>
      <c r="S32" s="350">
        <v>0.875</v>
      </c>
      <c r="T32" s="351">
        <v>5</v>
      </c>
      <c r="U32" s="351"/>
      <c r="V32" s="351"/>
      <c r="W32" s="352">
        <v>83</v>
      </c>
      <c r="X32" s="351"/>
      <c r="Y32" s="351"/>
      <c r="Z32" s="353"/>
      <c r="AA32" s="353"/>
      <c r="AB32" s="353"/>
      <c r="AC32" s="175">
        <f t="shared" si="39"/>
        <v>10.7</v>
      </c>
      <c r="AD32" s="340">
        <v>228</v>
      </c>
      <c r="AE32" s="341">
        <v>36.5</v>
      </c>
      <c r="AG32" s="175">
        <v>8029</v>
      </c>
      <c r="AH32" s="254" t="s">
        <v>39</v>
      </c>
      <c r="AI32" s="380">
        <v>6.2</v>
      </c>
      <c r="AJ32" s="380">
        <v>6.2</v>
      </c>
      <c r="AK32" s="255">
        <v>6.2</v>
      </c>
      <c r="AN32" s="256"/>
      <c r="AO32" s="257">
        <v>0.60333333333333339</v>
      </c>
      <c r="AZ32" s="711" t="s">
        <v>439</v>
      </c>
      <c r="BA32" s="182"/>
      <c r="BB32" s="230"/>
      <c r="BC32" s="181"/>
      <c r="BD32" s="182"/>
      <c r="BE32" s="181"/>
      <c r="BF32" s="230"/>
      <c r="BG32" s="230"/>
      <c r="BH32" s="187"/>
      <c r="BI32" s="187"/>
      <c r="BJ32" s="187"/>
      <c r="BK32" s="187"/>
      <c r="BL32" s="182"/>
      <c r="BM32" s="712" t="s">
        <v>440</v>
      </c>
      <c r="BN32" s="442"/>
      <c r="BO32" s="446"/>
      <c r="BP32"/>
      <c r="BQ32"/>
      <c r="BR32" s="500"/>
      <c r="BS32" s="501"/>
      <c r="BT32" s="491" t="s">
        <v>441</v>
      </c>
      <c r="BU32" s="492"/>
      <c r="BV32" s="493"/>
      <c r="BW32" s="181"/>
      <c r="BX32" s="709" t="s">
        <v>442</v>
      </c>
      <c r="BY32" s="710"/>
      <c r="BZ32" s="469"/>
      <c r="CA32" s="499"/>
      <c r="CB32" s="181"/>
      <c r="CC32" s="188"/>
      <c r="CD32" s="188"/>
      <c r="CE32" s="188"/>
      <c r="CF32" s="188"/>
      <c r="CG32" s="188"/>
      <c r="CH32" s="188"/>
      <c r="CI32" s="188"/>
      <c r="CJ32" s="188"/>
      <c r="CK32" s="188"/>
      <c r="CL32" s="188"/>
      <c r="CM32" s="188"/>
      <c r="CN32" s="188"/>
      <c r="CO32" s="188"/>
      <c r="CP32" s="187"/>
      <c r="CQ32" s="187"/>
      <c r="CR32" s="187"/>
      <c r="CS32" s="187"/>
      <c r="CT32" s="177"/>
      <c r="CU32" s="177"/>
      <c r="CV32" s="181"/>
      <c r="CW32" s="181"/>
      <c r="CX32" s="181"/>
      <c r="CY32" s="181"/>
      <c r="CZ32" s="181"/>
      <c r="DA32" s="181"/>
      <c r="DB32" s="181"/>
      <c r="DC32" s="181"/>
      <c r="DD32" s="181"/>
      <c r="DE32" s="181"/>
      <c r="DF32" s="181"/>
      <c r="DG32" s="181"/>
      <c r="DH32" s="181"/>
      <c r="DI32" s="181"/>
      <c r="DJ32" s="181"/>
      <c r="DK32" s="181"/>
      <c r="DL32" s="181"/>
      <c r="DM32" s="181"/>
      <c r="DN32" s="181"/>
      <c r="DO32" s="181"/>
      <c r="DP32" s="181"/>
      <c r="DQ32" s="181"/>
      <c r="DR32" s="181"/>
      <c r="DS32" s="181"/>
      <c r="DT32" s="181"/>
      <c r="DU32" s="181"/>
      <c r="DV32" s="181"/>
      <c r="DW32" s="187"/>
      <c r="DX32" s="206"/>
      <c r="DY32" s="206"/>
      <c r="DZ32" s="206"/>
      <c r="EA32" s="181"/>
      <c r="EB32" s="181"/>
      <c r="EC32" s="181"/>
      <c r="ED32" s="181"/>
      <c r="EE32" s="181"/>
      <c r="EF32" s="181"/>
      <c r="EG32" s="181"/>
      <c r="EH32" s="181"/>
      <c r="EI32" s="181"/>
      <c r="EJ32" s="181"/>
      <c r="EK32" s="189"/>
      <c r="EL32" s="181"/>
      <c r="EM32" s="181"/>
      <c r="EN32" s="181"/>
      <c r="EO32" s="181"/>
      <c r="EP32" s="181"/>
      <c r="EQ32" s="181"/>
      <c r="ER32" s="181"/>
      <c r="ES32" s="181"/>
      <c r="ET32" s="181"/>
      <c r="EU32" s="181"/>
      <c r="EV32" s="181"/>
      <c r="EW32" s="181"/>
      <c r="EX32" s="181"/>
      <c r="EY32" s="181"/>
      <c r="EZ32" s="181"/>
      <c r="FA32" s="181"/>
      <c r="FB32" s="181"/>
      <c r="FC32" s="181"/>
      <c r="FD32" s="181"/>
      <c r="FE32" s="181"/>
      <c r="FF32" s="181"/>
      <c r="FG32" s="181"/>
      <c r="FH32" s="181"/>
      <c r="FI32" s="181"/>
      <c r="FJ32" s="181"/>
      <c r="FK32" s="181"/>
      <c r="FL32" s="181"/>
      <c r="FM32" s="181"/>
      <c r="FN32" s="181"/>
      <c r="FO32" s="181"/>
      <c r="FP32" s="181"/>
      <c r="FQ32" s="181"/>
      <c r="FR32" s="181"/>
      <c r="FS32" s="181"/>
      <c r="FT32" s="181"/>
      <c r="FU32" s="181"/>
      <c r="FV32" s="181"/>
      <c r="FW32" s="181"/>
      <c r="FX32" s="181"/>
      <c r="FY32" s="181"/>
      <c r="FZ32" s="181"/>
      <c r="GA32" s="181"/>
      <c r="GB32" s="181"/>
      <c r="GC32" s="181"/>
      <c r="GD32" s="181"/>
      <c r="GE32" s="181"/>
      <c r="GF32" s="181"/>
      <c r="JB32" s="175"/>
      <c r="JC32" s="175"/>
      <c r="JD32" s="175"/>
      <c r="JE32" s="175"/>
      <c r="JF32" s="175"/>
      <c r="JG32" s="175"/>
      <c r="JH32" s="175"/>
      <c r="JI32" s="175"/>
      <c r="JJ32" s="175"/>
      <c r="JK32" s="175"/>
      <c r="JL32" s="175"/>
      <c r="JM32" s="175"/>
      <c r="JN32" s="175"/>
      <c r="JO32" s="175"/>
      <c r="JP32" s="175"/>
      <c r="JQ32" s="175"/>
      <c r="JR32" s="175"/>
      <c r="JS32" s="175"/>
      <c r="JT32" s="175"/>
      <c r="JU32" s="175"/>
      <c r="JV32" s="175"/>
      <c r="JW32" s="175"/>
      <c r="JX32" s="175"/>
      <c r="JY32" s="175"/>
      <c r="ON32" s="223" t="s">
        <v>267</v>
      </c>
      <c r="OO32" s="224" t="s">
        <v>268</v>
      </c>
      <c r="OP32" s="224">
        <v>2003</v>
      </c>
      <c r="OQ32" s="224" t="s">
        <v>443</v>
      </c>
      <c r="OR32" s="224">
        <f ca="1">VLOOKUP($OP32,INDIRECT($ON32):INDIRECT($OO32),4,FALSE)</f>
        <v>5187.1000000000004</v>
      </c>
      <c r="OS32" s="224">
        <f ca="1">VLOOKUP($OP32,INDIRECT($ON32):INDIRECT($OO32),5,FALSE)</f>
        <v>328.4</v>
      </c>
      <c r="OT32" s="224">
        <f ca="1">VLOOKUP($OP32,INDIRECT($ON32):INDIRECT($OO32),6,FALSE)</f>
        <v>153</v>
      </c>
    </row>
    <row r="33" spans="1:410" ht="15.75" thickBot="1" x14ac:dyDescent="0.3">
      <c r="A33" s="175">
        <v>1020</v>
      </c>
      <c r="B33" s="450">
        <f t="shared" si="12"/>
        <v>0</v>
      </c>
      <c r="C33" s="474" t="s">
        <v>234</v>
      </c>
      <c r="D33" s="475"/>
      <c r="E33" s="475">
        <f t="shared" si="37"/>
        <v>0</v>
      </c>
      <c r="F33" s="502">
        <f t="shared" si="37"/>
        <v>0</v>
      </c>
      <c r="G33" s="396">
        <v>8019</v>
      </c>
      <c r="H33" s="392" t="str">
        <f>IF(I33&gt;0,"Daraudi Khola A_6("&amp;ROUND(I33/24,3)&amp;")","Daraudi Khola A_6")</f>
        <v>Daraudi Khola A_6(2.25)</v>
      </c>
      <c r="I33" s="438">
        <v>54</v>
      </c>
      <c r="J33" s="398">
        <f t="shared" si="15"/>
        <v>2.25</v>
      </c>
      <c r="K33" s="289">
        <f t="shared" si="15"/>
        <v>2.25</v>
      </c>
      <c r="L33" s="396">
        <v>8085</v>
      </c>
      <c r="M33" s="392" t="str">
        <f>IF(N33&gt;0,"Sanima Mai Cascade_7("&amp;ROUND(N33/24,3)&amp;")","Sanima Mai Cascade_7")</f>
        <v>Sanima Mai Cascade_7(1.879)</v>
      </c>
      <c r="N33" s="438">
        <v>45.09</v>
      </c>
      <c r="O33" s="398">
        <f t="shared" si="16"/>
        <v>1.8787500000000001</v>
      </c>
      <c r="P33" s="289">
        <f t="shared" si="16"/>
        <v>1.8787500000000001</v>
      </c>
      <c r="Q33" s="379"/>
      <c r="S33" s="350">
        <v>0.91666666666666696</v>
      </c>
      <c r="T33" s="351">
        <v>4.9000000000000004</v>
      </c>
      <c r="U33" s="351"/>
      <c r="V33" s="351"/>
      <c r="W33" s="352">
        <v>65</v>
      </c>
      <c r="X33" s="351"/>
      <c r="Y33" s="351"/>
      <c r="Z33" s="353"/>
      <c r="AA33" s="353"/>
      <c r="AB33" s="353"/>
      <c r="AC33" s="175">
        <f t="shared" si="39"/>
        <v>9.15</v>
      </c>
      <c r="AD33" s="340">
        <v>128</v>
      </c>
      <c r="AE33" s="340">
        <v>38.5</v>
      </c>
      <c r="AG33" s="175">
        <v>8108</v>
      </c>
      <c r="AH33" s="254" t="s">
        <v>40</v>
      </c>
      <c r="AI33" s="380">
        <v>1.2</v>
      </c>
      <c r="AJ33" s="380">
        <v>1.2</v>
      </c>
      <c r="AK33" s="255">
        <v>1.2</v>
      </c>
      <c r="AN33" s="256"/>
      <c r="AO33" s="257">
        <v>0.10416666666666667</v>
      </c>
      <c r="AZ33" s="711"/>
      <c r="BA33" s="182">
        <v>2003</v>
      </c>
      <c r="BB33" s="182">
        <v>2002</v>
      </c>
      <c r="BC33" s="182">
        <v>2001</v>
      </c>
      <c r="BD33" s="182">
        <v>2005</v>
      </c>
      <c r="BE33" s="181">
        <v>2004</v>
      </c>
      <c r="BF33" s="442">
        <v>2010</v>
      </c>
      <c r="BG33" s="442">
        <v>2008</v>
      </c>
      <c r="BH33" s="447">
        <v>2012</v>
      </c>
      <c r="BI33" s="447">
        <v>2009</v>
      </c>
      <c r="BJ33" s="447">
        <v>2011</v>
      </c>
      <c r="BK33" s="503"/>
      <c r="BL33" s="182"/>
      <c r="BM33" s="712"/>
      <c r="BN33" s="504">
        <v>7003</v>
      </c>
      <c r="BO33" s="504">
        <v>7002</v>
      </c>
      <c r="BP33">
        <v>7001</v>
      </c>
      <c r="BQ33"/>
      <c r="BR33" s="187"/>
      <c r="BS33" s="713" t="s">
        <v>444</v>
      </c>
      <c r="BT33" s="472" t="s">
        <v>292</v>
      </c>
      <c r="BU33" s="473"/>
      <c r="BV33" s="505"/>
      <c r="BW33" s="184"/>
      <c r="BX33" s="279"/>
      <c r="BY33" s="188"/>
      <c r="BZ33" s="494"/>
      <c r="CA33" s="188"/>
      <c r="CB33" s="188"/>
      <c r="CC33" s="188"/>
      <c r="CD33" s="506"/>
      <c r="CE33" s="188"/>
      <c r="CF33" s="181"/>
      <c r="CG33" s="188"/>
      <c r="CH33" s="188"/>
      <c r="CI33" s="188"/>
      <c r="CJ33" s="188"/>
      <c r="CK33" s="188"/>
      <c r="CL33" s="188"/>
      <c r="CM33" s="188"/>
      <c r="CN33" s="188"/>
      <c r="CO33" s="188"/>
      <c r="CP33" s="188"/>
      <c r="CQ33" s="188"/>
      <c r="CR33" s="188"/>
      <c r="CS33" s="188"/>
      <c r="CT33" s="187"/>
      <c r="CU33" s="187"/>
      <c r="CV33" s="187"/>
      <c r="CW33" s="187"/>
      <c r="CX33" s="177"/>
      <c r="CY33" s="177"/>
      <c r="CZ33" s="181"/>
      <c r="DA33" s="181"/>
      <c r="DB33" s="181"/>
      <c r="DC33" s="181"/>
      <c r="DD33" s="181"/>
      <c r="DE33" s="181"/>
      <c r="DF33" s="181"/>
      <c r="DG33" s="181"/>
      <c r="DH33" s="181"/>
      <c r="DI33" s="181"/>
      <c r="DJ33" s="181"/>
      <c r="DK33" s="181"/>
      <c r="DL33" s="181"/>
      <c r="DM33" s="181"/>
      <c r="DN33" s="181"/>
      <c r="DO33" s="181"/>
      <c r="DP33" s="181"/>
      <c r="DQ33" s="181"/>
      <c r="DR33" s="181"/>
      <c r="DS33" s="181"/>
      <c r="DT33" s="181"/>
      <c r="DU33" s="181"/>
      <c r="DV33" s="181"/>
      <c r="DW33" s="181"/>
      <c r="DX33" s="181"/>
      <c r="DY33" s="181"/>
      <c r="DZ33" s="181"/>
      <c r="EA33" s="187"/>
      <c r="EB33" s="206"/>
      <c r="EC33" s="206"/>
      <c r="ED33" s="206"/>
      <c r="EE33" s="181"/>
      <c r="EF33" s="181"/>
      <c r="EG33" s="181"/>
      <c r="EH33" s="181"/>
      <c r="EI33" s="181"/>
      <c r="EJ33" s="181"/>
      <c r="EK33" s="181"/>
      <c r="EL33" s="181"/>
      <c r="EM33" s="181"/>
      <c r="EN33" s="181"/>
      <c r="EO33" s="189"/>
      <c r="EP33" s="181"/>
      <c r="EQ33" s="181"/>
      <c r="ER33" s="181"/>
      <c r="ES33" s="181"/>
      <c r="ET33" s="181"/>
      <c r="EU33" s="181"/>
      <c r="EV33" s="181"/>
      <c r="EW33" s="181"/>
      <c r="EX33" s="181"/>
      <c r="EY33" s="181"/>
      <c r="EZ33" s="181"/>
      <c r="FA33" s="181"/>
      <c r="FB33" s="181"/>
      <c r="FC33" s="181"/>
      <c r="FD33" s="181"/>
      <c r="FE33" s="181"/>
      <c r="FF33" s="181"/>
      <c r="FG33" s="181"/>
      <c r="FH33" s="181"/>
      <c r="FI33" s="181"/>
      <c r="FJ33" s="181"/>
      <c r="FK33" s="181"/>
      <c r="FL33" s="181"/>
      <c r="FM33" s="181"/>
      <c r="FN33" s="181"/>
      <c r="FO33" s="181"/>
      <c r="FP33" s="181"/>
      <c r="FQ33" s="181"/>
      <c r="FR33" s="181"/>
      <c r="FS33" s="181"/>
      <c r="FT33" s="181"/>
      <c r="FU33" s="181"/>
      <c r="FV33" s="181"/>
      <c r="FW33" s="181"/>
      <c r="FX33" s="181"/>
      <c r="FY33" s="181"/>
      <c r="FZ33" s="181"/>
      <c r="GA33" s="181"/>
      <c r="GB33" s="181"/>
      <c r="GC33" s="181"/>
      <c r="GD33" s="181"/>
      <c r="GE33" s="181"/>
      <c r="GF33" s="181"/>
      <c r="JB33" s="175"/>
      <c r="JC33" s="175"/>
      <c r="JD33" s="175"/>
      <c r="JE33" s="175"/>
      <c r="JF33" s="175"/>
      <c r="JG33" s="175"/>
      <c r="JH33" s="175"/>
      <c r="JI33" s="175"/>
      <c r="JJ33" s="175"/>
      <c r="JK33" s="175"/>
      <c r="JL33" s="175"/>
      <c r="JM33" s="175"/>
      <c r="JN33" s="175"/>
      <c r="JO33" s="175"/>
      <c r="JP33" s="175"/>
      <c r="JQ33" s="175"/>
      <c r="JR33" s="175"/>
      <c r="JS33" s="175"/>
      <c r="JT33" s="175"/>
      <c r="JU33" s="175"/>
      <c r="JV33" s="175"/>
      <c r="JW33" s="175"/>
      <c r="JX33" s="175"/>
      <c r="JY33" s="175"/>
      <c r="ON33" s="223" t="s">
        <v>267</v>
      </c>
      <c r="OO33" s="224" t="s">
        <v>268</v>
      </c>
      <c r="OP33" s="224">
        <v>2004</v>
      </c>
      <c r="OQ33" s="224" t="s">
        <v>338</v>
      </c>
      <c r="OR33" s="224">
        <f ca="1">VLOOKUP($OP33,INDIRECT($ON33):INDIRECT($OO33),4,FALSE)</f>
        <v>1024.6079999999999</v>
      </c>
      <c r="OS33" s="224">
        <f ca="1">VLOOKUP($OP33,INDIRECT($ON33):INDIRECT($OO33),5,FALSE)</f>
        <v>58.6</v>
      </c>
      <c r="OT33" s="224">
        <f ca="1">VLOOKUP($OP33,INDIRECT($ON33):INDIRECT($OO33),6,FALSE)</f>
        <v>39</v>
      </c>
    </row>
    <row r="34" spans="1:410" ht="37.5" thickTop="1" thickBot="1" x14ac:dyDescent="0.25">
      <c r="A34" s="175">
        <v>1021</v>
      </c>
      <c r="B34" s="507">
        <f t="shared" si="12"/>
        <v>0</v>
      </c>
      <c r="C34" s="374" t="s">
        <v>445</v>
      </c>
      <c r="D34" s="508"/>
      <c r="E34" s="375">
        <f>VLOOKUP($A34,$AG$6:$AK$97,3,FALSE)</f>
        <v>0</v>
      </c>
      <c r="F34" s="376">
        <f>VLOOKUP($A34,$AG$6:$AK$97,5,FALSE)</f>
        <v>0</v>
      </c>
      <c r="G34" s="396">
        <v>8020</v>
      </c>
      <c r="H34" s="392" t="str">
        <f>IF(I34&gt;0,"Dhalkebar Saurya Aayojana_1("&amp;ROUND(I34/24,3)&amp;")","Dhalkebar Saurya Aayojana_1")</f>
        <v>Dhalkebar Saurya Aayojana_1(0.177)</v>
      </c>
      <c r="I34" s="428">
        <v>4.2469999999999999</v>
      </c>
      <c r="J34" s="398">
        <f t="shared" si="15"/>
        <v>0.17695833333333333</v>
      </c>
      <c r="K34" s="289">
        <f t="shared" si="15"/>
        <v>0.17695833333333333</v>
      </c>
      <c r="L34" s="396">
        <v>8086</v>
      </c>
      <c r="M34" s="392" t="str">
        <f>IF(N34&gt;0,"Sanima Mai Khola_22("&amp;ROUND(N34/24,3)&amp;")","Sanima Mai Khola_22")</f>
        <v>Sanima Mai Khola_22(6.004)</v>
      </c>
      <c r="N34" s="428">
        <v>144.09399999999999</v>
      </c>
      <c r="O34" s="398">
        <f>VLOOKUP($L34,$AG$6:$AK$106,3,FALSE)</f>
        <v>8</v>
      </c>
      <c r="P34" s="289">
        <f>VLOOKUP($L34,$AG$6:$AK$106,5,FALSE)</f>
        <v>8</v>
      </c>
      <c r="Q34" s="379"/>
      <c r="R34" s="509"/>
      <c r="S34" s="510">
        <v>0.95833333333333337</v>
      </c>
      <c r="T34" s="351">
        <v>4.5</v>
      </c>
      <c r="U34" s="351"/>
      <c r="V34" s="351"/>
      <c r="W34" s="511">
        <v>62</v>
      </c>
      <c r="X34" s="351"/>
      <c r="Y34" s="351"/>
      <c r="Z34" s="353"/>
      <c r="AA34" s="512"/>
      <c r="AB34" s="512"/>
      <c r="AC34" s="175">
        <f t="shared" si="39"/>
        <v>8.15</v>
      </c>
      <c r="AD34" s="340">
        <v>192</v>
      </c>
      <c r="AE34" s="340">
        <v>41.5</v>
      </c>
      <c r="AG34" s="175">
        <v>8090</v>
      </c>
      <c r="AH34" s="254" t="s">
        <v>387</v>
      </c>
      <c r="AI34" s="380">
        <v>5</v>
      </c>
      <c r="AJ34" s="380">
        <v>5</v>
      </c>
      <c r="AK34" s="255">
        <v>5</v>
      </c>
      <c r="AN34" s="256"/>
      <c r="AO34" s="257">
        <v>0</v>
      </c>
      <c r="AZ34" s="246" t="s">
        <v>446</v>
      </c>
      <c r="BA34" s="273" t="s">
        <v>77</v>
      </c>
      <c r="BB34" s="273" t="s">
        <v>447</v>
      </c>
      <c r="BC34" s="273" t="s">
        <v>75</v>
      </c>
      <c r="BD34" s="273" t="s">
        <v>79</v>
      </c>
      <c r="BE34" s="273" t="s">
        <v>78</v>
      </c>
      <c r="BF34" s="273" t="s">
        <v>448</v>
      </c>
      <c r="BG34" s="273" t="s">
        <v>449</v>
      </c>
      <c r="BH34" s="273" t="s">
        <v>450</v>
      </c>
      <c r="BI34" s="273" t="s">
        <v>333</v>
      </c>
      <c r="BJ34" s="273" t="s">
        <v>451</v>
      </c>
      <c r="BK34" s="513" t="s">
        <v>452</v>
      </c>
      <c r="BL34" s="514"/>
      <c r="BM34" s="463" t="s">
        <v>378</v>
      </c>
      <c r="BN34" s="273" t="s">
        <v>453</v>
      </c>
      <c r="BO34" s="273" t="s">
        <v>454</v>
      </c>
      <c r="BP34" s="273" t="s">
        <v>455</v>
      </c>
      <c r="BQ34" s="201" t="s">
        <v>456</v>
      </c>
      <c r="BR34" s="515"/>
      <c r="BS34" s="714"/>
      <c r="BT34" s="472" t="s">
        <v>287</v>
      </c>
      <c r="BU34" s="473"/>
      <c r="BV34" s="505"/>
      <c r="BW34" s="516" t="s">
        <v>457</v>
      </c>
      <c r="BX34" s="517">
        <f ca="1">BN35</f>
        <v>2163.04</v>
      </c>
      <c r="BY34" s="517"/>
      <c r="BZ34" s="188"/>
      <c r="CA34" s="188"/>
      <c r="CB34" s="188"/>
      <c r="CC34" s="188"/>
      <c r="CD34" s="188"/>
      <c r="CE34" s="188"/>
      <c r="CF34" s="188"/>
      <c r="CG34" s="188"/>
      <c r="CH34" s="188"/>
      <c r="CI34" s="188"/>
      <c r="CJ34" s="188"/>
      <c r="CK34" s="188"/>
      <c r="CL34" s="188"/>
      <c r="CM34" s="187"/>
      <c r="CN34" s="187"/>
      <c r="CO34" s="187"/>
      <c r="CP34" s="187"/>
      <c r="CQ34" s="177"/>
      <c r="CR34" s="177"/>
      <c r="CS34" s="181"/>
      <c r="CT34" s="181"/>
      <c r="CU34" s="181"/>
      <c r="CV34" s="181"/>
      <c r="CW34" s="181"/>
      <c r="CX34" s="181"/>
      <c r="CY34" s="181"/>
      <c r="CZ34" s="181"/>
      <c r="DA34" s="181"/>
      <c r="DB34" s="181"/>
      <c r="DC34" s="181"/>
      <c r="DD34" s="181"/>
      <c r="DE34" s="181"/>
      <c r="DF34" s="181"/>
      <c r="DG34" s="181"/>
      <c r="DH34" s="181"/>
      <c r="DI34" s="181"/>
      <c r="DJ34" s="181"/>
      <c r="DK34" s="181"/>
      <c r="DL34" s="181"/>
      <c r="DM34" s="181"/>
      <c r="DN34" s="181"/>
      <c r="DO34" s="181"/>
      <c r="DP34" s="181"/>
      <c r="DQ34" s="181"/>
      <c r="DR34" s="181"/>
      <c r="DS34" s="181"/>
      <c r="DT34" s="181"/>
      <c r="DU34" s="181"/>
      <c r="DV34" s="181"/>
      <c r="DW34" s="181"/>
      <c r="DX34" s="187"/>
      <c r="DY34" s="181"/>
      <c r="DZ34" s="181"/>
      <c r="EA34" s="181"/>
      <c r="EB34" s="181"/>
      <c r="EC34" s="181"/>
      <c r="ED34" s="181"/>
      <c r="EE34" s="181"/>
      <c r="EF34" s="181"/>
      <c r="EG34" s="181"/>
      <c r="EH34" s="189"/>
      <c r="EI34" s="181"/>
      <c r="EJ34" s="181"/>
      <c r="EK34" s="181"/>
      <c r="EL34" s="181"/>
      <c r="EM34" s="181"/>
      <c r="EN34" s="181"/>
      <c r="EO34" s="181"/>
      <c r="EP34" s="181"/>
      <c r="EQ34" s="181"/>
      <c r="ER34" s="181"/>
      <c r="ES34" s="181"/>
      <c r="ET34" s="181"/>
      <c r="EU34" s="181"/>
      <c r="EV34" s="181"/>
      <c r="EW34" s="181"/>
      <c r="EX34" s="181"/>
      <c r="EY34" s="181"/>
      <c r="EZ34" s="181"/>
      <c r="FA34" s="181"/>
      <c r="FB34" s="181"/>
      <c r="FC34" s="181"/>
      <c r="FD34" s="181"/>
      <c r="FE34" s="181"/>
      <c r="FF34" s="181"/>
      <c r="FG34" s="181"/>
      <c r="FH34" s="181"/>
      <c r="FI34" s="181"/>
      <c r="FJ34" s="181"/>
      <c r="FK34" s="181"/>
      <c r="FL34" s="181"/>
      <c r="FM34" s="181"/>
      <c r="FN34" s="181"/>
      <c r="FO34" s="181"/>
      <c r="FP34" s="181"/>
      <c r="FQ34" s="181"/>
      <c r="FR34" s="181"/>
      <c r="FS34" s="181"/>
      <c r="FT34" s="181"/>
      <c r="FU34" s="181"/>
      <c r="FV34" s="181"/>
      <c r="FW34" s="181"/>
      <c r="FX34" s="181"/>
      <c r="FY34" s="181"/>
      <c r="FZ34" s="181"/>
      <c r="GA34" s="181"/>
      <c r="GB34" s="181"/>
      <c r="GC34" s="181"/>
      <c r="GD34" s="181"/>
      <c r="GE34" s="181"/>
      <c r="GF34" s="181"/>
      <c r="JB34" s="175"/>
      <c r="JC34" s="175"/>
      <c r="JD34" s="175"/>
      <c r="JE34" s="175"/>
      <c r="JF34" s="175"/>
      <c r="JG34" s="175"/>
      <c r="JH34" s="175"/>
      <c r="JI34" s="175"/>
      <c r="JJ34" s="175"/>
      <c r="JK34" s="175"/>
      <c r="JL34" s="175"/>
      <c r="JM34" s="175"/>
      <c r="JN34" s="175"/>
      <c r="JO34" s="175"/>
      <c r="JP34" s="175"/>
      <c r="JQ34" s="175"/>
      <c r="JR34" s="175"/>
      <c r="JS34" s="175"/>
      <c r="JT34" s="175"/>
      <c r="JU34" s="175"/>
      <c r="JV34" s="175"/>
      <c r="JW34" s="175"/>
      <c r="JX34" s="175"/>
      <c r="JY34" s="175"/>
      <c r="ON34" s="223" t="s">
        <v>267</v>
      </c>
      <c r="OO34" s="224" t="s">
        <v>268</v>
      </c>
      <c r="OP34" s="224">
        <v>2005</v>
      </c>
      <c r="OQ34" s="224" t="s">
        <v>458</v>
      </c>
      <c r="OR34" s="224">
        <f ca="1">VLOOKUP($OP34,INDIRECT($ON34):INDIRECT($OO34),4,FALSE)</f>
        <v>612</v>
      </c>
      <c r="OS34" s="224">
        <f ca="1">VLOOKUP($OP34,INDIRECT($ON34):INDIRECT($OO34),5,FALSE)</f>
        <v>52</v>
      </c>
      <c r="OT34" s="224">
        <f ca="1">VLOOKUP($OP34,INDIRECT($ON34):INDIRECT($OO34),6,FALSE)</f>
        <v>14</v>
      </c>
    </row>
    <row r="35" spans="1:410" ht="15.75" thickBot="1" x14ac:dyDescent="0.25">
      <c r="A35" s="175">
        <v>1022</v>
      </c>
      <c r="B35" s="518" t="s">
        <v>459</v>
      </c>
      <c r="C35" s="451" t="s">
        <v>460</v>
      </c>
      <c r="D35" s="519"/>
      <c r="E35" s="453">
        <f t="shared" ref="E35:E40" si="41">VLOOKUP($A35,$AG$6:$AK$106,3,FALSE)</f>
        <v>8</v>
      </c>
      <c r="F35" s="454">
        <f t="shared" ref="F35:F40" si="42">VLOOKUP($A35,$AG$6:$AK$106,5,FALSE)</f>
        <v>0</v>
      </c>
      <c r="G35" s="396">
        <v>8021</v>
      </c>
      <c r="H35" s="416" t="str">
        <f>IF(I35&gt;0,"Dhalkebar Solar Project_3("&amp;ROUND(I35/24,3)&amp;")","Dhalkebar Solar Project_3")</f>
        <v>Dhalkebar Solar Project_3</v>
      </c>
      <c r="I35" s="428"/>
      <c r="J35" s="398">
        <f t="shared" si="15"/>
        <v>0</v>
      </c>
      <c r="K35" s="289">
        <f t="shared" si="15"/>
        <v>0</v>
      </c>
      <c r="L35" s="396">
        <v>8087</v>
      </c>
      <c r="M35" s="392" t="str">
        <f>IF(N35&gt;0,"Sapsup Khola_6.6("&amp;ROUND(N35/24,3)&amp;")","Sapsup Khola_6.6")</f>
        <v>Sapsup Khola_6.6</v>
      </c>
      <c r="N35" s="438"/>
      <c r="O35" s="398">
        <f t="shared" ref="O35:P37" si="43">$N35/24</f>
        <v>0</v>
      </c>
      <c r="P35" s="289">
        <f t="shared" si="43"/>
        <v>0</v>
      </c>
      <c r="Q35" s="379"/>
      <c r="R35" s="308"/>
      <c r="S35" s="207" t="s">
        <v>248</v>
      </c>
      <c r="T35" s="520">
        <f>SUM(T11:T34)</f>
        <v>110.5</v>
      </c>
      <c r="U35" s="520">
        <f>SUM(U11:U34)</f>
        <v>0</v>
      </c>
      <c r="V35" s="520">
        <f>SUM(V11:V34)*0.9*1.732*33/1000</f>
        <v>0</v>
      </c>
      <c r="W35" s="520">
        <f>SUM(W11:W34)*0.9*1.732*33/1000</f>
        <v>87.397239600000006</v>
      </c>
      <c r="X35" s="520">
        <f>SUM(X11:X34)*0.9*1.732*33/1000</f>
        <v>0</v>
      </c>
      <c r="Y35" s="520">
        <f>SUM(Y11:Y34)*0.9*1.732*33/1000</f>
        <v>0</v>
      </c>
      <c r="Z35" s="521">
        <f>SUM(Z11:Z34)*0.9*1.732*33/1000</f>
        <v>0</v>
      </c>
      <c r="AA35" s="522">
        <f>SUM(AA11:AA34)</f>
        <v>0</v>
      </c>
      <c r="AB35" s="523">
        <f>SUM(AB11:AB34)</f>
        <v>0</v>
      </c>
      <c r="AC35" s="175">
        <f t="shared" si="39"/>
        <v>7.6</v>
      </c>
      <c r="AD35" s="340">
        <v>181</v>
      </c>
      <c r="AE35" s="340">
        <v>44.2</v>
      </c>
      <c r="AG35" s="175">
        <v>8132</v>
      </c>
      <c r="AH35" s="254" t="s">
        <v>461</v>
      </c>
      <c r="AI35" s="380">
        <v>7</v>
      </c>
      <c r="AJ35" s="380">
        <v>7</v>
      </c>
      <c r="AK35" s="255">
        <v>7</v>
      </c>
      <c r="AN35" s="256"/>
      <c r="AO35" s="257">
        <v>1.1000000000000001</v>
      </c>
      <c r="AZ35" s="293" t="s">
        <v>462</v>
      </c>
      <c r="BA35" s="294">
        <f ca="1">VLOOKUP(BA$33,$OP$2:$OT$300,3,FALSE)</f>
        <v>5187.1000000000004</v>
      </c>
      <c r="BB35" s="294">
        <f t="shared" ref="BB35:BJ35" ca="1" si="44">VLOOKUP(BB$33,$OP$2:$OT$300,3,FALSE)</f>
        <v>-8.4</v>
      </c>
      <c r="BC35" s="294">
        <f t="shared" ca="1" si="44"/>
        <v>849508.38</v>
      </c>
      <c r="BD35" s="294">
        <f t="shared" ca="1" si="44"/>
        <v>612</v>
      </c>
      <c r="BE35" s="294">
        <f t="shared" ca="1" si="44"/>
        <v>1024.6079999999999</v>
      </c>
      <c r="BF35" s="294">
        <f t="shared" ca="1" si="44"/>
        <v>0</v>
      </c>
      <c r="BG35" s="294">
        <f t="shared" ca="1" si="44"/>
        <v>87.397239600000006</v>
      </c>
      <c r="BH35" s="294">
        <f t="shared" ca="1" si="44"/>
        <v>110.5</v>
      </c>
      <c r="BI35" s="294">
        <f t="shared" ca="1" si="44"/>
        <v>0</v>
      </c>
      <c r="BJ35" s="294">
        <f t="shared" ca="1" si="44"/>
        <v>0</v>
      </c>
      <c r="BK35" s="295">
        <f ca="1">SUM(BA35:BJ35)</f>
        <v>856521.58523959992</v>
      </c>
      <c r="BL35" s="524"/>
      <c r="BM35" s="293" t="s">
        <v>324</v>
      </c>
      <c r="BN35" s="294">
        <f ca="1">VLOOKUP(BN$33,$OP$2:$OT$300,3,FALSE)</f>
        <v>2163.04</v>
      </c>
      <c r="BO35" s="294">
        <f ca="1">VLOOKUP(BO$33,$OP$2:$OT$300,3,FALSE)</f>
        <v>805.11</v>
      </c>
      <c r="BP35" s="294">
        <f ca="1">VLOOKUP(BP$33,$OP$2:$OT$300,3,FALSE)</f>
        <v>302.14</v>
      </c>
      <c r="BQ35" s="418">
        <f ca="1">SUM(BN35:BP35)</f>
        <v>3270.29</v>
      </c>
      <c r="BR35" s="515"/>
      <c r="BS35" s="714"/>
      <c r="BT35" s="343" t="s">
        <v>7</v>
      </c>
      <c r="BU35" s="480"/>
      <c r="BV35" s="525"/>
      <c r="BW35" s="188"/>
      <c r="BX35" s="181"/>
      <c r="BY35" s="188"/>
      <c r="BZ35" s="188"/>
      <c r="CA35" s="188"/>
      <c r="CB35" s="188"/>
      <c r="CC35" s="188"/>
      <c r="CD35" s="188"/>
      <c r="CE35" s="188"/>
      <c r="CF35" s="188"/>
      <c r="CG35" s="188"/>
      <c r="CH35" s="188"/>
      <c r="CI35" s="188"/>
      <c r="CJ35" s="188"/>
      <c r="CK35" s="188"/>
      <c r="CL35" s="187"/>
      <c r="CM35" s="187"/>
      <c r="CN35" s="187"/>
      <c r="CO35" s="187"/>
      <c r="CP35" s="181"/>
      <c r="CQ35" s="181"/>
      <c r="CR35" s="181"/>
      <c r="CS35" s="181"/>
      <c r="CT35" s="181"/>
      <c r="CU35" s="181"/>
      <c r="CV35" s="181"/>
      <c r="CW35" s="181"/>
      <c r="CX35" s="181"/>
      <c r="CY35" s="181"/>
      <c r="CZ35" s="181"/>
      <c r="DA35" s="181"/>
      <c r="DB35" s="181"/>
      <c r="DC35" s="181"/>
      <c r="DD35" s="181"/>
      <c r="DE35" s="181"/>
      <c r="DF35" s="181"/>
      <c r="DG35" s="181"/>
      <c r="DH35" s="181"/>
      <c r="DI35" s="181"/>
      <c r="DJ35" s="181"/>
      <c r="DK35" s="181"/>
      <c r="DL35" s="181"/>
      <c r="DM35" s="181"/>
      <c r="DN35" s="181"/>
      <c r="DO35" s="181"/>
      <c r="DP35" s="181"/>
      <c r="DQ35" s="181"/>
      <c r="DR35" s="181"/>
      <c r="DS35" s="181"/>
      <c r="DT35" s="181"/>
      <c r="DU35" s="181"/>
      <c r="DV35" s="181"/>
      <c r="DW35" s="187"/>
      <c r="DX35" s="181"/>
      <c r="DY35" s="181"/>
      <c r="DZ35" s="181"/>
      <c r="EA35" s="181"/>
      <c r="EB35" s="181"/>
      <c r="EC35" s="181"/>
      <c r="ED35" s="181"/>
      <c r="EE35" s="181"/>
      <c r="EF35" s="181"/>
      <c r="EG35" s="189"/>
      <c r="EH35" s="181"/>
      <c r="EI35" s="181"/>
      <c r="EJ35" s="181"/>
      <c r="EK35" s="181"/>
      <c r="EL35" s="181"/>
      <c r="EM35" s="181"/>
      <c r="EN35" s="181"/>
      <c r="EO35" s="181"/>
      <c r="EP35" s="181"/>
      <c r="EQ35" s="181"/>
      <c r="ER35" s="181"/>
      <c r="ES35" s="181"/>
      <c r="ET35" s="181"/>
      <c r="EU35" s="181"/>
      <c r="EV35" s="181"/>
      <c r="EW35" s="181"/>
      <c r="EX35" s="181"/>
      <c r="EY35" s="181"/>
      <c r="EZ35" s="181"/>
      <c r="FA35" s="181"/>
      <c r="FB35" s="181"/>
      <c r="FC35" s="181"/>
      <c r="FD35" s="181"/>
      <c r="FE35" s="181"/>
      <c r="FF35" s="181"/>
      <c r="FG35" s="181"/>
      <c r="FH35" s="181"/>
      <c r="FI35" s="181"/>
      <c r="FJ35" s="181"/>
      <c r="FK35" s="181"/>
      <c r="FL35" s="181"/>
      <c r="FM35" s="181"/>
      <c r="FN35" s="181"/>
      <c r="FO35" s="181"/>
      <c r="FP35" s="181"/>
      <c r="FQ35" s="181"/>
      <c r="FR35" s="181"/>
      <c r="FS35" s="181"/>
      <c r="FT35" s="181"/>
      <c r="FU35" s="181"/>
      <c r="FV35" s="181"/>
      <c r="FW35" s="181"/>
      <c r="FX35" s="181"/>
      <c r="FY35" s="181"/>
      <c r="FZ35" s="181"/>
      <c r="GA35" s="181"/>
      <c r="GB35" s="181"/>
      <c r="GC35" s="181"/>
      <c r="GD35" s="181"/>
      <c r="GE35" s="181"/>
      <c r="GF35" s="181"/>
      <c r="JB35" s="175"/>
      <c r="JC35" s="175"/>
      <c r="JD35" s="175"/>
      <c r="JE35" s="175"/>
      <c r="JF35" s="175"/>
      <c r="JG35" s="175"/>
      <c r="JH35" s="175"/>
      <c r="JI35" s="175"/>
      <c r="JJ35" s="175"/>
      <c r="JK35" s="175"/>
      <c r="JL35" s="175"/>
      <c r="JM35" s="175"/>
      <c r="JN35" s="175"/>
      <c r="JO35" s="175"/>
      <c r="JP35" s="175"/>
      <c r="JQ35" s="175"/>
      <c r="JR35" s="175"/>
      <c r="JS35" s="175"/>
      <c r="JT35" s="175"/>
      <c r="JU35" s="175"/>
      <c r="JV35" s="175"/>
      <c r="JW35" s="175"/>
      <c r="JX35" s="175"/>
      <c r="JY35" s="175"/>
      <c r="ON35" s="223" t="s">
        <v>267</v>
      </c>
      <c r="OO35" s="224" t="s">
        <v>268</v>
      </c>
      <c r="OP35" s="224">
        <v>2006</v>
      </c>
      <c r="OQ35" s="224" t="s">
        <v>463</v>
      </c>
      <c r="OR35" s="224">
        <f ca="1">VLOOKUP($OP35,INDIRECT($ON35):INDIRECT($OO35),4,FALSE)</f>
        <v>110.5</v>
      </c>
      <c r="OS35" s="224">
        <f ca="1">VLOOKUP($OP35,INDIRECT($ON35):INDIRECT($OO35),5,FALSE)</f>
        <v>5.5</v>
      </c>
      <c r="OT35" s="224">
        <f ca="1">VLOOKUP($OP35,INDIRECT($ON35):INDIRECT($OO35),6,FALSE)</f>
        <v>5.5</v>
      </c>
    </row>
    <row r="36" spans="1:410" x14ac:dyDescent="0.2">
      <c r="A36" s="175">
        <v>2001</v>
      </c>
      <c r="B36" s="526">
        <v>1415854.3</v>
      </c>
      <c r="C36" s="374" t="str">
        <f ca="1">IF(D36&gt;0,"Tanakpur ("&amp;ROUND(D36/24,1)&amp;" MW)","Tanakpur")</f>
        <v>Tanakpur (35396.2 MW)</v>
      </c>
      <c r="D36" s="527">
        <f ca="1">0.6*IFERROR((B36-INDIRECT("'"&amp;$A$1-1&amp;"'!B36"))*1,0)</f>
        <v>849508.38</v>
      </c>
      <c r="E36" s="375">
        <f t="shared" si="41"/>
        <v>77</v>
      </c>
      <c r="F36" s="376">
        <f t="shared" si="42"/>
        <v>47.2</v>
      </c>
      <c r="G36" s="396">
        <v>8022</v>
      </c>
      <c r="H36" s="416" t="str">
        <f>IF(I36&gt;0,"Dhunge-Jiri_0.6("&amp;ROUND(I36/24,3)&amp;")","Dhunge-Jiri_0.6")</f>
        <v>Dhunge-Jiri_0.6</v>
      </c>
      <c r="I36" s="402"/>
      <c r="J36" s="398">
        <f t="shared" si="15"/>
        <v>0</v>
      </c>
      <c r="K36" s="289">
        <f t="shared" si="15"/>
        <v>0</v>
      </c>
      <c r="L36" s="396">
        <v>8088</v>
      </c>
      <c r="M36" s="392" t="str">
        <f>IF(N36&gt;0,"Sardi Khola_4("&amp;ROUND(N36/24,3)&amp;")","Sardi Khola_4")</f>
        <v>Sardi Khola_4</v>
      </c>
      <c r="N36" s="528"/>
      <c r="O36" s="398">
        <f t="shared" si="43"/>
        <v>0</v>
      </c>
      <c r="P36" s="289">
        <f t="shared" si="43"/>
        <v>0</v>
      </c>
      <c r="Q36" s="379"/>
      <c r="R36" s="308"/>
      <c r="S36" s="287" t="s">
        <v>464</v>
      </c>
      <c r="T36" s="529">
        <f>MAX(T11:T34)</f>
        <v>5.5</v>
      </c>
      <c r="U36" s="529">
        <f>MAX(U11:U34)</f>
        <v>0</v>
      </c>
      <c r="V36" s="529">
        <f>MAX(V11:V34)*0.9*1.732*33/1000</f>
        <v>0</v>
      </c>
      <c r="W36" s="529">
        <f>MAX(W11:W34)*0.9*1.732*33/1000</f>
        <v>6.2757287999999996</v>
      </c>
      <c r="X36" s="529">
        <f>MAX(X11:X34)*0.9*1.732*33/1000</f>
        <v>0</v>
      </c>
      <c r="Y36" s="529">
        <f>MAX(Y11:Y34)*0.9*1.732*33/1000</f>
        <v>0</v>
      </c>
      <c r="Z36" s="530">
        <f>MAX(Z11:Z34)*0.9*1.732*33/1000</f>
        <v>0</v>
      </c>
      <c r="AA36" s="531">
        <f>MAX(AA11:AA34)</f>
        <v>0</v>
      </c>
      <c r="AB36" s="532">
        <f>MAX(AB11:AB34)</f>
        <v>0</v>
      </c>
      <c r="AD36" s="340">
        <v>153.1</v>
      </c>
      <c r="AE36" s="340">
        <v>46.5</v>
      </c>
      <c r="AG36" s="175">
        <v>8034</v>
      </c>
      <c r="AH36" s="254" t="s">
        <v>43</v>
      </c>
      <c r="AI36" s="380">
        <v>12</v>
      </c>
      <c r="AJ36" s="380">
        <v>12</v>
      </c>
      <c r="AK36" s="255">
        <v>12</v>
      </c>
      <c r="AN36" s="256"/>
      <c r="AO36" s="257">
        <v>0.75616666666666665</v>
      </c>
      <c r="AZ36" s="293" t="s">
        <v>342</v>
      </c>
      <c r="BA36" s="294">
        <f ca="1">VLOOKUP(BA$33,$OP$2:$OT$300,4,FALSE)</f>
        <v>328.4</v>
      </c>
      <c r="BB36" s="294">
        <f t="shared" ref="BB36:BJ36" ca="1" si="45">VLOOKUP(BB$33,$OP$2:$OT$300,4,FALSE)</f>
        <v>0</v>
      </c>
      <c r="BC36" s="294">
        <f t="shared" ca="1" si="45"/>
        <v>77</v>
      </c>
      <c r="BD36" s="294">
        <f t="shared" ca="1" si="45"/>
        <v>52</v>
      </c>
      <c r="BE36" s="294">
        <f t="shared" ca="1" si="45"/>
        <v>58.6</v>
      </c>
      <c r="BF36" s="294">
        <f t="shared" ca="1" si="45"/>
        <v>0</v>
      </c>
      <c r="BG36" s="294">
        <f t="shared" ca="1" si="45"/>
        <v>6.2757287999999996</v>
      </c>
      <c r="BH36" s="294">
        <f t="shared" ca="1" si="45"/>
        <v>5.5</v>
      </c>
      <c r="BI36" s="294">
        <f t="shared" ca="1" si="45"/>
        <v>0</v>
      </c>
      <c r="BJ36" s="294">
        <f t="shared" ca="1" si="45"/>
        <v>0</v>
      </c>
      <c r="BK36" s="263">
        <f ca="1">SUM(BA36:BJ36)</f>
        <v>527.77572880000002</v>
      </c>
      <c r="BL36" s="533"/>
      <c r="BM36" s="293" t="s">
        <v>342</v>
      </c>
      <c r="BN36" s="294">
        <f ca="1">VLOOKUP(BN$33,$OP$2:$OT$300,4,FALSE)</f>
        <v>335</v>
      </c>
      <c r="BO36" s="294">
        <f ca="1">VLOOKUP(BO$33,$OP$2:$OT$300,4,FALSE)</f>
        <v>41</v>
      </c>
      <c r="BP36" s="294">
        <f ca="1">VLOOKUP(BP$33,$OP$2:$OT$300,4,FALSE)</f>
        <v>19.100000000000001</v>
      </c>
      <c r="BQ36" s="344">
        <f ca="1">SUM(BN36:BP36)</f>
        <v>395.1</v>
      </c>
      <c r="BR36" s="515"/>
      <c r="BS36" s="714"/>
      <c r="BT36" s="343" t="s">
        <v>427</v>
      </c>
      <c r="BU36" s="484"/>
      <c r="BV36" s="525"/>
      <c r="BW36" s="188"/>
      <c r="BX36" s="181"/>
      <c r="BY36" s="188"/>
      <c r="BZ36" s="188"/>
      <c r="CA36" s="188"/>
      <c r="CB36" s="188"/>
      <c r="CC36" s="188"/>
      <c r="CD36" s="188"/>
      <c r="CE36" s="188"/>
      <c r="CF36" s="188"/>
      <c r="CG36" s="188"/>
      <c r="CH36" s="188"/>
      <c r="CI36" s="188"/>
      <c r="CJ36" s="188"/>
      <c r="CK36" s="188"/>
      <c r="CL36" s="187"/>
      <c r="CM36" s="187"/>
      <c r="CN36" s="187"/>
      <c r="CO36" s="187"/>
      <c r="CP36" s="181"/>
      <c r="CQ36" s="181"/>
      <c r="CR36" s="181"/>
      <c r="CS36" s="181"/>
      <c r="CT36" s="181"/>
      <c r="CU36" s="181"/>
      <c r="CV36" s="181"/>
      <c r="CW36" s="181"/>
      <c r="CX36" s="181"/>
      <c r="CY36" s="181"/>
      <c r="CZ36" s="181"/>
      <c r="DA36" s="181"/>
      <c r="DB36" s="181"/>
      <c r="DC36" s="181"/>
      <c r="DD36" s="181"/>
      <c r="DE36" s="181"/>
      <c r="DF36" s="181"/>
      <c r="DG36" s="181"/>
      <c r="DH36" s="181"/>
      <c r="DI36" s="181"/>
      <c r="DJ36" s="181"/>
      <c r="DK36" s="181"/>
      <c r="DL36" s="181"/>
      <c r="DM36" s="181"/>
      <c r="DN36" s="181"/>
      <c r="DO36" s="181"/>
      <c r="DP36" s="181"/>
      <c r="DQ36" s="181"/>
      <c r="DR36" s="181"/>
      <c r="DS36" s="181"/>
      <c r="DT36" s="181"/>
      <c r="DU36" s="181"/>
      <c r="DV36" s="181"/>
      <c r="DW36" s="187"/>
      <c r="DX36" s="181"/>
      <c r="DY36" s="181"/>
      <c r="DZ36" s="181"/>
      <c r="EA36" s="181"/>
      <c r="EB36" s="181"/>
      <c r="EC36" s="181"/>
      <c r="ED36" s="181"/>
      <c r="EE36" s="181"/>
      <c r="EF36" s="181"/>
      <c r="EG36" s="189"/>
      <c r="EH36" s="181"/>
      <c r="EI36" s="181"/>
      <c r="EJ36" s="181"/>
      <c r="EK36" s="181"/>
      <c r="EL36" s="181"/>
      <c r="EM36" s="181"/>
      <c r="EN36" s="181"/>
      <c r="EO36" s="181"/>
      <c r="EP36" s="181"/>
      <c r="EQ36" s="181"/>
      <c r="ER36" s="181"/>
      <c r="ES36" s="181"/>
      <c r="ET36" s="181"/>
      <c r="EU36" s="181"/>
      <c r="EV36" s="181"/>
      <c r="EW36" s="181"/>
      <c r="EX36" s="181"/>
      <c r="EY36" s="181"/>
      <c r="EZ36" s="181"/>
      <c r="FA36" s="181"/>
      <c r="FB36" s="181"/>
      <c r="FC36" s="181"/>
      <c r="FD36" s="181"/>
      <c r="FE36" s="181"/>
      <c r="FF36" s="181"/>
      <c r="FG36" s="181"/>
      <c r="FH36" s="181"/>
      <c r="FI36" s="181"/>
      <c r="FJ36" s="181"/>
      <c r="FK36" s="181"/>
      <c r="FL36" s="181"/>
      <c r="FM36" s="181"/>
      <c r="FN36" s="181"/>
      <c r="FO36" s="181"/>
      <c r="FP36" s="181"/>
      <c r="FQ36" s="181"/>
      <c r="FR36" s="181"/>
      <c r="FS36" s="181"/>
      <c r="FT36" s="181"/>
      <c r="FU36" s="181"/>
      <c r="FV36" s="181"/>
      <c r="FW36" s="181"/>
      <c r="FX36" s="181"/>
      <c r="FY36" s="181"/>
      <c r="FZ36" s="181"/>
      <c r="GA36" s="181"/>
      <c r="GB36" s="181"/>
      <c r="GC36" s="181"/>
      <c r="GD36" s="181"/>
      <c r="GE36" s="181"/>
      <c r="GF36" s="181"/>
      <c r="JB36" s="175"/>
      <c r="JC36" s="175"/>
      <c r="JD36" s="175"/>
      <c r="JE36" s="175"/>
      <c r="JF36" s="175"/>
      <c r="JG36" s="175"/>
      <c r="JH36" s="175"/>
      <c r="JI36" s="175"/>
      <c r="JJ36" s="175"/>
      <c r="JK36" s="175"/>
      <c r="JL36" s="175"/>
      <c r="JM36" s="175"/>
      <c r="JN36" s="175"/>
      <c r="JO36" s="175"/>
      <c r="JP36" s="175"/>
      <c r="JQ36" s="175"/>
      <c r="JR36" s="175"/>
      <c r="JS36" s="175"/>
      <c r="JT36" s="175"/>
      <c r="JU36" s="175"/>
      <c r="JV36" s="175"/>
      <c r="JW36" s="175"/>
      <c r="JX36" s="175"/>
      <c r="JY36" s="175"/>
      <c r="ON36" s="223" t="s">
        <v>267</v>
      </c>
      <c r="OO36" s="224" t="s">
        <v>268</v>
      </c>
      <c r="OP36" s="224">
        <v>2007</v>
      </c>
      <c r="OQ36" s="224" t="s">
        <v>465</v>
      </c>
      <c r="OR36" s="224">
        <f ca="1">VLOOKUP($OP36,INDIRECT($ON36):INDIRECT($OO36),4,FALSE)</f>
        <v>0</v>
      </c>
      <c r="OS36" s="224">
        <f ca="1">VLOOKUP($OP36,INDIRECT($ON36):INDIRECT($OO36),5,FALSE)</f>
        <v>0</v>
      </c>
      <c r="OT36" s="224">
        <f ca="1">VLOOKUP($OP36,INDIRECT($ON36):INDIRECT($OO36),6,FALSE)</f>
        <v>0</v>
      </c>
    </row>
    <row r="37" spans="1:410" ht="15.75" thickBot="1" x14ac:dyDescent="0.25">
      <c r="A37" s="175">
        <v>2002</v>
      </c>
      <c r="B37" s="534"/>
      <c r="C37" s="392" t="str">
        <f ca="1">IFERROR(IF(D37&gt;0,"Kataiya ("&amp;ROUND(D37/24,1)&amp;" MW)","Kataiya"),"Kataiya")</f>
        <v>Kataiya</v>
      </c>
      <c r="D37" s="535">
        <f ca="1">F60</f>
        <v>-8.4</v>
      </c>
      <c r="E37" s="394">
        <f t="shared" si="41"/>
        <v>0</v>
      </c>
      <c r="F37" s="395">
        <f t="shared" si="42"/>
        <v>0</v>
      </c>
      <c r="G37" s="396">
        <v>8131</v>
      </c>
      <c r="H37" s="392" t="str">
        <f>IF(I37&gt;0,"Dordi_27("&amp;ROUND(I37/24,3)&amp;")","Dordi_27")</f>
        <v>Dordi_27(8.49)</v>
      </c>
      <c r="I37" s="397">
        <v>203.76</v>
      </c>
      <c r="J37" s="398">
        <f>VLOOKUP($G37,$AG$6:$AK$106,3,FALSE)</f>
        <v>13</v>
      </c>
      <c r="K37" s="289">
        <f>VLOOKUP($G37,$AG$6:$AK$106,5,FALSE)</f>
        <v>13</v>
      </c>
      <c r="L37" s="396">
        <v>8089</v>
      </c>
      <c r="M37" s="416" t="str">
        <f>IF(N37&gt;0,"Seti-II_0.979("&amp;ROUND(N37/24,3)&amp;")","Seti-II_0.979")</f>
        <v>Seti-II_0.979</v>
      </c>
      <c r="N37" s="397"/>
      <c r="O37" s="398">
        <f t="shared" si="43"/>
        <v>0</v>
      </c>
      <c r="P37" s="289">
        <f t="shared" si="43"/>
        <v>0</v>
      </c>
      <c r="Q37" s="379"/>
      <c r="R37" s="308"/>
      <c r="S37" s="303" t="s">
        <v>466</v>
      </c>
      <c r="T37" s="536">
        <f>MAX(T28:T31)</f>
        <v>5.5</v>
      </c>
      <c r="U37" s="536">
        <f>MAX(U27:U31)</f>
        <v>0</v>
      </c>
      <c r="V37" s="536">
        <f>MAX(V27:V31)*0.9*1.732*33/1000</f>
        <v>0</v>
      </c>
      <c r="W37" s="536">
        <f>MAX(W27:W31)*0.9*1.732*33/1000</f>
        <v>6.2757287999999996</v>
      </c>
      <c r="X37" s="536">
        <f>MAX(X27:X31)*0.9*1.732*33/1000</f>
        <v>0</v>
      </c>
      <c r="Y37" s="536">
        <f>MAX(Y27:Y31)*0.9*1.732*33/1000</f>
        <v>0</v>
      </c>
      <c r="Z37" s="537">
        <f>MAX(Z27:Z31)*0.9*1.732*33/1000</f>
        <v>0</v>
      </c>
      <c r="AA37" s="538">
        <f>MAX(AA27:AA31)</f>
        <v>0</v>
      </c>
      <c r="AB37" s="539">
        <f>MAX(AB27:AB31)</f>
        <v>0</v>
      </c>
      <c r="AD37" s="340">
        <v>206</v>
      </c>
      <c r="AE37" s="340">
        <v>46.5</v>
      </c>
      <c r="AG37" s="175">
        <v>8118</v>
      </c>
      <c r="AH37" s="254" t="s">
        <v>44</v>
      </c>
      <c r="AI37" s="380">
        <v>7</v>
      </c>
      <c r="AJ37" s="380">
        <v>7</v>
      </c>
      <c r="AK37" s="255">
        <v>7</v>
      </c>
      <c r="AN37" s="256"/>
      <c r="AO37" s="257">
        <v>0.60333333333333339</v>
      </c>
      <c r="AZ37" s="293" t="s">
        <v>467</v>
      </c>
      <c r="BA37" s="294">
        <f ca="1">VLOOKUP(BA$33,$OP$2:$OT$300,5,FALSE)</f>
        <v>153</v>
      </c>
      <c r="BB37" s="294">
        <f t="shared" ref="BB37:BJ37" ca="1" si="46">VLOOKUP(BB$33,$OP$2:$OT$300,5,FALSE)</f>
        <v>0</v>
      </c>
      <c r="BC37" s="294">
        <f t="shared" ca="1" si="46"/>
        <v>47.2</v>
      </c>
      <c r="BD37" s="294">
        <f t="shared" ca="1" si="46"/>
        <v>14</v>
      </c>
      <c r="BE37" s="294">
        <f t="shared" ca="1" si="46"/>
        <v>39</v>
      </c>
      <c r="BF37" s="294">
        <f t="shared" ca="1" si="46"/>
        <v>0</v>
      </c>
      <c r="BG37" s="294">
        <f t="shared" ca="1" si="46"/>
        <v>6.2757287999999996</v>
      </c>
      <c r="BH37" s="294">
        <f t="shared" ca="1" si="46"/>
        <v>5.5</v>
      </c>
      <c r="BI37" s="294">
        <f t="shared" ca="1" si="46"/>
        <v>0</v>
      </c>
      <c r="BJ37" s="294">
        <f t="shared" ca="1" si="46"/>
        <v>0</v>
      </c>
      <c r="BK37" s="263">
        <f ca="1">SUM(BA37:BJ37)</f>
        <v>264.97572880000001</v>
      </c>
      <c r="BL37" s="533"/>
      <c r="BM37" s="332" t="s">
        <v>352</v>
      </c>
      <c r="BN37" s="294">
        <f ca="1">VLOOKUP(BN$33,$OP$2:$OT$300,5,FALSE)</f>
        <v>230</v>
      </c>
      <c r="BO37" s="294">
        <f ca="1">VLOOKUP(BO$33,$OP$2:$OT$300,5,FALSE)</f>
        <v>41</v>
      </c>
      <c r="BP37" s="294">
        <f ca="1">VLOOKUP(BP$33,$OP$2:$OT$300,5,FALSE)</f>
        <v>11.3</v>
      </c>
      <c r="BQ37" s="344">
        <f ca="1">SUM(BN37:BP37)</f>
        <v>282.3</v>
      </c>
      <c r="BR37" s="515"/>
      <c r="BS37" s="714"/>
      <c r="BT37" s="487" t="s">
        <v>429</v>
      </c>
      <c r="BU37" s="540"/>
      <c r="BV37" s="541"/>
      <c r="BW37" s="188"/>
      <c r="BX37" s="181"/>
      <c r="BY37" s="188"/>
      <c r="BZ37" s="188"/>
      <c r="CA37" s="188"/>
      <c r="CB37" s="188"/>
      <c r="CC37" s="188"/>
      <c r="CD37" s="188"/>
      <c r="CE37" s="188"/>
      <c r="CF37" s="188"/>
      <c r="CG37" s="188"/>
      <c r="CH37" s="188"/>
      <c r="CI37" s="188"/>
      <c r="CJ37" s="188"/>
      <c r="CK37" s="188"/>
      <c r="CL37" s="187"/>
      <c r="CM37" s="187"/>
      <c r="CN37" s="187"/>
      <c r="CO37" s="187"/>
      <c r="CP37" s="181"/>
      <c r="CQ37" s="181"/>
      <c r="CR37" s="181"/>
      <c r="CS37" s="181"/>
      <c r="CT37" s="181"/>
      <c r="CU37" s="181"/>
      <c r="CV37" s="181"/>
      <c r="CW37" s="181"/>
      <c r="CX37" s="181"/>
      <c r="CY37" s="181"/>
      <c r="CZ37" s="181"/>
      <c r="DA37" s="181"/>
      <c r="DB37" s="181"/>
      <c r="DC37" s="181"/>
      <c r="DD37" s="181"/>
      <c r="DE37" s="181"/>
      <c r="DF37" s="181"/>
      <c r="DG37" s="181"/>
      <c r="DH37" s="181"/>
      <c r="DI37" s="181"/>
      <c r="DJ37" s="181"/>
      <c r="DK37" s="181"/>
      <c r="DL37" s="181"/>
      <c r="DM37" s="181"/>
      <c r="DN37" s="181"/>
      <c r="DO37" s="181"/>
      <c r="DP37" s="181"/>
      <c r="DQ37" s="181"/>
      <c r="DR37" s="181"/>
      <c r="DS37" s="181"/>
      <c r="DT37" s="181"/>
      <c r="DU37" s="181"/>
      <c r="DV37" s="181"/>
      <c r="DW37" s="187"/>
      <c r="DX37" s="181"/>
      <c r="DY37" s="181"/>
      <c r="DZ37" s="181"/>
      <c r="EA37" s="181"/>
      <c r="EB37" s="181"/>
      <c r="EC37" s="181"/>
      <c r="ED37" s="181"/>
      <c r="EE37" s="181"/>
      <c r="EF37" s="181"/>
      <c r="EG37" s="189"/>
      <c r="EH37" s="181"/>
      <c r="EI37" s="181"/>
      <c r="EJ37" s="181"/>
      <c r="EK37" s="181"/>
      <c r="EL37" s="181"/>
      <c r="EM37" s="181"/>
      <c r="EN37" s="181"/>
      <c r="EO37" s="181"/>
      <c r="EP37" s="181"/>
      <c r="EQ37" s="181"/>
      <c r="ER37" s="181"/>
      <c r="ES37" s="181"/>
      <c r="ET37" s="181"/>
      <c r="EU37" s="181"/>
      <c r="EV37" s="181"/>
      <c r="EW37" s="181"/>
      <c r="EX37" s="181"/>
      <c r="EY37" s="181"/>
      <c r="EZ37" s="181"/>
      <c r="FA37" s="181"/>
      <c r="FB37" s="181"/>
      <c r="FC37" s="181"/>
      <c r="FD37" s="181"/>
      <c r="FE37" s="181"/>
      <c r="FF37" s="181"/>
      <c r="FG37" s="181"/>
      <c r="FH37" s="181"/>
      <c r="FI37" s="181"/>
      <c r="FJ37" s="181"/>
      <c r="FK37" s="181"/>
      <c r="FL37" s="181"/>
      <c r="FM37" s="181"/>
      <c r="FN37" s="181"/>
      <c r="FO37" s="181"/>
      <c r="FP37" s="181"/>
      <c r="FQ37" s="181"/>
      <c r="FR37" s="181"/>
      <c r="FS37" s="181"/>
      <c r="FT37" s="181"/>
      <c r="FU37" s="181"/>
      <c r="FV37" s="181"/>
      <c r="FW37" s="181"/>
      <c r="FX37" s="181"/>
      <c r="FY37" s="181"/>
      <c r="FZ37" s="181"/>
      <c r="GA37" s="181"/>
      <c r="GB37" s="181"/>
      <c r="GC37" s="181"/>
      <c r="GD37" s="181"/>
      <c r="GE37" s="181"/>
      <c r="GF37" s="181"/>
      <c r="JB37" s="175"/>
      <c r="JC37" s="175"/>
      <c r="JD37" s="175"/>
      <c r="JE37" s="175"/>
      <c r="JF37" s="175"/>
      <c r="JG37" s="175"/>
      <c r="JH37" s="175"/>
      <c r="JI37" s="175"/>
      <c r="JJ37" s="175"/>
      <c r="JK37" s="175"/>
      <c r="JL37" s="175"/>
      <c r="JM37" s="175"/>
      <c r="JN37" s="175"/>
      <c r="JO37" s="175"/>
      <c r="JP37" s="175"/>
      <c r="JQ37" s="175"/>
      <c r="JR37" s="175"/>
      <c r="JS37" s="175"/>
      <c r="JT37" s="175"/>
      <c r="JU37" s="175"/>
      <c r="JV37" s="175"/>
      <c r="JW37" s="175"/>
      <c r="JX37" s="175"/>
      <c r="JY37" s="175"/>
      <c r="ON37" s="223" t="s">
        <v>267</v>
      </c>
      <c r="OO37" s="224" t="s">
        <v>268</v>
      </c>
      <c r="OP37" s="224">
        <v>2008</v>
      </c>
      <c r="OQ37" s="224" t="s">
        <v>468</v>
      </c>
      <c r="OR37" s="224">
        <f ca="1">VLOOKUP($OP37,INDIRECT($ON37):INDIRECT($OO37),4,FALSE)</f>
        <v>87.397239600000006</v>
      </c>
      <c r="OS37" s="224">
        <f ca="1">VLOOKUP($OP37,INDIRECT($ON37):INDIRECT($OO37),5,FALSE)</f>
        <v>6.2757287999999996</v>
      </c>
      <c r="OT37" s="224">
        <f ca="1">VLOOKUP($OP37,INDIRECT($ON37):INDIRECT($OO37),6,FALSE)</f>
        <v>6.2757287999999996</v>
      </c>
    </row>
    <row r="38" spans="1:410" ht="15.75" thickBot="1" x14ac:dyDescent="0.25">
      <c r="A38" s="175">
        <v>2003</v>
      </c>
      <c r="B38" s="534"/>
      <c r="C38" s="392" t="str">
        <f>IF(D38&gt;0,"Muzaffpur ("&amp;ROUND(D38/24,1)&amp;" MW)","Muzaffarpur")</f>
        <v>Muzaffpur (216.1 MW)</v>
      </c>
      <c r="D38" s="542">
        <f>(2.591+2.5961)*1000</f>
        <v>5187.1000000000004</v>
      </c>
      <c r="E38" s="394">
        <f t="shared" si="41"/>
        <v>328.4</v>
      </c>
      <c r="F38" s="395">
        <f t="shared" si="42"/>
        <v>153</v>
      </c>
      <c r="G38" s="396">
        <v>8132</v>
      </c>
      <c r="H38" s="392" t="str">
        <f>IF(I38&gt;0,"Dordi_12("&amp;ROUND(I38/24,3)&amp;")","Dordi_12")</f>
        <v>Dordi_12(3.313)</v>
      </c>
      <c r="I38" s="397">
        <v>79.510000000000005</v>
      </c>
      <c r="J38" s="398">
        <f>VLOOKUP($G38,$AG$6:$AK$106,3,FALSE)</f>
        <v>7</v>
      </c>
      <c r="K38" s="289">
        <f>VLOOKUP($G38,$AG$6:$AK$106,5,FALSE)</f>
        <v>7</v>
      </c>
      <c r="L38" s="396">
        <v>8090</v>
      </c>
      <c r="M38" s="392" t="str">
        <f>IF(N38&gt;0,"Sikless/Madkyu Khola_13("&amp;ROUND(N38/24,3)&amp;")","Sikless/Madkyu Khola_13")</f>
        <v>Sikless/Madkyu Khola_13(3.191)</v>
      </c>
      <c r="N38" s="495">
        <v>76.58</v>
      </c>
      <c r="O38" s="398">
        <f>VLOOKUP($L38,$AG$6:$AK$106,3,FALSE)</f>
        <v>5</v>
      </c>
      <c r="P38" s="289">
        <f>VLOOKUP($L38,$AG$6:$AK$106,5,FALSE)</f>
        <v>5</v>
      </c>
      <c r="Q38" s="379"/>
      <c r="R38" s="308"/>
      <c r="U38" s="349"/>
      <c r="V38" s="349"/>
      <c r="W38" s="349"/>
      <c r="X38" s="349"/>
      <c r="Y38" s="349"/>
      <c r="Z38" s="349"/>
      <c r="AD38" s="340">
        <v>266</v>
      </c>
      <c r="AE38" s="340">
        <v>46.5</v>
      </c>
      <c r="AG38" s="175">
        <v>8123</v>
      </c>
      <c r="AH38" s="254" t="s">
        <v>45</v>
      </c>
      <c r="AI38" s="380">
        <v>6</v>
      </c>
      <c r="AJ38" s="380">
        <v>6</v>
      </c>
      <c r="AK38" s="255">
        <v>6</v>
      </c>
      <c r="AN38" s="256"/>
      <c r="AO38" s="257">
        <v>0.23875000000000002</v>
      </c>
      <c r="AZ38" s="332" t="s">
        <v>362</v>
      </c>
      <c r="BA38" s="356"/>
      <c r="BB38" s="356"/>
      <c r="BC38" s="356"/>
      <c r="BD38" s="356"/>
      <c r="BE38" s="356"/>
      <c r="BF38" s="356"/>
      <c r="BG38" s="356"/>
      <c r="BH38" s="356"/>
      <c r="BI38" s="356"/>
      <c r="BJ38" s="356"/>
      <c r="BK38" s="418"/>
      <c r="BL38" s="187"/>
      <c r="BM38" s="293" t="s">
        <v>358</v>
      </c>
      <c r="BN38" s="343">
        <f ca="1">IF(BN36=0," - ",(BN35/(BN36*24)))</f>
        <v>0.26903482587064675</v>
      </c>
      <c r="BO38" s="343">
        <f ca="1">IF(BO36=0," - ",(BO35/(BO36*24)))</f>
        <v>0.81820121951219515</v>
      </c>
      <c r="BP38" s="343">
        <f ca="1">IF(BP36=0," - ",(BP35/(BP36*24)))</f>
        <v>0.65911867364746934</v>
      </c>
      <c r="BQ38" s="344">
        <f ca="1">IF(BQ36=0," - ",(BQ35/(BQ36*24)))</f>
        <v>0.34487998818864418</v>
      </c>
      <c r="BR38" s="188"/>
      <c r="BS38" s="714"/>
      <c r="BT38" s="491" t="s">
        <v>248</v>
      </c>
      <c r="BU38" s="543"/>
      <c r="BV38" s="544"/>
      <c r="BW38" s="188"/>
      <c r="BX38" s="181"/>
      <c r="BY38" s="545"/>
      <c r="BZ38" s="188"/>
      <c r="CA38" s="188"/>
      <c r="CB38" s="181"/>
      <c r="CC38" s="188"/>
      <c r="CD38" s="188"/>
      <c r="CE38" s="188"/>
      <c r="CF38" s="188"/>
      <c r="CG38" s="188"/>
      <c r="CH38" s="188"/>
      <c r="CI38" s="188"/>
      <c r="CJ38" s="188"/>
      <c r="CK38" s="188"/>
      <c r="CL38" s="188"/>
      <c r="CM38" s="188"/>
      <c r="CN38" s="188"/>
      <c r="CO38" s="188"/>
      <c r="CP38" s="187"/>
      <c r="CQ38" s="187"/>
      <c r="CR38" s="187"/>
      <c r="CS38" s="187"/>
      <c r="CT38" s="181"/>
      <c r="CU38" s="181"/>
      <c r="CV38" s="181"/>
      <c r="CW38" s="181"/>
      <c r="CX38" s="181"/>
      <c r="CY38" s="181"/>
      <c r="CZ38" s="181"/>
      <c r="DA38" s="181"/>
      <c r="DB38" s="181"/>
      <c r="DC38" s="181"/>
      <c r="DD38" s="181"/>
      <c r="DE38" s="181"/>
      <c r="DF38" s="181"/>
      <c r="DG38" s="181"/>
      <c r="DH38" s="181"/>
      <c r="DI38" s="181"/>
      <c r="DJ38" s="181"/>
      <c r="DK38" s="181"/>
      <c r="DL38" s="181"/>
      <c r="DM38" s="181"/>
      <c r="DN38" s="181"/>
      <c r="DO38" s="181"/>
      <c r="DP38" s="181"/>
      <c r="DQ38" s="181"/>
      <c r="DR38" s="181"/>
      <c r="DS38" s="181"/>
      <c r="DT38" s="181"/>
      <c r="DU38" s="181"/>
      <c r="DV38" s="181"/>
      <c r="DW38" s="181"/>
      <c r="DX38" s="181"/>
      <c r="DY38" s="181"/>
      <c r="DZ38" s="181"/>
      <c r="EA38" s="187"/>
      <c r="EB38" s="181"/>
      <c r="EC38" s="181"/>
      <c r="ED38" s="181"/>
      <c r="EE38" s="181"/>
      <c r="EF38" s="181"/>
      <c r="EG38" s="181"/>
      <c r="EH38" s="181"/>
      <c r="EI38" s="181"/>
      <c r="EJ38" s="181"/>
      <c r="EK38" s="189"/>
      <c r="EL38" s="181"/>
      <c r="EM38" s="181"/>
      <c r="EN38" s="181"/>
      <c r="EO38" s="181"/>
      <c r="EP38" s="181"/>
      <c r="EQ38" s="181"/>
      <c r="ER38" s="181"/>
      <c r="ES38" s="181"/>
      <c r="ET38" s="181"/>
      <c r="EU38" s="181"/>
      <c r="EV38" s="181"/>
      <c r="EW38" s="181"/>
      <c r="EX38" s="181"/>
      <c r="EY38" s="181"/>
      <c r="EZ38" s="181"/>
      <c r="FA38" s="181"/>
      <c r="FB38" s="181"/>
      <c r="FC38" s="181"/>
      <c r="FD38" s="181"/>
      <c r="FE38" s="181"/>
      <c r="FF38" s="181"/>
      <c r="FG38" s="181"/>
      <c r="FH38" s="181"/>
      <c r="FI38" s="181"/>
      <c r="FJ38" s="181"/>
      <c r="FK38" s="181"/>
      <c r="FL38" s="181"/>
      <c r="FM38" s="181"/>
      <c r="FN38" s="181"/>
      <c r="FO38" s="181"/>
      <c r="FP38" s="181"/>
      <c r="FQ38" s="181"/>
      <c r="FR38" s="181"/>
      <c r="FS38" s="181"/>
      <c r="FT38" s="181"/>
      <c r="FU38" s="181"/>
      <c r="FV38" s="181"/>
      <c r="FW38" s="181"/>
      <c r="FX38" s="181"/>
      <c r="FY38" s="181"/>
      <c r="FZ38" s="181"/>
      <c r="GA38" s="181"/>
      <c r="GB38" s="181"/>
      <c r="GC38" s="181"/>
      <c r="GD38" s="181"/>
      <c r="GE38" s="181"/>
      <c r="GF38" s="181"/>
      <c r="JB38" s="175"/>
      <c r="JC38" s="175"/>
      <c r="JD38" s="175"/>
      <c r="JE38" s="175"/>
      <c r="JF38" s="175"/>
      <c r="JG38" s="175"/>
      <c r="JH38" s="175"/>
      <c r="JI38" s="175"/>
      <c r="JJ38" s="175"/>
      <c r="JK38" s="175"/>
      <c r="JL38" s="175"/>
      <c r="JM38" s="175"/>
      <c r="JN38" s="175"/>
      <c r="JO38" s="175"/>
      <c r="JP38" s="175"/>
      <c r="JQ38" s="175"/>
      <c r="JR38" s="175"/>
      <c r="JS38" s="175"/>
      <c r="JT38" s="175"/>
      <c r="JU38" s="175"/>
      <c r="JV38" s="175"/>
      <c r="JW38" s="175"/>
      <c r="JX38" s="175"/>
      <c r="JY38" s="175"/>
      <c r="ON38" s="223" t="s">
        <v>267</v>
      </c>
      <c r="OO38" s="224" t="s">
        <v>268</v>
      </c>
      <c r="OP38" s="224">
        <v>2009</v>
      </c>
      <c r="OQ38" s="224" t="s">
        <v>469</v>
      </c>
      <c r="OR38" s="224">
        <f ca="1">VLOOKUP($OP38,INDIRECT($ON38):INDIRECT($OO38),4,FALSE)</f>
        <v>0</v>
      </c>
      <c r="OS38" s="224">
        <f ca="1">VLOOKUP($OP38,INDIRECT($ON38):INDIRECT($OO38),5,FALSE)</f>
        <v>0</v>
      </c>
      <c r="OT38" s="224">
        <f ca="1">VLOOKUP($OP38,INDIRECT($ON38):INDIRECT($OO38),6,FALSE)</f>
        <v>0</v>
      </c>
    </row>
    <row r="39" spans="1:410" ht="15.75" thickBot="1" x14ac:dyDescent="0.25">
      <c r="A39" s="175">
        <v>2004</v>
      </c>
      <c r="B39" s="534"/>
      <c r="C39" s="392" t="str">
        <f>IF(D39&gt;0,"Ramnagar ("&amp;ROUND(D39/24,1)&amp;" MW)","Ramnagar")</f>
        <v>Ramnagar (42.7 MW)</v>
      </c>
      <c r="D39" s="546">
        <v>1024.6079999999999</v>
      </c>
      <c r="E39" s="394">
        <f t="shared" si="41"/>
        <v>58.6</v>
      </c>
      <c r="F39" s="395">
        <f t="shared" si="42"/>
        <v>39</v>
      </c>
      <c r="G39" s="396">
        <v>8023</v>
      </c>
      <c r="H39" s="416" t="str">
        <f>IF(I39&gt;0,"Dwari Khola_3.75("&amp;ROUND(I39/24,3)&amp;")","Dwari Khola_3.75")</f>
        <v>Dwari Khola_3.75</v>
      </c>
      <c r="I39" s="397"/>
      <c r="J39" s="398">
        <f t="shared" si="15"/>
        <v>0</v>
      </c>
      <c r="K39" s="289">
        <f t="shared" si="15"/>
        <v>0</v>
      </c>
      <c r="L39" s="396">
        <v>8130</v>
      </c>
      <c r="M39" s="433" t="str">
        <f>IF(N39&gt;0,"Simara Saurya Aayojana_1("&amp;ROUND(N39/24,3)&amp;")","Simara Saurya Aayojana_1")</f>
        <v>Simara Saurya Aayojana_1(0.147)</v>
      </c>
      <c r="N39" s="398">
        <v>3.53</v>
      </c>
      <c r="O39" s="398">
        <f>$N39/24</f>
        <v>0.14708333333333332</v>
      </c>
      <c r="P39" s="289">
        <f>$N39/24</f>
        <v>0.14708333333333332</v>
      </c>
      <c r="Q39" s="379"/>
      <c r="R39" s="547"/>
      <c r="AD39" s="340">
        <v>257</v>
      </c>
      <c r="AE39" s="340">
        <v>46.2</v>
      </c>
      <c r="AG39" s="175">
        <v>8067</v>
      </c>
      <c r="AH39" s="254" t="s">
        <v>46</v>
      </c>
      <c r="AI39" s="380">
        <v>5.2</v>
      </c>
      <c r="AJ39" s="380">
        <v>5.2</v>
      </c>
      <c r="AK39" s="255">
        <v>5.2</v>
      </c>
      <c r="AN39" s="256"/>
      <c r="AO39" s="257">
        <v>0.20250000000000001</v>
      </c>
      <c r="AZ39" s="366" t="s">
        <v>368</v>
      </c>
      <c r="BA39" s="370"/>
      <c r="BB39" s="370"/>
      <c r="BC39" s="370"/>
      <c r="BD39" s="370"/>
      <c r="BE39" s="370"/>
      <c r="BF39" s="370"/>
      <c r="BG39" s="370"/>
      <c r="BH39" s="370"/>
      <c r="BI39" s="370"/>
      <c r="BJ39" s="370"/>
      <c r="BK39" s="370"/>
      <c r="BL39" s="187"/>
      <c r="BM39" s="332" t="s">
        <v>362</v>
      </c>
      <c r="BN39" s="356"/>
      <c r="BO39" s="356"/>
      <c r="BP39" s="356"/>
      <c r="BQ39" s="418"/>
      <c r="BR39" s="188"/>
      <c r="BS39" s="714"/>
      <c r="BT39" s="487" t="s">
        <v>247</v>
      </c>
      <c r="BU39" s="540"/>
      <c r="BV39" s="541"/>
      <c r="BW39" s="188"/>
      <c r="BX39" s="188"/>
      <c r="BY39" s="506"/>
      <c r="BZ39" s="188"/>
      <c r="CA39" s="188"/>
      <c r="CB39" s="181"/>
      <c r="CC39" s="188"/>
      <c r="CD39" s="188"/>
      <c r="CE39" s="188"/>
      <c r="CF39" s="188"/>
      <c r="CG39" s="188"/>
      <c r="CH39" s="188"/>
      <c r="CI39" s="188"/>
      <c r="CJ39" s="188"/>
      <c r="CK39" s="188"/>
      <c r="CL39" s="188"/>
      <c r="CM39" s="188"/>
      <c r="CN39" s="188"/>
      <c r="CO39" s="188"/>
      <c r="CP39" s="187"/>
      <c r="CQ39" s="187"/>
      <c r="CR39" s="187"/>
      <c r="CS39" s="187"/>
      <c r="CT39" s="181"/>
      <c r="CU39" s="181"/>
      <c r="CV39" s="181"/>
      <c r="CW39" s="181"/>
      <c r="CX39" s="181"/>
      <c r="CY39" s="181"/>
      <c r="CZ39" s="181"/>
      <c r="DA39" s="181"/>
      <c r="DB39" s="181"/>
      <c r="DC39" s="181"/>
      <c r="DD39" s="181"/>
      <c r="DE39" s="181"/>
      <c r="DF39" s="181"/>
      <c r="DG39" s="181"/>
      <c r="DH39" s="181"/>
      <c r="DI39" s="181"/>
      <c r="DJ39" s="181"/>
      <c r="DK39" s="181"/>
      <c r="DL39" s="181"/>
      <c r="DM39" s="181"/>
      <c r="DN39" s="181"/>
      <c r="DO39" s="181"/>
      <c r="DP39" s="181"/>
      <c r="DQ39" s="181"/>
      <c r="DR39" s="181"/>
      <c r="DS39" s="181"/>
      <c r="DT39" s="181"/>
      <c r="DU39" s="181"/>
      <c r="DV39" s="181"/>
      <c r="DW39" s="181"/>
      <c r="DX39" s="181"/>
      <c r="DY39" s="181"/>
      <c r="DZ39" s="181"/>
      <c r="EA39" s="187"/>
      <c r="EB39" s="181"/>
      <c r="EC39" s="181"/>
      <c r="ED39" s="181"/>
      <c r="EE39" s="181"/>
      <c r="EF39" s="181"/>
      <c r="EG39" s="181"/>
      <c r="EH39" s="181"/>
      <c r="EI39" s="181"/>
      <c r="EJ39" s="181"/>
      <c r="EK39" s="189"/>
      <c r="EL39" s="181"/>
      <c r="EM39" s="181"/>
      <c r="EN39" s="181"/>
      <c r="EO39" s="181"/>
      <c r="EP39" s="181"/>
      <c r="EQ39" s="181"/>
      <c r="ER39" s="181"/>
      <c r="ES39" s="181"/>
      <c r="ET39" s="181"/>
      <c r="EU39" s="181"/>
      <c r="EV39" s="181"/>
      <c r="EW39" s="181"/>
      <c r="EX39" s="181"/>
      <c r="EY39" s="181"/>
      <c r="EZ39" s="181"/>
      <c r="FA39" s="181"/>
      <c r="FB39" s="181"/>
      <c r="FC39" s="181"/>
      <c r="FD39" s="181"/>
      <c r="FE39" s="181"/>
      <c r="FF39" s="181"/>
      <c r="FG39" s="181"/>
      <c r="FH39" s="181"/>
      <c r="FI39" s="181"/>
      <c r="FJ39" s="181"/>
      <c r="FK39" s="181"/>
      <c r="FL39" s="181"/>
      <c r="FM39" s="181"/>
      <c r="FN39" s="181"/>
      <c r="FO39" s="181"/>
      <c r="FP39" s="181"/>
      <c r="FQ39" s="181"/>
      <c r="FR39" s="181"/>
      <c r="FS39" s="181"/>
      <c r="FT39" s="181"/>
      <c r="FU39" s="181"/>
      <c r="FV39" s="181"/>
      <c r="FW39" s="181"/>
      <c r="FX39" s="181"/>
      <c r="FY39" s="181"/>
      <c r="FZ39" s="181"/>
      <c r="GA39" s="181"/>
      <c r="GB39" s="181"/>
      <c r="GC39" s="181"/>
      <c r="GD39" s="181"/>
      <c r="GE39" s="181"/>
      <c r="GF39" s="181"/>
      <c r="JB39" s="175"/>
      <c r="JC39" s="175"/>
      <c r="JD39" s="175"/>
      <c r="JE39" s="175"/>
      <c r="JF39" s="175"/>
      <c r="JG39" s="175"/>
      <c r="JH39" s="175"/>
      <c r="JI39" s="175"/>
      <c r="JJ39" s="175"/>
      <c r="JK39" s="175"/>
      <c r="JL39" s="175"/>
      <c r="JM39" s="175"/>
      <c r="JN39" s="175"/>
      <c r="JO39" s="175"/>
      <c r="JP39" s="175"/>
      <c r="JQ39" s="175"/>
      <c r="JR39" s="175"/>
      <c r="JS39" s="175"/>
      <c r="JT39" s="175"/>
      <c r="JU39" s="175"/>
      <c r="JV39" s="175"/>
      <c r="JW39" s="175"/>
      <c r="JX39" s="175"/>
      <c r="JY39" s="175"/>
      <c r="ON39" s="223" t="s">
        <v>267</v>
      </c>
      <c r="OO39" s="224" t="s">
        <v>268</v>
      </c>
      <c r="OP39" s="224">
        <v>2010</v>
      </c>
      <c r="OQ39" s="224" t="s">
        <v>470</v>
      </c>
      <c r="OR39" s="224">
        <f ca="1">VLOOKUP($OP39,INDIRECT($ON39):INDIRECT($OO39),4,FALSE)</f>
        <v>0</v>
      </c>
      <c r="OS39" s="224">
        <f ca="1">VLOOKUP($OP39,INDIRECT($ON39):INDIRECT($OO39),5,FALSE)</f>
        <v>0</v>
      </c>
      <c r="OT39" s="224">
        <f ca="1">VLOOKUP($OP39,INDIRECT($ON39):INDIRECT($OO39),6,FALSE)</f>
        <v>0</v>
      </c>
    </row>
    <row r="40" spans="1:410" ht="16.5" thickTop="1" thickBot="1" x14ac:dyDescent="0.25">
      <c r="A40" s="175">
        <v>2005</v>
      </c>
      <c r="B40" s="534"/>
      <c r="C40" s="392" t="str">
        <f>IF(D40&gt;0,"Raxual 132 ("&amp;ROUND(D40/24,1)&amp;" MW)","Raxual 132")</f>
        <v>Raxual 132 (25.5 MW)</v>
      </c>
      <c r="D40" s="546">
        <v>612</v>
      </c>
      <c r="E40" s="394">
        <f t="shared" si="41"/>
        <v>52</v>
      </c>
      <c r="F40" s="395">
        <f t="shared" si="42"/>
        <v>14</v>
      </c>
      <c r="G40" s="396">
        <v>8024</v>
      </c>
      <c r="H40" s="416" t="str">
        <f>IF(I40&gt;0,"Everest Sugar and Chemical Industries Ltd._3("&amp;ROUND(I40/24,3)&amp;")","Everest Sugar and Chemical Industries Ltd._3")</f>
        <v>Everest Sugar and Chemical Industries Ltd._3</v>
      </c>
      <c r="I40" s="495"/>
      <c r="J40" s="398">
        <f t="shared" si="15"/>
        <v>0</v>
      </c>
      <c r="K40" s="289">
        <f t="shared" si="15"/>
        <v>0</v>
      </c>
      <c r="L40" s="396">
        <v>8091</v>
      </c>
      <c r="M40" s="392" t="str">
        <f>IF(N40&gt;0,"Singati Khola_25("&amp;ROUND(N40/24,3)&amp;")","Singati Khola_25")</f>
        <v>Singati Khola_25(7.247)</v>
      </c>
      <c r="N40" s="398">
        <v>173.92</v>
      </c>
      <c r="O40" s="398">
        <f>VLOOKUP($L40,$AG$6:$AK$106,3,FALSE)</f>
        <v>11</v>
      </c>
      <c r="P40" s="289">
        <f>VLOOKUP($L40,$AG$6:$AK$106,5,FALSE)</f>
        <v>11</v>
      </c>
      <c r="Q40" s="379"/>
      <c r="R40" s="308"/>
      <c r="S40" s="700"/>
      <c r="T40" s="700"/>
      <c r="U40" s="700"/>
      <c r="V40" s="700"/>
      <c r="W40" s="700"/>
      <c r="X40" s="700"/>
      <c r="Y40" s="700"/>
      <c r="Z40" s="349"/>
      <c r="AD40" s="340">
        <v>215</v>
      </c>
      <c r="AE40" s="340">
        <v>39</v>
      </c>
      <c r="AG40" s="175">
        <v>8050</v>
      </c>
      <c r="AH40" s="254" t="s">
        <v>47</v>
      </c>
      <c r="AI40" s="380">
        <v>8.5</v>
      </c>
      <c r="AJ40" s="380">
        <v>8.5</v>
      </c>
      <c r="AK40" s="255">
        <v>8.5</v>
      </c>
      <c r="AN40" s="256"/>
      <c r="AO40" s="257">
        <v>0.46625</v>
      </c>
      <c r="AZ40" s="701" t="s">
        <v>471</v>
      </c>
      <c r="BA40" s="548"/>
      <c r="BB40" s="548"/>
      <c r="BC40" s="548"/>
      <c r="BD40" s="548"/>
      <c r="BE40" s="548"/>
      <c r="BF40" s="548"/>
      <c r="BG40" s="548"/>
      <c r="BH40" s="548"/>
      <c r="BI40" s="548"/>
      <c r="BJ40" s="549"/>
      <c r="BK40" s="550"/>
      <c r="BL40" s="187"/>
      <c r="BM40" s="366" t="s">
        <v>368</v>
      </c>
      <c r="BN40" s="367"/>
      <c r="BO40" s="367"/>
      <c r="BP40" s="367"/>
      <c r="BQ40" s="551"/>
      <c r="BR40" s="188"/>
      <c r="BS40" s="715"/>
      <c r="BT40" s="491" t="s">
        <v>248</v>
      </c>
      <c r="BU40" s="543"/>
      <c r="BV40" s="544"/>
      <c r="BW40" s="494"/>
      <c r="BX40" s="188"/>
      <c r="BY40" s="506"/>
      <c r="BZ40" s="188"/>
      <c r="CA40" s="188"/>
      <c r="CB40" s="188"/>
      <c r="CC40" s="188"/>
      <c r="CD40" s="188"/>
      <c r="CE40" s="188"/>
      <c r="CF40" s="188"/>
      <c r="CG40" s="188"/>
      <c r="CH40" s="188"/>
      <c r="CI40" s="188"/>
      <c r="CJ40" s="188"/>
      <c r="CK40" s="188"/>
      <c r="CL40" s="188"/>
      <c r="CM40" s="188"/>
      <c r="CN40" s="188"/>
      <c r="CO40" s="188"/>
      <c r="CP40" s="187"/>
      <c r="CQ40" s="187"/>
      <c r="CR40" s="187"/>
      <c r="CS40" s="187"/>
      <c r="CT40" s="181"/>
      <c r="CU40" s="181"/>
      <c r="CV40" s="181"/>
      <c r="CW40" s="181"/>
      <c r="CX40" s="181"/>
      <c r="CY40" s="181"/>
      <c r="CZ40" s="181"/>
      <c r="DA40" s="181"/>
      <c r="DB40" s="181"/>
      <c r="DC40" s="181"/>
      <c r="DD40" s="181"/>
      <c r="DE40" s="181"/>
      <c r="DF40" s="181"/>
      <c r="DG40" s="181"/>
      <c r="DH40" s="181"/>
      <c r="DI40" s="181"/>
      <c r="DJ40" s="181"/>
      <c r="DK40" s="181"/>
      <c r="DL40" s="181"/>
      <c r="DM40" s="181"/>
      <c r="DN40" s="181"/>
      <c r="DO40" s="181"/>
      <c r="DP40" s="181"/>
      <c r="DQ40" s="181"/>
      <c r="DR40" s="181"/>
      <c r="DS40" s="181"/>
      <c r="DT40" s="181"/>
      <c r="DU40" s="181"/>
      <c r="DV40" s="181"/>
      <c r="DW40" s="181"/>
      <c r="DX40" s="181"/>
      <c r="DY40" s="181"/>
      <c r="DZ40" s="181"/>
      <c r="EA40" s="187"/>
      <c r="EB40" s="181"/>
      <c r="EC40" s="181"/>
      <c r="ED40" s="181"/>
      <c r="EE40" s="181"/>
      <c r="EF40" s="181"/>
      <c r="EG40" s="181"/>
      <c r="EH40" s="181"/>
      <c r="EI40" s="181"/>
      <c r="EJ40" s="181"/>
      <c r="EK40" s="189"/>
      <c r="EL40" s="181"/>
      <c r="EM40" s="181"/>
      <c r="EN40" s="181"/>
      <c r="EO40" s="181"/>
      <c r="EP40" s="181"/>
      <c r="EQ40" s="181"/>
      <c r="ER40" s="181"/>
      <c r="ES40" s="181"/>
      <c r="ET40" s="181"/>
      <c r="EU40" s="181"/>
      <c r="EV40" s="181"/>
      <c r="EW40" s="181"/>
      <c r="EX40" s="181"/>
      <c r="EY40" s="181"/>
      <c r="EZ40" s="181"/>
      <c r="FA40" s="181"/>
      <c r="FB40" s="181"/>
      <c r="FC40" s="181"/>
      <c r="FD40" s="181"/>
      <c r="FE40" s="181"/>
      <c r="FF40" s="181"/>
      <c r="FG40" s="181"/>
      <c r="FH40" s="181"/>
      <c r="FI40" s="181"/>
      <c r="FJ40" s="181"/>
      <c r="FK40" s="181"/>
      <c r="FL40" s="181"/>
      <c r="FM40" s="181"/>
      <c r="FN40" s="181"/>
      <c r="FO40" s="181"/>
      <c r="FP40" s="181"/>
      <c r="FQ40" s="181"/>
      <c r="FR40" s="181"/>
      <c r="FS40" s="181"/>
      <c r="FT40" s="181"/>
      <c r="FU40" s="181"/>
      <c r="FV40" s="181"/>
      <c r="FW40" s="181"/>
      <c r="FX40" s="181"/>
      <c r="FY40" s="181"/>
      <c r="FZ40" s="181"/>
      <c r="GA40" s="181"/>
      <c r="GB40" s="181"/>
      <c r="GC40" s="181"/>
      <c r="GD40" s="181"/>
      <c r="GE40" s="181"/>
      <c r="GF40" s="181"/>
      <c r="JB40" s="175"/>
      <c r="JC40" s="175"/>
      <c r="JD40" s="175"/>
      <c r="JE40" s="175"/>
      <c r="JF40" s="175"/>
      <c r="JG40" s="175"/>
      <c r="JH40" s="175"/>
      <c r="JI40" s="175"/>
      <c r="JJ40" s="175"/>
      <c r="JK40" s="175"/>
      <c r="JL40" s="175"/>
      <c r="JM40" s="175"/>
      <c r="JN40" s="175"/>
      <c r="JO40" s="175"/>
      <c r="JP40" s="175"/>
      <c r="JQ40" s="175"/>
      <c r="JR40" s="175"/>
      <c r="JS40" s="175"/>
      <c r="JT40" s="175"/>
      <c r="JU40" s="175"/>
      <c r="JV40" s="175"/>
      <c r="JW40" s="175"/>
      <c r="JX40" s="175"/>
      <c r="JY40" s="175"/>
      <c r="ON40" s="223" t="s">
        <v>267</v>
      </c>
      <c r="OO40" s="224" t="s">
        <v>268</v>
      </c>
      <c r="OP40" s="224">
        <v>2011</v>
      </c>
      <c r="OQ40" s="224" t="s">
        <v>472</v>
      </c>
      <c r="OR40" s="224">
        <f ca="1">VLOOKUP($OP40,INDIRECT($ON40):INDIRECT($OO40),4,FALSE)</f>
        <v>0</v>
      </c>
      <c r="OS40" s="224">
        <f ca="1">VLOOKUP($OP40,INDIRECT($ON40):INDIRECT($OO40),5,FALSE)</f>
        <v>0</v>
      </c>
      <c r="OT40" s="224">
        <f ca="1">VLOOKUP($OP40,INDIRECT($ON40):INDIRECT($OO40),6,FALSE)</f>
        <v>0</v>
      </c>
    </row>
    <row r="41" spans="1:410" ht="16.5" thickTop="1" thickBot="1" x14ac:dyDescent="0.3">
      <c r="A41" s="175">
        <v>2006</v>
      </c>
      <c r="B41" s="534"/>
      <c r="C41" s="392" t="s">
        <v>463</v>
      </c>
      <c r="D41" s="552">
        <f>T35</f>
        <v>110.5</v>
      </c>
      <c r="E41" s="394">
        <f>T36</f>
        <v>5.5</v>
      </c>
      <c r="F41" s="395">
        <f>T37</f>
        <v>5.5</v>
      </c>
      <c r="G41" s="396">
        <v>8025</v>
      </c>
      <c r="H41" s="392" t="str">
        <f>IF(I41&gt;0,"Ghalemdi Khola_5("&amp;ROUND(I41/24,3)&amp;")","Ghalemdi Khola_5")</f>
        <v>Ghalemdi Khola_5(1.38)</v>
      </c>
      <c r="I41" s="428">
        <v>33.109000000000002</v>
      </c>
      <c r="J41" s="398">
        <f t="shared" si="15"/>
        <v>1.3795416666666667</v>
      </c>
      <c r="K41" s="289">
        <f t="shared" si="15"/>
        <v>1.3795416666666667</v>
      </c>
      <c r="L41" s="396">
        <v>8092</v>
      </c>
      <c r="M41" s="392" t="str">
        <f>IF(N41&gt;0,"Sipring Khola_9.658("&amp;ROUND(N41/24,3)&amp;")","Sipring Khola_9.658")</f>
        <v>Sipring Khola_9.658(1.548)</v>
      </c>
      <c r="N41" s="398">
        <v>37.159999999999997</v>
      </c>
      <c r="O41" s="398">
        <f t="shared" ref="O41:P45" si="47">$N41/24</f>
        <v>1.5483333333333331</v>
      </c>
      <c r="P41" s="289">
        <f t="shared" si="47"/>
        <v>1.5483333333333331</v>
      </c>
      <c r="Q41" s="379"/>
      <c r="R41" s="308"/>
      <c r="S41" s="700"/>
      <c r="T41" s="700"/>
      <c r="U41" s="700"/>
      <c r="V41" s="700"/>
      <c r="W41" s="700"/>
      <c r="X41" s="700"/>
      <c r="Y41" s="700"/>
      <c r="Z41" s="349"/>
      <c r="AD41" s="340">
        <v>225</v>
      </c>
      <c r="AE41" s="340">
        <v>42</v>
      </c>
      <c r="AG41" s="175">
        <v>8052</v>
      </c>
      <c r="AH41" s="254" t="s">
        <v>48</v>
      </c>
      <c r="AI41" s="380">
        <v>4</v>
      </c>
      <c r="AJ41" s="380">
        <v>4</v>
      </c>
      <c r="AK41" s="255">
        <v>4</v>
      </c>
      <c r="AN41" s="256"/>
      <c r="AO41" s="257">
        <v>0.3</v>
      </c>
      <c r="AZ41" s="702"/>
      <c r="BA41" s="181">
        <v>3002</v>
      </c>
      <c r="BB41" s="181">
        <v>3003</v>
      </c>
      <c r="BC41" s="181">
        <v>3001</v>
      </c>
      <c r="BD41" s="175">
        <v>3004</v>
      </c>
      <c r="BE41" s="175">
        <v>3005</v>
      </c>
      <c r="BF41" s="553"/>
      <c r="BG41" s="554"/>
      <c r="BH41" s="554"/>
      <c r="BI41" s="554"/>
      <c r="BJ41" s="181"/>
      <c r="BK41" s="181"/>
      <c r="BL41" s="181"/>
      <c r="BM41" s="181"/>
      <c r="BN41"/>
      <c r="BO41"/>
      <c r="BP41"/>
      <c r="BQ41"/>
      <c r="BR41" s="188"/>
      <c r="BS41" s="703" t="s">
        <v>12</v>
      </c>
      <c r="BT41" s="703"/>
      <c r="BU41" s="555"/>
      <c r="BV41" s="556"/>
      <c r="BW41" s="422"/>
      <c r="BX41" s="188"/>
      <c r="BY41" s="557"/>
      <c r="BZ41" s="188"/>
      <c r="CA41" s="188"/>
      <c r="CB41" s="188"/>
      <c r="CC41" s="188"/>
      <c r="CD41" s="188"/>
      <c r="CE41" s="188"/>
      <c r="CF41" s="188"/>
      <c r="CG41" s="188"/>
      <c r="CH41" s="188"/>
      <c r="CI41" s="188"/>
      <c r="CJ41" s="188"/>
      <c r="CK41" s="188"/>
      <c r="CL41" s="188"/>
      <c r="CM41" s="188"/>
      <c r="CN41" s="188"/>
      <c r="CO41" s="188"/>
      <c r="CP41" s="187"/>
      <c r="CQ41" s="187"/>
      <c r="CR41" s="187"/>
      <c r="CS41" s="187"/>
      <c r="CT41" s="181"/>
      <c r="CU41" s="181"/>
      <c r="CV41" s="181"/>
      <c r="CW41" s="181"/>
      <c r="CX41" s="181"/>
      <c r="CY41" s="181"/>
      <c r="CZ41" s="181"/>
      <c r="DA41" s="181"/>
      <c r="DB41" s="181"/>
      <c r="DC41" s="181"/>
      <c r="DD41" s="181"/>
      <c r="DE41" s="181"/>
      <c r="DF41" s="181"/>
      <c r="DG41" s="181"/>
      <c r="DH41" s="181"/>
      <c r="DI41" s="181"/>
      <c r="DJ41" s="181"/>
      <c r="DK41" s="181"/>
      <c r="DL41" s="181"/>
      <c r="DM41" s="181"/>
      <c r="DN41" s="181"/>
      <c r="DO41" s="181"/>
      <c r="DP41" s="181"/>
      <c r="DQ41" s="181"/>
      <c r="DR41" s="181"/>
      <c r="DS41" s="181"/>
      <c r="DT41" s="181"/>
      <c r="DU41" s="181"/>
      <c r="DV41" s="181"/>
      <c r="DW41" s="181"/>
      <c r="DX41" s="181"/>
      <c r="DY41" s="181"/>
      <c r="DZ41" s="181"/>
      <c r="EA41" s="187"/>
      <c r="EB41" s="181"/>
      <c r="EC41" s="181"/>
      <c r="ED41" s="181"/>
      <c r="EE41" s="181"/>
      <c r="EF41" s="181"/>
      <c r="EG41" s="181"/>
      <c r="EH41" s="181"/>
      <c r="EI41" s="181"/>
      <c r="EJ41" s="181"/>
      <c r="EK41" s="189"/>
      <c r="EL41" s="181"/>
      <c r="EM41" s="181"/>
      <c r="EN41" s="181"/>
      <c r="EO41" s="181"/>
      <c r="EP41" s="181"/>
      <c r="EQ41" s="181"/>
      <c r="ER41" s="181"/>
      <c r="ES41" s="181"/>
      <c r="ET41" s="181"/>
      <c r="EU41" s="181"/>
      <c r="EV41" s="181"/>
      <c r="EW41" s="181"/>
      <c r="EX41" s="181"/>
      <c r="EY41" s="181"/>
      <c r="EZ41" s="181"/>
      <c r="FA41" s="181"/>
      <c r="FB41" s="181"/>
      <c r="FC41" s="181"/>
      <c r="FD41" s="181"/>
      <c r="FE41" s="181"/>
      <c r="FF41" s="181"/>
      <c r="FG41" s="181"/>
      <c r="FH41" s="181"/>
      <c r="FI41" s="181"/>
      <c r="FJ41" s="181"/>
      <c r="FK41" s="181"/>
      <c r="FL41" s="181"/>
      <c r="FM41" s="181"/>
      <c r="FN41" s="181"/>
      <c r="FO41" s="181"/>
      <c r="FP41" s="181"/>
      <c r="FQ41" s="181"/>
      <c r="FR41" s="181"/>
      <c r="FS41" s="181"/>
      <c r="FT41" s="181"/>
      <c r="FU41" s="181"/>
      <c r="FV41" s="181"/>
      <c r="FW41" s="181"/>
      <c r="FX41" s="181"/>
      <c r="FY41" s="181"/>
      <c r="FZ41" s="181"/>
      <c r="GA41" s="181"/>
      <c r="GB41" s="181"/>
      <c r="GC41" s="181"/>
      <c r="GD41" s="181"/>
      <c r="GE41" s="181"/>
      <c r="GF41" s="181"/>
      <c r="JB41" s="175"/>
      <c r="JC41" s="175"/>
      <c r="JD41" s="175"/>
      <c r="JE41" s="175"/>
      <c r="JF41" s="175"/>
      <c r="JG41" s="175"/>
      <c r="JH41" s="175"/>
      <c r="JI41" s="175"/>
      <c r="JJ41" s="175"/>
      <c r="JK41" s="175"/>
      <c r="JL41" s="175"/>
      <c r="JM41" s="175"/>
      <c r="JN41" s="175"/>
      <c r="JO41" s="175"/>
      <c r="JP41" s="175"/>
      <c r="JQ41" s="175"/>
      <c r="JR41" s="175"/>
      <c r="JS41" s="175"/>
      <c r="JT41" s="175"/>
      <c r="JU41" s="175"/>
      <c r="JV41" s="175"/>
      <c r="JW41" s="175"/>
      <c r="JX41" s="175"/>
      <c r="JY41" s="175"/>
      <c r="ON41" s="223" t="s">
        <v>267</v>
      </c>
      <c r="OO41" s="224" t="s">
        <v>268</v>
      </c>
      <c r="OP41" s="224">
        <v>2012</v>
      </c>
      <c r="OQ41" s="224" t="s">
        <v>473</v>
      </c>
      <c r="OR41" s="224">
        <f ca="1">VLOOKUP($OP41,INDIRECT($ON41):INDIRECT($OO41),4,FALSE)</f>
        <v>110.5</v>
      </c>
      <c r="OS41" s="224">
        <f ca="1">VLOOKUP($OP41,INDIRECT($ON41):INDIRECT($OO41),5,FALSE)</f>
        <v>5.5</v>
      </c>
      <c r="OT41" s="224">
        <f ca="1">VLOOKUP($OP41,INDIRECT($ON41):INDIRECT($OO41),6,FALSE)</f>
        <v>5.5</v>
      </c>
    </row>
    <row r="42" spans="1:410" ht="25.5" thickTop="1" thickBot="1" x14ac:dyDescent="0.3">
      <c r="A42" s="175">
        <v>2007</v>
      </c>
      <c r="B42" s="534"/>
      <c r="C42" s="392" t="s">
        <v>465</v>
      </c>
      <c r="D42" s="552">
        <f>U35</f>
        <v>0</v>
      </c>
      <c r="E42" s="394">
        <f>U36</f>
        <v>0</v>
      </c>
      <c r="F42" s="395">
        <f>U37</f>
        <v>0</v>
      </c>
      <c r="G42" s="396">
        <v>8026</v>
      </c>
      <c r="H42" s="392" t="str">
        <f>IF(I42&gt;0,"Ghatte Khola_5("&amp;ROUND(I42/24,3)&amp;")","Ghatte Khola_5")</f>
        <v>Ghatte Khola_5</v>
      </c>
      <c r="I42" s="428"/>
      <c r="J42" s="398">
        <f t="shared" si="15"/>
        <v>0</v>
      </c>
      <c r="K42" s="289">
        <f t="shared" si="15"/>
        <v>0</v>
      </c>
      <c r="L42" s="396">
        <v>8093</v>
      </c>
      <c r="M42" s="433" t="str">
        <f>IF(N42&gt;0,"Sisne Khola Small_0.75("&amp;ROUND(N42/24,3)&amp;")","Sisne Khola Small_0.75")</f>
        <v>Sisne Khola Small_0.75</v>
      </c>
      <c r="N42" s="398"/>
      <c r="O42" s="398">
        <f t="shared" si="47"/>
        <v>0</v>
      </c>
      <c r="P42" s="289">
        <f t="shared" si="47"/>
        <v>0</v>
      </c>
      <c r="Q42" s="379"/>
      <c r="R42" s="308"/>
      <c r="AD42" s="558"/>
      <c r="AE42" s="558"/>
      <c r="AG42" s="175">
        <v>8064</v>
      </c>
      <c r="AH42" s="254" t="s">
        <v>49</v>
      </c>
      <c r="AI42" s="380">
        <v>0</v>
      </c>
      <c r="AJ42" s="380">
        <v>0</v>
      </c>
      <c r="AK42" s="255">
        <v>0</v>
      </c>
      <c r="AL42" s="696" t="s">
        <v>474</v>
      </c>
      <c r="AM42" s="696"/>
      <c r="AN42" s="256"/>
      <c r="AO42" s="257">
        <v>0.41779166666666662</v>
      </c>
      <c r="AZ42" s="246" t="s">
        <v>475</v>
      </c>
      <c r="BA42" s="273" t="s">
        <v>438</v>
      </c>
      <c r="BB42" s="273" t="s">
        <v>335</v>
      </c>
      <c r="BC42" s="273" t="s">
        <v>476</v>
      </c>
      <c r="BD42" s="273" t="s">
        <v>477</v>
      </c>
      <c r="BE42" s="273" t="s">
        <v>478</v>
      </c>
      <c r="BF42" s="275" t="s">
        <v>318</v>
      </c>
      <c r="BG42" s="442"/>
      <c r="BH42" s="442"/>
      <c r="BI42" s="554"/>
      <c r="BJ42" s="181"/>
      <c r="BK42" s="181"/>
      <c r="BL42" s="181"/>
      <c r="BM42" s="181"/>
      <c r="BN42"/>
      <c r="BO42"/>
      <c r="BP42"/>
      <c r="BQ42"/>
      <c r="BR42" s="188"/>
      <c r="BS42" s="704" t="s">
        <v>479</v>
      </c>
      <c r="BT42" s="704"/>
      <c r="BU42" s="559"/>
      <c r="BV42" s="359"/>
      <c r="BW42" s="422"/>
      <c r="BX42" s="188"/>
      <c r="BY42" s="557"/>
      <c r="BZ42" s="188"/>
      <c r="CA42" s="188"/>
      <c r="CB42" s="188"/>
      <c r="CC42" s="188"/>
      <c r="CD42" s="188"/>
      <c r="CE42" s="188"/>
      <c r="CF42" s="188"/>
      <c r="CG42" s="188"/>
      <c r="CH42" s="188"/>
      <c r="CI42" s="188"/>
      <c r="CJ42" s="188"/>
      <c r="CK42" s="188"/>
      <c r="CL42" s="188"/>
      <c r="CM42" s="188"/>
      <c r="CN42" s="188"/>
      <c r="CO42" s="188"/>
      <c r="CP42" s="187"/>
      <c r="CQ42" s="187"/>
      <c r="CR42" s="187"/>
      <c r="CS42" s="187"/>
      <c r="CT42" s="181"/>
      <c r="CU42" s="181"/>
      <c r="CV42" s="181"/>
      <c r="CW42" s="181"/>
      <c r="CX42" s="181"/>
      <c r="CY42" s="181"/>
      <c r="CZ42" s="181"/>
      <c r="DA42" s="181"/>
      <c r="DB42" s="181"/>
      <c r="DC42" s="181"/>
      <c r="DD42" s="181"/>
      <c r="DE42" s="181"/>
      <c r="DF42" s="181"/>
      <c r="DG42" s="181"/>
      <c r="DH42" s="181"/>
      <c r="DI42" s="181"/>
      <c r="DJ42" s="181"/>
      <c r="DK42" s="181"/>
      <c r="DL42" s="181"/>
      <c r="DM42" s="181"/>
      <c r="DN42" s="181"/>
      <c r="DO42" s="181"/>
      <c r="DP42" s="181"/>
      <c r="DQ42" s="181"/>
      <c r="DR42" s="181"/>
      <c r="DS42" s="181"/>
      <c r="DT42" s="181"/>
      <c r="DU42" s="181"/>
      <c r="DV42" s="181"/>
      <c r="DW42" s="181"/>
      <c r="DX42" s="181"/>
      <c r="DY42" s="181"/>
      <c r="DZ42" s="181"/>
      <c r="EA42" s="187"/>
      <c r="EB42" s="181"/>
      <c r="EC42" s="181"/>
      <c r="ED42" s="181"/>
      <c r="EE42" s="181"/>
      <c r="EF42" s="181"/>
      <c r="EG42" s="181"/>
      <c r="EH42" s="181"/>
      <c r="EI42" s="181"/>
      <c r="EJ42" s="181"/>
      <c r="EK42" s="189"/>
      <c r="EL42" s="181"/>
      <c r="EM42" s="181"/>
      <c r="EN42" s="181"/>
      <c r="EO42" s="181"/>
      <c r="EP42" s="181"/>
      <c r="EQ42" s="181"/>
      <c r="ER42" s="181"/>
      <c r="ES42" s="181"/>
      <c r="ET42" s="181"/>
      <c r="EU42" s="181"/>
      <c r="EV42" s="181"/>
      <c r="EW42" s="181"/>
      <c r="EX42" s="181"/>
      <c r="EY42" s="181"/>
      <c r="EZ42" s="181"/>
      <c r="FA42" s="181"/>
      <c r="FB42" s="181"/>
      <c r="FC42" s="181"/>
      <c r="FD42" s="181"/>
      <c r="FE42" s="181"/>
      <c r="FF42" s="181"/>
      <c r="FG42" s="181"/>
      <c r="FH42" s="181"/>
      <c r="FI42" s="181"/>
      <c r="FJ42" s="181"/>
      <c r="FK42" s="181"/>
      <c r="FL42" s="181"/>
      <c r="FM42" s="181"/>
      <c r="FN42" s="181"/>
      <c r="FO42" s="181"/>
      <c r="FP42" s="181"/>
      <c r="FQ42" s="181"/>
      <c r="FR42" s="181"/>
      <c r="FS42" s="181"/>
      <c r="FT42" s="181"/>
      <c r="FU42" s="181"/>
      <c r="FV42" s="181"/>
      <c r="FW42" s="181"/>
      <c r="FX42" s="181"/>
      <c r="FY42" s="181"/>
      <c r="FZ42" s="181"/>
      <c r="GA42" s="181"/>
      <c r="GB42" s="181"/>
      <c r="GC42" s="181"/>
      <c r="GD42" s="181"/>
      <c r="GE42" s="181"/>
      <c r="GF42" s="181"/>
      <c r="JB42" s="175"/>
      <c r="JC42" s="175"/>
      <c r="JD42" s="175"/>
      <c r="JE42" s="175"/>
      <c r="JF42" s="175"/>
      <c r="JG42" s="175"/>
      <c r="JH42" s="175"/>
      <c r="JI42" s="175"/>
      <c r="JJ42" s="175"/>
      <c r="JK42" s="175"/>
      <c r="JL42" s="175"/>
      <c r="JM42" s="175"/>
      <c r="JN42" s="175"/>
      <c r="JO42" s="175"/>
      <c r="JP42" s="175"/>
      <c r="JQ42" s="175"/>
      <c r="JR42" s="175"/>
      <c r="JS42" s="175"/>
      <c r="JT42" s="175"/>
      <c r="JU42" s="175"/>
      <c r="JV42" s="175"/>
      <c r="JW42" s="175"/>
      <c r="JX42" s="175"/>
      <c r="JY42" s="175"/>
      <c r="ON42" s="223" t="s">
        <v>267</v>
      </c>
      <c r="OO42" s="224" t="s">
        <v>268</v>
      </c>
      <c r="OP42" s="224">
        <v>2013</v>
      </c>
      <c r="OQ42" s="224" t="s">
        <v>480</v>
      </c>
      <c r="OR42" s="224" t="e">
        <f ca="1">VLOOKUP($OP42,INDIRECT($ON42):INDIRECT($OO42),4,FALSE)</f>
        <v>#N/A</v>
      </c>
      <c r="OS42" s="224" t="e">
        <f ca="1">VLOOKUP($OP42,INDIRECT($ON42):INDIRECT($OO42),5,FALSE)</f>
        <v>#N/A</v>
      </c>
      <c r="OT42" s="224" t="e">
        <f ca="1">VLOOKUP($OP42,INDIRECT($ON42):INDIRECT($OO42),6,FALSE)</f>
        <v>#N/A</v>
      </c>
    </row>
    <row r="43" spans="1:410" ht="21.75" thickBot="1" x14ac:dyDescent="0.3">
      <c r="A43" s="175">
        <v>2008</v>
      </c>
      <c r="B43" s="534"/>
      <c r="C43" s="392" t="s">
        <v>468</v>
      </c>
      <c r="D43" s="552">
        <f>W35</f>
        <v>87.397239600000006</v>
      </c>
      <c r="E43" s="394">
        <f>W36</f>
        <v>6.2757287999999996</v>
      </c>
      <c r="F43" s="395">
        <f>W37</f>
        <v>6.2757287999999996</v>
      </c>
      <c r="G43" s="396">
        <v>8027</v>
      </c>
      <c r="H43" s="461" t="str">
        <f>IF(I43&gt;0,"Hadi Khola Sunkoshi A_0.997("&amp;ROUND(I43/24,3)&amp;")","Hadi Khola Sunkoshi A_0.997")</f>
        <v>Hadi Khola Sunkoshi A_0.997</v>
      </c>
      <c r="I43" s="397"/>
      <c r="J43" s="398">
        <f t="shared" si="15"/>
        <v>0</v>
      </c>
      <c r="K43" s="289">
        <f t="shared" si="15"/>
        <v>0</v>
      </c>
      <c r="L43" s="396">
        <v>8094</v>
      </c>
      <c r="M43" s="416" t="str">
        <f>IF(N43&gt;0,"Siuri Khola_4.95("&amp;ROUND(N43/24,3)&amp;")","Siuri Khola_4.95")</f>
        <v>Siuri Khola_4.95</v>
      </c>
      <c r="N43" s="495"/>
      <c r="O43" s="398">
        <f t="shared" si="47"/>
        <v>0</v>
      </c>
      <c r="P43" s="289">
        <f t="shared" si="47"/>
        <v>0</v>
      </c>
      <c r="Q43" s="379"/>
      <c r="R43" s="364"/>
      <c r="S43" s="363" t="s">
        <v>367</v>
      </c>
      <c r="T43" s="191" t="s">
        <v>258</v>
      </c>
      <c r="U43" s="191" t="s">
        <v>259</v>
      </c>
      <c r="V43" s="192" t="s">
        <v>260</v>
      </c>
      <c r="AD43" s="560"/>
      <c r="AE43" s="560"/>
      <c r="AG43" s="175">
        <v>6001</v>
      </c>
      <c r="AH43" s="254" t="s">
        <v>50</v>
      </c>
      <c r="AI43" s="380">
        <v>150</v>
      </c>
      <c r="AJ43" s="380">
        <v>150</v>
      </c>
      <c r="AK43" s="255">
        <v>150</v>
      </c>
      <c r="AL43" s="696">
        <f>SUM(AK39:AK51)-AK44</f>
        <v>1375.8</v>
      </c>
      <c r="AM43" s="696"/>
      <c r="AN43" s="256"/>
      <c r="AO43" s="257">
        <v>0.53</v>
      </c>
      <c r="AZ43" s="293" t="s">
        <v>481</v>
      </c>
      <c r="BA43" s="294">
        <f ca="1">VLOOKUP(BA$41,$OP$2:$OT$300,3,FALSE)</f>
        <v>-695.2</v>
      </c>
      <c r="BB43" s="294">
        <f ca="1">VLOOKUP(BB$41,$OP$2:$OT$300,3,FALSE)</f>
        <v>0</v>
      </c>
      <c r="BC43" s="294">
        <f ca="1">VLOOKUP(BC$41,$OP$2:$OT$300,3,FALSE)</f>
        <v>0</v>
      </c>
      <c r="BD43" s="294">
        <f ca="1">VLOOKUP(BD$41,$OP$2:$OT$300,3,FALSE)</f>
        <v>0</v>
      </c>
      <c r="BE43" s="294">
        <f ca="1">VLOOKUP(BE$41,$OP$2:$OT$300,3,FALSE)</f>
        <v>0</v>
      </c>
      <c r="BF43" s="418">
        <f ca="1">SUM(BA43:BE43)</f>
        <v>-695.2</v>
      </c>
      <c r="BG43" s="435"/>
      <c r="BH43" s="435"/>
      <c r="BI43" s="554"/>
      <c r="BJ43" s="181"/>
      <c r="BK43" s="181"/>
      <c r="BL43" s="181"/>
      <c r="BM43" s="181"/>
      <c r="BN43"/>
      <c r="BO43"/>
      <c r="BP43"/>
      <c r="BQ43"/>
      <c r="BR43" s="188"/>
      <c r="BS43" s="181"/>
      <c r="BT43" s="181"/>
      <c r="BU43" s="181"/>
      <c r="BV43" s="181"/>
      <c r="BW43" s="422"/>
      <c r="BX43" s="188"/>
      <c r="BY43" s="557"/>
      <c r="BZ43" s="188"/>
      <c r="CA43" s="188"/>
      <c r="CB43" s="188"/>
      <c r="CC43" s="188"/>
      <c r="CD43" s="188"/>
      <c r="CE43" s="188"/>
      <c r="CF43" s="188"/>
      <c r="CG43" s="188"/>
      <c r="CH43" s="188"/>
      <c r="CI43" s="188"/>
      <c r="CJ43" s="188"/>
      <c r="CK43" s="188"/>
      <c r="CL43" s="188"/>
      <c r="CM43" s="188"/>
      <c r="CN43" s="188"/>
      <c r="CO43" s="188"/>
      <c r="CP43" s="187"/>
      <c r="CQ43" s="187"/>
      <c r="CR43" s="187"/>
      <c r="CS43" s="187"/>
      <c r="CT43" s="181"/>
      <c r="CU43" s="181"/>
      <c r="CV43" s="181"/>
      <c r="CW43" s="181"/>
      <c r="CX43" s="181"/>
      <c r="CY43" s="181"/>
      <c r="CZ43" s="181"/>
      <c r="DA43" s="181"/>
      <c r="DB43" s="181"/>
      <c r="DC43" s="181"/>
      <c r="DD43" s="181"/>
      <c r="DE43" s="181"/>
      <c r="DF43" s="181"/>
      <c r="DG43" s="181"/>
      <c r="DH43" s="181"/>
      <c r="DI43" s="181"/>
      <c r="DJ43" s="181"/>
      <c r="DK43" s="181"/>
      <c r="DL43" s="181"/>
      <c r="DM43" s="181"/>
      <c r="DN43" s="181"/>
      <c r="DO43" s="181"/>
      <c r="DP43" s="181"/>
      <c r="DQ43" s="181"/>
      <c r="DR43" s="181"/>
      <c r="DS43" s="181"/>
      <c r="DT43" s="181"/>
      <c r="DU43" s="181"/>
      <c r="DV43" s="181"/>
      <c r="DW43" s="181"/>
      <c r="DX43" s="181"/>
      <c r="DY43" s="181"/>
      <c r="DZ43" s="181"/>
      <c r="EA43" s="187"/>
      <c r="EB43" s="181"/>
      <c r="EC43" s="181"/>
      <c r="ED43" s="181"/>
      <c r="EE43" s="181"/>
      <c r="EF43" s="181"/>
      <c r="EG43" s="181"/>
      <c r="EH43" s="181"/>
      <c r="EI43" s="181"/>
      <c r="EJ43" s="181"/>
      <c r="EK43" s="189"/>
      <c r="EL43" s="181"/>
      <c r="EM43" s="181"/>
      <c r="EN43" s="181"/>
      <c r="EO43" s="181"/>
      <c r="EP43" s="181"/>
      <c r="EQ43" s="181"/>
      <c r="ER43" s="181"/>
      <c r="ES43" s="181"/>
      <c r="ET43" s="181"/>
      <c r="EU43" s="181"/>
      <c r="EV43" s="181"/>
      <c r="EW43" s="181"/>
      <c r="EX43" s="181"/>
      <c r="EY43" s="181"/>
      <c r="EZ43" s="181"/>
      <c r="FA43" s="181"/>
      <c r="FB43" s="181"/>
      <c r="FC43" s="181"/>
      <c r="FD43" s="181"/>
      <c r="FE43" s="181"/>
      <c r="FF43" s="181"/>
      <c r="FG43" s="181"/>
      <c r="FH43" s="181"/>
      <c r="FI43" s="181"/>
      <c r="FJ43" s="181"/>
      <c r="FK43" s="181"/>
      <c r="FL43" s="181"/>
      <c r="FM43" s="181"/>
      <c r="FN43" s="181"/>
      <c r="FO43" s="181"/>
      <c r="FP43" s="181"/>
      <c r="FQ43" s="181"/>
      <c r="FR43" s="181"/>
      <c r="FS43" s="181"/>
      <c r="FT43" s="181"/>
      <c r="FU43" s="181"/>
      <c r="FV43" s="181"/>
      <c r="FW43" s="181"/>
      <c r="FX43" s="181"/>
      <c r="FY43" s="181"/>
      <c r="FZ43" s="181"/>
      <c r="GA43" s="181"/>
      <c r="GB43" s="181"/>
      <c r="GC43" s="181"/>
      <c r="GD43" s="181"/>
      <c r="GE43" s="181"/>
      <c r="GF43" s="181"/>
      <c r="JB43" s="175"/>
      <c r="JC43" s="175"/>
      <c r="JD43" s="175"/>
      <c r="JE43" s="175"/>
      <c r="JF43" s="175"/>
      <c r="JG43" s="175"/>
      <c r="JH43" s="175"/>
      <c r="JI43" s="175"/>
      <c r="JJ43" s="175"/>
      <c r="JK43" s="175"/>
      <c r="JL43" s="175"/>
      <c r="JM43" s="175"/>
      <c r="JN43" s="175"/>
      <c r="JO43" s="175"/>
      <c r="JP43" s="175"/>
      <c r="JQ43" s="175"/>
      <c r="JR43" s="175"/>
      <c r="JS43" s="175"/>
      <c r="JT43" s="175"/>
      <c r="JU43" s="175"/>
      <c r="JV43" s="175"/>
      <c r="JW43" s="175"/>
      <c r="JX43" s="175"/>
      <c r="JY43" s="175"/>
      <c r="ON43" s="223" t="s">
        <v>267</v>
      </c>
      <c r="OO43" s="224" t="s">
        <v>268</v>
      </c>
      <c r="OP43" s="224">
        <v>2014</v>
      </c>
      <c r="OQ43" s="224" t="s">
        <v>482</v>
      </c>
      <c r="OR43" s="224">
        <f ca="1">VLOOKUP($OP43,INDIRECT($ON43):INDIRECT($OO43),4,FALSE)</f>
        <v>0</v>
      </c>
      <c r="OS43" s="224">
        <f ca="1">VLOOKUP($OP43,INDIRECT($ON43):INDIRECT($OO43),5,FALSE)</f>
        <v>4.8</v>
      </c>
      <c r="OT43" s="224">
        <f ca="1">VLOOKUP($OP43,INDIRECT($ON43):INDIRECT($OO43),6,FALSE)</f>
        <v>0</v>
      </c>
    </row>
    <row r="44" spans="1:410" x14ac:dyDescent="0.25">
      <c r="A44" s="175">
        <v>2009</v>
      </c>
      <c r="B44" s="534"/>
      <c r="C44" s="392" t="s">
        <v>469</v>
      </c>
      <c r="D44" s="561">
        <f>V35</f>
        <v>0</v>
      </c>
      <c r="E44" s="394">
        <f>V36</f>
        <v>0</v>
      </c>
      <c r="F44" s="395">
        <f>V37</f>
        <v>0</v>
      </c>
      <c r="G44" s="396">
        <v>8028</v>
      </c>
      <c r="H44" s="392" t="str">
        <f>IF(I44&gt;0,"Hewa Khola_4.455("&amp;ROUND(I44/24,3)&amp;")","Hewa Khola_4.455")</f>
        <v>Hewa Khola_4.455</v>
      </c>
      <c r="I44" s="562"/>
      <c r="J44" s="398">
        <f t="shared" si="15"/>
        <v>0</v>
      </c>
      <c r="K44" s="289">
        <f t="shared" si="15"/>
        <v>0</v>
      </c>
      <c r="L44" s="396">
        <v>8095</v>
      </c>
      <c r="M44" s="433" t="str">
        <f>IF(N44&gt;0,"Sobuwa Khola-2 MHP_0.09("&amp;ROUND(N44/24,3)&amp;")","Sobuwa Khola-2 MHP_0.09")</f>
        <v>Sobuwa Khola-2 MHP_0.09</v>
      </c>
      <c r="N44" s="428"/>
      <c r="O44" s="398">
        <f t="shared" si="47"/>
        <v>0</v>
      </c>
      <c r="P44" s="289">
        <f t="shared" si="47"/>
        <v>0</v>
      </c>
      <c r="Q44" s="379"/>
      <c r="R44" s="377">
        <v>7001</v>
      </c>
      <c r="S44" s="563" t="str">
        <f>IF(T44&gt;0,"Chilime_22.1("&amp;ROUND(T44/24,3)&amp;")","Chilime_22.1")</f>
        <v>Chilime_22.1(12.589)</v>
      </c>
      <c r="T44" s="564">
        <v>302.14</v>
      </c>
      <c r="U44" s="378">
        <f>VLOOKUP($R44,$AG$6:$AK$106,3,FALSE)</f>
        <v>19.100000000000001</v>
      </c>
      <c r="V44" s="271">
        <f>VLOOKUP($R44,$AG$6:$AK$106,5,FALSE)</f>
        <v>11.3</v>
      </c>
      <c r="AD44" s="560"/>
      <c r="AE44" s="560"/>
      <c r="AG44" s="175">
        <v>5009</v>
      </c>
      <c r="AH44" s="254" t="s">
        <v>51</v>
      </c>
      <c r="AI44" s="380">
        <v>0</v>
      </c>
      <c r="AJ44" s="380">
        <v>0</v>
      </c>
      <c r="AK44" s="255">
        <v>0</v>
      </c>
      <c r="AN44" s="256"/>
      <c r="AO44" s="257">
        <v>0.44958333333333328</v>
      </c>
      <c r="AZ44" s="293" t="s">
        <v>342</v>
      </c>
      <c r="BA44" s="294">
        <f ca="1">VLOOKUP(BA$41,$OP$2:$OT$300,4,FALSE)</f>
        <v>0</v>
      </c>
      <c r="BB44" s="294">
        <f ca="1">VLOOKUP(BB$41,$OP$2:$OT$300,4,FALSE)</f>
        <v>0</v>
      </c>
      <c r="BC44" s="294">
        <f ca="1">VLOOKUP(BC$41,$OP$2:$OT$300,4,FALSE)</f>
        <v>0</v>
      </c>
      <c r="BD44" s="294">
        <f ca="1">VLOOKUP(BD$41,$OP$2:$OT$300,4,FALSE)</f>
        <v>0</v>
      </c>
      <c r="BE44" s="294">
        <f ca="1">VLOOKUP(BE$41,$OP$2:$OT$300,4,FALSE)</f>
        <v>0</v>
      </c>
      <c r="BF44" s="418">
        <f ca="1">SUM(BA44:BE44)</f>
        <v>0</v>
      </c>
      <c r="BG44" s="565"/>
      <c r="BH44" s="447"/>
      <c r="BI44" s="554"/>
      <c r="BJ44" s="181"/>
      <c r="BK44" s="181"/>
      <c r="BL44" s="181"/>
      <c r="BM44" s="177"/>
      <c r="BN44"/>
      <c r="BO44"/>
      <c r="BP44"/>
      <c r="BQ44"/>
      <c r="BR44" s="188"/>
      <c r="BS44" s="181"/>
      <c r="BT44" s="181"/>
      <c r="BU44" s="181"/>
      <c r="BV44" s="181"/>
      <c r="BW44" s="188"/>
      <c r="BX44" s="188"/>
      <c r="BY44" s="566"/>
      <c r="BZ44" s="188"/>
      <c r="CA44" s="188"/>
      <c r="CB44" s="188"/>
      <c r="CC44" s="188"/>
      <c r="CD44" s="188"/>
      <c r="CE44" s="188"/>
      <c r="CF44" s="188"/>
      <c r="CG44" s="188"/>
      <c r="CH44" s="188"/>
      <c r="CI44" s="188"/>
      <c r="CJ44" s="188"/>
      <c r="CK44" s="188"/>
      <c r="CL44" s="188"/>
      <c r="CM44" s="188"/>
      <c r="CN44" s="188"/>
      <c r="CO44" s="188"/>
      <c r="CP44" s="187"/>
      <c r="CQ44" s="187"/>
      <c r="CR44" s="187"/>
      <c r="CS44" s="187"/>
      <c r="CT44" s="181"/>
      <c r="CU44" s="181"/>
      <c r="CV44" s="181"/>
      <c r="CW44" s="181"/>
      <c r="CX44" s="181"/>
      <c r="CY44" s="181"/>
      <c r="CZ44" s="181"/>
      <c r="DA44" s="181"/>
      <c r="DB44" s="181"/>
      <c r="DC44" s="181"/>
      <c r="DD44" s="181"/>
      <c r="DE44" s="181"/>
      <c r="DF44" s="181"/>
      <c r="DG44" s="181"/>
      <c r="DH44" s="181"/>
      <c r="DI44" s="181"/>
      <c r="DJ44" s="181"/>
      <c r="DK44" s="181"/>
      <c r="DL44" s="181"/>
      <c r="DM44" s="181"/>
      <c r="DN44" s="181"/>
      <c r="DO44" s="181"/>
      <c r="DP44" s="181"/>
      <c r="DQ44" s="181"/>
      <c r="DR44" s="181"/>
      <c r="DS44" s="181"/>
      <c r="DT44" s="181"/>
      <c r="DU44" s="181"/>
      <c r="DV44" s="181"/>
      <c r="DW44" s="181"/>
      <c r="DX44" s="181"/>
      <c r="DY44" s="181"/>
      <c r="DZ44" s="181"/>
      <c r="EA44" s="187"/>
      <c r="EB44" s="181"/>
      <c r="EC44" s="181"/>
      <c r="ED44" s="181"/>
      <c r="EE44" s="181"/>
      <c r="EF44" s="181"/>
      <c r="EG44" s="181"/>
      <c r="EH44" s="181"/>
      <c r="EI44" s="181"/>
      <c r="EJ44" s="181"/>
      <c r="EK44" s="189"/>
      <c r="EL44" s="181"/>
      <c r="EM44" s="181"/>
      <c r="EN44" s="181"/>
      <c r="EO44" s="181"/>
      <c r="EP44" s="181"/>
      <c r="EQ44" s="181"/>
      <c r="ER44" s="181"/>
      <c r="ES44" s="181"/>
      <c r="ET44" s="181"/>
      <c r="EU44" s="181"/>
      <c r="EV44" s="181"/>
      <c r="EW44" s="181"/>
      <c r="EX44" s="181"/>
      <c r="EY44" s="181"/>
      <c r="EZ44" s="181"/>
      <c r="FA44" s="181"/>
      <c r="FB44" s="181"/>
      <c r="FC44" s="181"/>
      <c r="FD44" s="181"/>
      <c r="FE44" s="181"/>
      <c r="FF44" s="181"/>
      <c r="FG44" s="181"/>
      <c r="FH44" s="181"/>
      <c r="FI44" s="181"/>
      <c r="FJ44" s="181"/>
      <c r="FK44" s="181"/>
      <c r="FL44" s="181"/>
      <c r="FM44" s="181"/>
      <c r="FN44" s="181"/>
      <c r="FO44" s="181"/>
      <c r="FP44" s="181"/>
      <c r="FQ44" s="181"/>
      <c r="FR44" s="181"/>
      <c r="FS44" s="181"/>
      <c r="FT44" s="181"/>
      <c r="FU44" s="181"/>
      <c r="FV44" s="181"/>
      <c r="FW44" s="181"/>
      <c r="FX44" s="181"/>
      <c r="FY44" s="181"/>
      <c r="FZ44" s="181"/>
      <c r="GA44" s="181"/>
      <c r="GB44" s="181"/>
      <c r="GC44" s="181"/>
      <c r="GD44" s="181"/>
      <c r="GE44" s="181"/>
      <c r="GF44" s="181"/>
      <c r="JB44" s="175"/>
      <c r="JC44" s="175"/>
      <c r="JD44" s="175"/>
      <c r="JE44" s="175"/>
      <c r="JF44" s="175"/>
      <c r="JG44" s="175"/>
      <c r="JH44" s="175"/>
      <c r="JI44" s="175"/>
      <c r="JJ44" s="175"/>
      <c r="JK44" s="175"/>
      <c r="JL44" s="175"/>
      <c r="JM44" s="175"/>
      <c r="JN44" s="175"/>
      <c r="JO44" s="175"/>
      <c r="JP44" s="175"/>
      <c r="JQ44" s="175"/>
      <c r="JR44" s="175"/>
      <c r="JS44" s="175"/>
      <c r="JT44" s="175"/>
      <c r="JU44" s="175"/>
      <c r="JV44" s="175"/>
      <c r="JW44" s="175"/>
      <c r="JX44" s="175"/>
      <c r="JY44" s="175"/>
      <c r="ON44" s="223" t="s">
        <v>267</v>
      </c>
      <c r="OO44" s="224" t="s">
        <v>268</v>
      </c>
      <c r="OP44" s="224">
        <v>2015</v>
      </c>
      <c r="OQ44" s="224" t="s">
        <v>483</v>
      </c>
      <c r="OR44" s="224">
        <f ca="1">VLOOKUP($OP44,INDIRECT($ON44):INDIRECT($OO44),4,FALSE)</f>
        <v>4.2</v>
      </c>
      <c r="OS44" s="224">
        <f ca="1">VLOOKUP($OP44,INDIRECT($ON44):INDIRECT($OO44),5,FALSE)</f>
        <v>2</v>
      </c>
      <c r="OT44" s="224">
        <f ca="1">VLOOKUP($OP44,INDIRECT($ON44):INDIRECT($OO44),6,FALSE)</f>
        <v>-8.4</v>
      </c>
    </row>
    <row r="45" spans="1:410" x14ac:dyDescent="0.2">
      <c r="A45" s="175">
        <v>2010</v>
      </c>
      <c r="B45" s="534"/>
      <c r="C45" s="392" t="s">
        <v>470</v>
      </c>
      <c r="D45" s="546">
        <f>X35</f>
        <v>0</v>
      </c>
      <c r="E45" s="394">
        <f>X36</f>
        <v>0</v>
      </c>
      <c r="F45" s="395">
        <f>X37</f>
        <v>0</v>
      </c>
      <c r="G45" s="396">
        <v>8029</v>
      </c>
      <c r="H45" s="392" t="str">
        <f>IF(I45&gt;0,"Hewa Khola A_14.9("&amp;ROUND(I45/24,3)&amp;")","Hewa Khola A_14.9")</f>
        <v>Hewa Khola A_14.9(3.396)</v>
      </c>
      <c r="I45" s="397">
        <v>81.5</v>
      </c>
      <c r="J45" s="398">
        <f>VLOOKUP($G45,$AG$6:$AK$106,3,FALSE)</f>
        <v>6.2</v>
      </c>
      <c r="K45" s="289">
        <f>VLOOKUP($G45,$AG$6:$AK$106,5,FALSE)</f>
        <v>6.2</v>
      </c>
      <c r="L45" s="396">
        <v>8096</v>
      </c>
      <c r="M45" s="433" t="str">
        <f>IF(N45&gt;0,"Solar_0.6804("&amp;ROUND(N45/24,3)&amp;")","Solar_0.6804")</f>
        <v>Solar_0.6804</v>
      </c>
      <c r="N45" s="567"/>
      <c r="O45" s="398">
        <f t="shared" si="47"/>
        <v>0</v>
      </c>
      <c r="P45" s="289">
        <f t="shared" si="47"/>
        <v>0</v>
      </c>
      <c r="Q45" s="379"/>
      <c r="R45" s="396">
        <v>7002</v>
      </c>
      <c r="S45" s="568" t="str">
        <f>IF(T45&gt;0,"Khimti Khola_60("&amp;ROUND(T45/24,3)&amp;")","Khimti Khola_60")</f>
        <v>Khimti Khola_60(33.546)</v>
      </c>
      <c r="T45" s="569">
        <v>805.11</v>
      </c>
      <c r="U45" s="398">
        <f>VLOOKUP($R45,$AG$6:$AK$106,3,FALSE)</f>
        <v>41</v>
      </c>
      <c r="V45" s="289">
        <f>VLOOKUP($R45,$AG$6:$AK$106,5,FALSE)</f>
        <v>41</v>
      </c>
      <c r="AD45" s="560"/>
      <c r="AE45" s="560"/>
      <c r="AG45" s="175">
        <v>6003</v>
      </c>
      <c r="AH45" s="254" t="s">
        <v>484</v>
      </c>
      <c r="AI45" s="380">
        <v>467.49999999999994</v>
      </c>
      <c r="AJ45" s="380">
        <v>461</v>
      </c>
      <c r="AK45" s="255">
        <v>463.2</v>
      </c>
      <c r="AN45" s="256"/>
      <c r="AO45" s="257">
        <v>0.49479166666666669</v>
      </c>
      <c r="AZ45" s="293" t="s">
        <v>467</v>
      </c>
      <c r="BA45" s="294">
        <f ca="1">VLOOKUP(BA$41,$OP$2:$OT$300,5,FALSE)</f>
        <v>0</v>
      </c>
      <c r="BB45" s="294">
        <f ca="1">VLOOKUP(BB$41,$OP$2:$OT$300,5,FALSE)</f>
        <v>0</v>
      </c>
      <c r="BC45" s="294">
        <f ca="1">VLOOKUP(BC$41,$OP$2:$OT$300,5,FALSE)</f>
        <v>0</v>
      </c>
      <c r="BD45" s="294">
        <f ca="1">VLOOKUP(BD$41,$OP$2:$OT$300,5,FALSE)</f>
        <v>0</v>
      </c>
      <c r="BE45" s="294">
        <f ca="1">VLOOKUP(BE$41,$OP$2:$OT$300,5,FALSE)</f>
        <v>0</v>
      </c>
      <c r="BF45" s="418">
        <f ca="1">SUM(BA45:BE45)</f>
        <v>0</v>
      </c>
      <c r="BG45" s="570"/>
      <c r="BH45" s="442"/>
      <c r="BI45" s="554"/>
      <c r="BJ45" s="181"/>
      <c r="BK45" s="181"/>
      <c r="BL45" s="181"/>
      <c r="BM45" s="177"/>
      <c r="BN45" s="571"/>
      <c r="BO45" s="177"/>
      <c r="BP45" s="181"/>
      <c r="BQ45" s="181"/>
      <c r="BR45" s="181"/>
      <c r="BS45" s="181"/>
      <c r="BT45" s="181"/>
      <c r="BU45" s="181"/>
      <c r="BV45" s="181"/>
      <c r="BW45" s="188"/>
      <c r="BX45" s="279"/>
      <c r="BY45" s="188"/>
      <c r="BZ45" s="188"/>
      <c r="CA45" s="188"/>
      <c r="CB45" s="188"/>
      <c r="CC45" s="188"/>
      <c r="CD45" s="557"/>
      <c r="CE45" s="188"/>
      <c r="CF45" s="188"/>
      <c r="CG45" s="188"/>
      <c r="CH45" s="188"/>
      <c r="CI45" s="188"/>
      <c r="CJ45" s="188"/>
      <c r="CK45" s="188"/>
      <c r="CL45" s="188"/>
      <c r="CM45" s="188"/>
      <c r="CN45" s="188"/>
      <c r="CO45" s="188"/>
      <c r="CP45" s="188"/>
      <c r="CQ45" s="188"/>
      <c r="CR45" s="188"/>
      <c r="CS45" s="188"/>
      <c r="CT45" s="187"/>
      <c r="CU45" s="187"/>
      <c r="CV45" s="187"/>
      <c r="CW45" s="187"/>
      <c r="CX45" s="181"/>
      <c r="CY45" s="181"/>
      <c r="CZ45" s="181"/>
      <c r="DA45" s="181"/>
      <c r="DB45" s="181"/>
      <c r="DC45" s="181"/>
      <c r="DD45" s="181"/>
      <c r="DE45" s="181"/>
      <c r="DF45" s="181"/>
      <c r="DG45" s="181"/>
      <c r="DH45" s="181"/>
      <c r="DI45" s="181"/>
      <c r="DJ45" s="181"/>
      <c r="DK45" s="181"/>
      <c r="DL45" s="181"/>
      <c r="DM45" s="181"/>
      <c r="DN45" s="181"/>
      <c r="DO45" s="181"/>
      <c r="DP45" s="181"/>
      <c r="DQ45" s="181"/>
      <c r="DR45" s="181"/>
      <c r="DS45" s="181"/>
      <c r="DT45" s="181"/>
      <c r="DU45" s="181"/>
      <c r="DV45" s="181"/>
      <c r="DW45" s="181"/>
      <c r="DX45" s="181"/>
      <c r="DY45" s="181"/>
      <c r="DZ45" s="181"/>
      <c r="EA45" s="187"/>
      <c r="EB45" s="181"/>
      <c r="EC45" s="181"/>
      <c r="ED45" s="181"/>
      <c r="EE45" s="181"/>
      <c r="EF45" s="181"/>
      <c r="EG45" s="181"/>
      <c r="EH45" s="181"/>
      <c r="EI45" s="181"/>
      <c r="EJ45" s="181"/>
      <c r="EK45" s="181"/>
      <c r="EL45" s="181"/>
      <c r="EM45" s="181"/>
      <c r="EN45" s="181"/>
      <c r="EO45" s="189"/>
      <c r="EP45" s="181"/>
      <c r="EQ45" s="181"/>
      <c r="ER45" s="181"/>
      <c r="ES45" s="181"/>
      <c r="ET45" s="181"/>
      <c r="EU45" s="181"/>
      <c r="EV45" s="181"/>
      <c r="EW45" s="181"/>
      <c r="EX45" s="181"/>
      <c r="EY45" s="181"/>
      <c r="EZ45" s="181"/>
      <c r="FA45" s="181"/>
      <c r="FB45" s="181"/>
      <c r="FC45" s="181"/>
      <c r="FD45" s="181"/>
      <c r="FE45" s="181"/>
      <c r="FF45" s="181"/>
      <c r="FG45" s="181"/>
      <c r="FH45" s="181"/>
      <c r="FI45" s="181"/>
      <c r="FJ45" s="181"/>
      <c r="FK45" s="181"/>
      <c r="FL45" s="181"/>
      <c r="FM45" s="181"/>
      <c r="FN45" s="181"/>
      <c r="FO45" s="181"/>
      <c r="FP45" s="181"/>
      <c r="FQ45" s="181"/>
      <c r="FR45" s="181"/>
      <c r="FS45" s="181"/>
      <c r="FT45" s="181"/>
      <c r="FU45" s="181"/>
      <c r="FV45" s="181"/>
      <c r="FW45" s="181"/>
      <c r="FX45" s="181"/>
      <c r="FY45" s="181"/>
      <c r="FZ45" s="181"/>
      <c r="GA45" s="181"/>
      <c r="GB45" s="181"/>
      <c r="GC45" s="181"/>
      <c r="GD45" s="181"/>
      <c r="GE45" s="181"/>
      <c r="GF45" s="181"/>
      <c r="JB45" s="175"/>
      <c r="JC45" s="175"/>
      <c r="JD45" s="175"/>
      <c r="JE45" s="175"/>
      <c r="JF45" s="175"/>
      <c r="JG45" s="175"/>
      <c r="JH45" s="175"/>
      <c r="JI45" s="175"/>
      <c r="JJ45" s="175"/>
      <c r="JK45" s="175"/>
      <c r="JL45" s="175"/>
      <c r="JM45" s="175"/>
      <c r="JN45" s="175"/>
      <c r="JO45" s="175"/>
      <c r="JP45" s="175"/>
      <c r="JQ45" s="175"/>
      <c r="JR45" s="175"/>
      <c r="JS45" s="175"/>
      <c r="JT45" s="175"/>
      <c r="JU45" s="175"/>
      <c r="JV45" s="175"/>
      <c r="JW45" s="175"/>
      <c r="JX45" s="175"/>
      <c r="JY45" s="175"/>
      <c r="ON45" s="223" t="s">
        <v>267</v>
      </c>
      <c r="OO45" s="224" t="s">
        <v>268</v>
      </c>
      <c r="OP45" s="224"/>
      <c r="OQ45" s="224"/>
      <c r="OR45" s="224"/>
      <c r="OS45" s="224"/>
      <c r="OT45" s="224"/>
    </row>
    <row r="46" spans="1:410" ht="15.75" customHeight="1" thickBot="1" x14ac:dyDescent="0.25">
      <c r="A46" s="175">
        <v>2011</v>
      </c>
      <c r="B46" s="572"/>
      <c r="C46" s="451" t="s">
        <v>472</v>
      </c>
      <c r="D46" s="573">
        <f>Y35</f>
        <v>0</v>
      </c>
      <c r="E46" s="453">
        <f>Y36</f>
        <v>0</v>
      </c>
      <c r="F46" s="454">
        <f>Y37</f>
        <v>0</v>
      </c>
      <c r="G46" s="396">
        <v>8030</v>
      </c>
      <c r="H46" s="392" t="str">
        <f>IF(I46&gt;0,"Indrawati - III _7.5("&amp;ROUND(I46/24,3)&amp;")","Indrawati - III _7.5")</f>
        <v>Indrawati - III _7.5(3.89)</v>
      </c>
      <c r="I46" s="398">
        <v>93.37</v>
      </c>
      <c r="J46" s="398">
        <f t="shared" ref="J46:K49" si="48">$I46/24</f>
        <v>3.8904166666666669</v>
      </c>
      <c r="K46" s="289">
        <f t="shared" si="48"/>
        <v>3.8904166666666669</v>
      </c>
      <c r="L46" s="396">
        <v>8097</v>
      </c>
      <c r="M46" s="392" t="str">
        <f>IF(N46&gt;0,"Solu Khola_23.5("&amp;ROUND(N46/24,3)&amp;")","Solu Khola_23.5")</f>
        <v>Solu Khola_23.5(8.975)</v>
      </c>
      <c r="N46" s="428">
        <v>215.4</v>
      </c>
      <c r="O46" s="398">
        <f>VLOOKUP($L46,$AG$6:$AK$106,3,FALSE)</f>
        <v>9</v>
      </c>
      <c r="P46" s="289">
        <f>VLOOKUP($L46,$AG$6:$AK$106,5,FALSE)</f>
        <v>9</v>
      </c>
      <c r="Q46" s="379"/>
      <c r="R46" s="396">
        <v>7003</v>
      </c>
      <c r="S46" s="574" t="str">
        <f>IF(T46&gt;0,"Upper Tamakoshi_456("&amp;ROUND(T46/24,3)&amp;")","Upper Tamakoshi_456")</f>
        <v>Upper Tamakoshi_456(90.127)</v>
      </c>
      <c r="T46" s="575">
        <v>2163.04</v>
      </c>
      <c r="U46" s="576">
        <f>VLOOKUP($R46,$AG$6:$AK$106,3,FALSE)</f>
        <v>335</v>
      </c>
      <c r="V46" s="577">
        <f>VLOOKUP($R46,$AG$6:$AK$106,5,FALSE)</f>
        <v>230</v>
      </c>
      <c r="AG46" s="175">
        <v>7003</v>
      </c>
      <c r="AH46" s="254" t="s">
        <v>53</v>
      </c>
      <c r="AI46" s="380">
        <v>335</v>
      </c>
      <c r="AJ46" s="380">
        <v>0</v>
      </c>
      <c r="AK46" s="255">
        <v>230</v>
      </c>
      <c r="AN46" s="256"/>
      <c r="AO46" s="257">
        <v>0.45</v>
      </c>
      <c r="AZ46" s="332" t="s">
        <v>362</v>
      </c>
      <c r="BA46" s="356"/>
      <c r="BB46" s="356"/>
      <c r="BC46" s="356"/>
      <c r="BD46" s="356"/>
      <c r="BE46" s="356"/>
      <c r="BF46" s="578"/>
      <c r="BG46" s="182"/>
      <c r="BH46" s="503"/>
      <c r="BI46" s="554"/>
      <c r="BJ46" s="181"/>
      <c r="BK46" s="181"/>
      <c r="BL46" s="181"/>
      <c r="BM46" s="177"/>
      <c r="BN46" s="579"/>
      <c r="BO46" s="181"/>
      <c r="BP46" s="697" t="s">
        <v>485</v>
      </c>
      <c r="BQ46" s="697"/>
      <c r="BR46" s="290"/>
      <c r="BS46" s="181"/>
      <c r="BT46" s="181"/>
      <c r="BU46" s="181"/>
      <c r="BV46" s="181"/>
      <c r="BW46" s="188"/>
      <c r="BX46" s="279"/>
      <c r="BY46" s="188"/>
      <c r="BZ46" s="188"/>
      <c r="CA46" s="188"/>
      <c r="CB46" s="188"/>
      <c r="CC46" s="188"/>
      <c r="CD46" s="557"/>
      <c r="CE46" s="188"/>
      <c r="CF46" s="188"/>
      <c r="CG46" s="188"/>
      <c r="CH46" s="188"/>
      <c r="CI46" s="188"/>
      <c r="CJ46" s="188"/>
      <c r="CK46" s="188"/>
      <c r="CL46" s="188"/>
      <c r="CM46" s="188"/>
      <c r="CN46" s="188"/>
      <c r="CO46" s="188"/>
      <c r="CP46" s="188"/>
      <c r="CQ46" s="188"/>
      <c r="CR46" s="188"/>
      <c r="CS46" s="188"/>
      <c r="CT46" s="187"/>
      <c r="CU46" s="187"/>
      <c r="CV46" s="187"/>
      <c r="CW46" s="187"/>
      <c r="CX46" s="181"/>
      <c r="CY46" s="181"/>
      <c r="CZ46" s="181"/>
      <c r="DA46" s="181"/>
      <c r="DB46" s="181"/>
      <c r="DC46" s="181"/>
      <c r="DD46" s="181"/>
      <c r="DE46" s="181"/>
      <c r="DF46" s="181"/>
      <c r="DG46" s="181"/>
      <c r="DH46" s="181"/>
      <c r="DI46" s="181"/>
      <c r="DJ46" s="181"/>
      <c r="DK46" s="181"/>
      <c r="DL46" s="181"/>
      <c r="DM46" s="181"/>
      <c r="DN46" s="181"/>
      <c r="DO46" s="181"/>
      <c r="DP46" s="181"/>
      <c r="DQ46" s="181"/>
      <c r="DR46" s="181"/>
      <c r="DS46" s="181"/>
      <c r="DT46" s="181"/>
      <c r="DU46" s="181"/>
      <c r="DV46" s="181"/>
      <c r="DW46" s="181"/>
      <c r="DX46" s="181"/>
      <c r="DY46" s="181"/>
      <c r="DZ46" s="181"/>
      <c r="EA46" s="187"/>
      <c r="EB46" s="181"/>
      <c r="EC46" s="181"/>
      <c r="ED46" s="181"/>
      <c r="EE46" s="181"/>
      <c r="EF46" s="181"/>
      <c r="EG46" s="181"/>
      <c r="EH46" s="181"/>
      <c r="EI46" s="181"/>
      <c r="EJ46" s="181"/>
      <c r="EK46" s="181"/>
      <c r="EL46" s="181"/>
      <c r="EM46" s="181"/>
      <c r="EN46" s="181"/>
      <c r="EO46" s="189"/>
      <c r="EP46" s="181"/>
      <c r="EQ46" s="181"/>
      <c r="ER46" s="181"/>
      <c r="ES46" s="181"/>
      <c r="ET46" s="181"/>
      <c r="EU46" s="181"/>
      <c r="EV46" s="181"/>
      <c r="EW46" s="181"/>
      <c r="EX46" s="181"/>
      <c r="EY46" s="181"/>
      <c r="EZ46" s="181"/>
      <c r="FA46" s="181"/>
      <c r="FB46" s="181"/>
      <c r="FC46" s="181"/>
      <c r="FD46" s="181"/>
      <c r="FE46" s="181"/>
      <c r="FF46" s="181"/>
      <c r="FG46" s="181"/>
      <c r="FH46" s="181"/>
      <c r="FI46" s="181"/>
      <c r="FJ46" s="181"/>
      <c r="FK46" s="181"/>
      <c r="FL46" s="181"/>
      <c r="FM46" s="181"/>
      <c r="FN46" s="181"/>
      <c r="FO46" s="181"/>
      <c r="FP46" s="181"/>
      <c r="FQ46" s="181"/>
      <c r="FR46" s="181"/>
      <c r="FS46" s="181"/>
      <c r="FT46" s="181"/>
      <c r="FU46" s="181"/>
      <c r="FV46" s="181"/>
      <c r="FW46" s="181"/>
      <c r="FX46" s="181"/>
      <c r="FY46" s="181"/>
      <c r="FZ46" s="181"/>
      <c r="GA46" s="181"/>
      <c r="GB46" s="181"/>
      <c r="GC46" s="181"/>
      <c r="GD46" s="181"/>
      <c r="GE46" s="181"/>
      <c r="GF46" s="181"/>
      <c r="JB46" s="175"/>
      <c r="JC46" s="175"/>
      <c r="JD46" s="175"/>
      <c r="JE46" s="175"/>
      <c r="JF46" s="175"/>
      <c r="JG46" s="175"/>
      <c r="JH46" s="175"/>
      <c r="JI46" s="175"/>
      <c r="JJ46" s="175"/>
      <c r="JK46" s="175"/>
      <c r="JL46" s="175"/>
      <c r="JM46" s="175"/>
      <c r="JN46" s="175"/>
      <c r="JO46" s="175"/>
      <c r="JP46" s="175"/>
      <c r="JQ46" s="175"/>
      <c r="JR46" s="175"/>
      <c r="JS46" s="175"/>
      <c r="JT46" s="175"/>
      <c r="JU46" s="175"/>
      <c r="JV46" s="175"/>
      <c r="JW46" s="175"/>
      <c r="JX46" s="175"/>
      <c r="JY46" s="175"/>
      <c r="ON46" s="223" t="s">
        <v>267</v>
      </c>
      <c r="OO46" s="224" t="s">
        <v>268</v>
      </c>
      <c r="OP46" s="224"/>
      <c r="OQ46" s="224"/>
      <c r="OR46" s="224"/>
      <c r="OS46" s="224"/>
      <c r="OT46" s="224"/>
    </row>
    <row r="47" spans="1:410" ht="15" customHeight="1" thickBot="1" x14ac:dyDescent="0.25">
      <c r="A47" s="175">
        <v>6008</v>
      </c>
      <c r="B47" s="580"/>
      <c r="C47" s="581" t="s">
        <v>486</v>
      </c>
      <c r="D47" s="582">
        <f ca="1">SUM(D36:D46)</f>
        <v>856521.58523959992</v>
      </c>
      <c r="E47" s="583">
        <f t="shared" ref="E47:E52" si="49">VLOOKUP($A47,$AG$6:$AK$106,3,FALSE)</f>
        <v>489.4</v>
      </c>
      <c r="F47" s="584">
        <f t="shared" ref="F47:F52" si="50">VLOOKUP($A47,$AG$6:$AK$106,5,FALSE)</f>
        <v>263.2</v>
      </c>
      <c r="G47" s="396">
        <v>8031</v>
      </c>
      <c r="H47" s="392" t="str">
        <f>IF(I47&gt;0,"Indushankar Chini Udhyog Ltd._3("&amp;ROUND(I47/24,3)&amp;")","Indushankar Chini Udhyog Ltd._3")</f>
        <v>Indushankar Chini Udhyog Ltd._3</v>
      </c>
      <c r="I47" s="398"/>
      <c r="J47" s="398">
        <f t="shared" si="48"/>
        <v>0</v>
      </c>
      <c r="K47" s="289">
        <f t="shared" si="48"/>
        <v>0</v>
      </c>
      <c r="L47" s="396">
        <v>8098</v>
      </c>
      <c r="M47" s="433" t="str">
        <f>IF(N47&gt;0,"Sunkoshi Small_2.5("&amp;ROUND(N47/24,3)&amp;")","Sunkoshi Small_2.5")</f>
        <v>Sunkoshi Small_2.5</v>
      </c>
      <c r="N47" s="528"/>
      <c r="O47" s="398">
        <f t="shared" ref="O47:P55" si="51">$N47/24</f>
        <v>0</v>
      </c>
      <c r="P47" s="289">
        <f t="shared" si="51"/>
        <v>0</v>
      </c>
      <c r="Q47" s="379"/>
      <c r="R47" s="396"/>
      <c r="S47" s="585" t="s">
        <v>318</v>
      </c>
      <c r="T47" s="586">
        <f>SUM(T44:T46)</f>
        <v>3270.29</v>
      </c>
      <c r="U47" s="587">
        <f>SUM(U44:U46)</f>
        <v>395.1</v>
      </c>
      <c r="V47" s="588">
        <f>SUM(V44:V46)</f>
        <v>282.3</v>
      </c>
      <c r="AG47" s="175">
        <v>7002</v>
      </c>
      <c r="AH47" s="254" t="s">
        <v>54</v>
      </c>
      <c r="AI47" s="380">
        <v>41</v>
      </c>
      <c r="AJ47" s="380">
        <v>41</v>
      </c>
      <c r="AK47" s="255">
        <v>41</v>
      </c>
      <c r="AN47" s="256"/>
      <c r="AO47" s="257">
        <v>0</v>
      </c>
      <c r="AZ47" s="366" t="s">
        <v>368</v>
      </c>
      <c r="BA47" s="370"/>
      <c r="BB47" s="370"/>
      <c r="BC47" s="370"/>
      <c r="BD47" s="370"/>
      <c r="BE47" s="370"/>
      <c r="BF47" s="370"/>
      <c r="BG47" s="182"/>
      <c r="BH47" s="589"/>
      <c r="BI47" s="554"/>
      <c r="BJ47" s="181"/>
      <c r="BK47" s="181"/>
      <c r="BL47" s="181"/>
      <c r="BM47" s="181"/>
      <c r="BN47" s="181"/>
      <c r="BO47" s="590"/>
      <c r="BP47" s="697" t="s">
        <v>487</v>
      </c>
      <c r="BQ47" s="697"/>
      <c r="BR47" s="290"/>
      <c r="BS47" s="181"/>
      <c r="BT47" s="181"/>
      <c r="BU47" s="181"/>
      <c r="BV47" s="181"/>
      <c r="BW47" s="188"/>
      <c r="BX47" s="188"/>
      <c r="BY47" s="188"/>
      <c r="BZ47" s="279"/>
      <c r="CA47" s="279"/>
      <c r="CB47" s="188"/>
      <c r="CC47" s="188"/>
      <c r="CD47" s="188"/>
      <c r="CE47" s="188"/>
      <c r="CF47" s="591"/>
      <c r="CG47" s="181"/>
      <c r="CH47" s="181"/>
      <c r="CI47" s="181"/>
      <c r="CJ47" s="181"/>
      <c r="CK47" s="181"/>
      <c r="CL47" s="188"/>
      <c r="CM47" s="188"/>
      <c r="CN47" s="188"/>
      <c r="CO47" s="188"/>
      <c r="CP47" s="188"/>
      <c r="CQ47" s="188"/>
      <c r="CR47" s="188"/>
      <c r="CS47" s="188"/>
      <c r="CT47" s="188"/>
      <c r="CU47" s="187"/>
      <c r="CV47" s="187"/>
      <c r="CW47" s="187"/>
      <c r="CX47" s="187"/>
      <c r="CY47" s="187"/>
      <c r="CZ47" s="181"/>
      <c r="DA47" s="181"/>
      <c r="DB47" s="181"/>
      <c r="DC47" s="181"/>
      <c r="DD47" s="181"/>
      <c r="DE47" s="181"/>
      <c r="DF47" s="181"/>
      <c r="DG47" s="181"/>
      <c r="DH47" s="181"/>
      <c r="DI47" s="181"/>
      <c r="DJ47" s="181"/>
      <c r="DK47" s="181"/>
      <c r="DL47" s="181"/>
      <c r="DM47" s="181"/>
      <c r="DN47" s="181"/>
      <c r="DO47" s="181"/>
      <c r="DP47" s="181"/>
      <c r="DQ47" s="181"/>
      <c r="DR47" s="181"/>
      <c r="DS47" s="181"/>
      <c r="DT47" s="181"/>
      <c r="DU47" s="181"/>
      <c r="DV47" s="181"/>
      <c r="DW47" s="181"/>
      <c r="DX47" s="181"/>
      <c r="DY47" s="181"/>
      <c r="DZ47" s="181"/>
      <c r="EA47" s="188"/>
      <c r="EB47" s="181"/>
      <c r="EC47" s="181"/>
      <c r="ED47" s="181"/>
      <c r="EE47" s="181"/>
      <c r="EF47" s="181"/>
      <c r="EG47" s="181"/>
      <c r="EH47" s="181"/>
      <c r="EI47" s="181"/>
      <c r="EJ47" s="181"/>
      <c r="EK47" s="181"/>
      <c r="EL47" s="181"/>
      <c r="EM47" s="181"/>
      <c r="EN47" s="181"/>
      <c r="EO47" s="181"/>
      <c r="EP47" s="181"/>
      <c r="EQ47" s="181"/>
      <c r="ER47" s="189"/>
      <c r="ES47" s="181"/>
      <c r="ET47" s="181"/>
      <c r="EU47" s="181"/>
      <c r="EV47" s="181"/>
      <c r="EW47" s="181"/>
      <c r="EX47" s="181"/>
      <c r="EY47" s="181"/>
      <c r="EZ47" s="181"/>
      <c r="FA47" s="181"/>
      <c r="FB47" s="181"/>
      <c r="FC47" s="181"/>
      <c r="FD47" s="181"/>
      <c r="FE47" s="181"/>
      <c r="FF47" s="181"/>
      <c r="FG47" s="181"/>
      <c r="FH47" s="181"/>
      <c r="FI47" s="181"/>
      <c r="FJ47" s="181"/>
      <c r="FK47" s="181"/>
      <c r="FL47" s="181"/>
      <c r="FM47" s="181"/>
      <c r="FN47" s="181"/>
      <c r="FO47" s="181"/>
      <c r="FP47" s="181"/>
      <c r="FQ47" s="181"/>
      <c r="FR47" s="181"/>
      <c r="FS47" s="181"/>
      <c r="FT47" s="181"/>
      <c r="FU47" s="181"/>
      <c r="FV47" s="181"/>
      <c r="FW47" s="181"/>
      <c r="FX47" s="181"/>
      <c r="FY47" s="181"/>
      <c r="FZ47" s="181"/>
      <c r="GA47" s="181"/>
      <c r="GB47" s="181"/>
      <c r="GC47" s="181"/>
      <c r="GD47" s="181"/>
      <c r="GE47" s="181"/>
      <c r="GF47" s="181"/>
      <c r="JB47" s="175"/>
      <c r="JC47" s="175"/>
      <c r="JD47" s="175"/>
      <c r="JE47" s="175"/>
      <c r="JF47" s="175"/>
      <c r="JG47" s="175"/>
      <c r="JH47" s="175"/>
      <c r="JI47" s="175"/>
      <c r="JJ47" s="175"/>
      <c r="JK47" s="175"/>
      <c r="JL47" s="175"/>
      <c r="JM47" s="175"/>
      <c r="JN47" s="175"/>
      <c r="JO47" s="175"/>
      <c r="JP47" s="175"/>
      <c r="JQ47" s="175"/>
      <c r="JR47" s="175"/>
      <c r="JS47" s="175"/>
      <c r="JT47" s="175"/>
      <c r="JU47" s="175"/>
      <c r="JV47" s="175"/>
      <c r="JW47" s="175"/>
      <c r="JX47" s="175"/>
      <c r="JY47" s="175"/>
      <c r="ON47" s="223" t="s">
        <v>267</v>
      </c>
      <c r="OO47" s="224" t="s">
        <v>268</v>
      </c>
      <c r="OP47" s="224"/>
      <c r="OQ47" s="224"/>
      <c r="OR47" s="224"/>
      <c r="OS47" s="224"/>
      <c r="OT47" s="224"/>
    </row>
    <row r="48" spans="1:410" x14ac:dyDescent="0.25">
      <c r="A48" s="175">
        <v>3001</v>
      </c>
      <c r="B48" s="592"/>
      <c r="C48" s="374" t="s">
        <v>488</v>
      </c>
      <c r="D48" s="593"/>
      <c r="E48" s="375">
        <f t="shared" si="49"/>
        <v>0</v>
      </c>
      <c r="F48" s="376">
        <f t="shared" si="50"/>
        <v>0</v>
      </c>
      <c r="G48" s="396">
        <v>8032</v>
      </c>
      <c r="H48" s="392" t="str">
        <f>IF(I48&gt;0,"Iwa Khola_9.9("&amp;ROUND(I48/24,3)&amp;")","Iwa Khola_9.9")</f>
        <v>Iwa Khola_9.9(2.079)</v>
      </c>
      <c r="I48" s="528">
        <v>49.9</v>
      </c>
      <c r="J48" s="398">
        <f t="shared" si="48"/>
        <v>2.0791666666666666</v>
      </c>
      <c r="K48" s="289">
        <f t="shared" si="48"/>
        <v>2.0791666666666666</v>
      </c>
      <c r="L48" s="396">
        <v>8099</v>
      </c>
      <c r="M48" s="392" t="str">
        <f>IF(N48&gt;0,"Super Mai_7.8("&amp;ROUND(N48/24,3)&amp;")","Super Mai_7.8")</f>
        <v>Super Mai_7.8(2.145)</v>
      </c>
      <c r="N48" s="594">
        <v>51.48</v>
      </c>
      <c r="O48" s="398">
        <f t="shared" si="51"/>
        <v>2.145</v>
      </c>
      <c r="P48" s="289">
        <f t="shared" si="51"/>
        <v>2.145</v>
      </c>
      <c r="Q48" s="379"/>
      <c r="AG48" s="175">
        <v>7001</v>
      </c>
      <c r="AH48" s="254" t="s">
        <v>55</v>
      </c>
      <c r="AI48" s="380">
        <v>19.100000000000001</v>
      </c>
      <c r="AJ48" s="380">
        <v>11.3</v>
      </c>
      <c r="AK48" s="255">
        <v>11.3</v>
      </c>
      <c r="AN48" s="256"/>
      <c r="AO48" s="257">
        <v>0.4</v>
      </c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 s="181"/>
      <c r="BT48" s="181"/>
      <c r="BU48" s="181"/>
      <c r="BV48" s="181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JB48" s="175"/>
      <c r="JC48" s="175"/>
      <c r="JD48" s="175"/>
      <c r="JE48" s="175"/>
      <c r="JF48" s="175"/>
      <c r="JG48" s="175"/>
      <c r="JH48" s="175"/>
      <c r="JI48" s="175"/>
      <c r="JJ48" s="175"/>
      <c r="JK48" s="175"/>
      <c r="JL48" s="175"/>
      <c r="JM48" s="175"/>
      <c r="JN48" s="175"/>
      <c r="JO48" s="175"/>
      <c r="JP48" s="175"/>
      <c r="JQ48" s="175"/>
      <c r="JR48" s="175"/>
      <c r="JS48" s="175"/>
      <c r="JT48" s="175"/>
      <c r="JU48" s="175"/>
      <c r="JV48" s="175"/>
      <c r="JW48" s="175"/>
      <c r="JX48" s="175"/>
      <c r="JY48" s="175"/>
      <c r="ON48" s="223" t="s">
        <v>267</v>
      </c>
      <c r="OO48" s="224" t="s">
        <v>268</v>
      </c>
      <c r="OP48" s="224">
        <v>3000</v>
      </c>
      <c r="OQ48" s="224" t="s">
        <v>489</v>
      </c>
      <c r="OR48" s="224" t="str">
        <f ca="1">VLOOKUP($OP48,INDIRECT($ON48):INDIRECT($OO48),4,FALSE)</f>
        <v>Min</v>
      </c>
      <c r="OS48" s="224">
        <f ca="1">VLOOKUP($OP48,INDIRECT($ON48):INDIRECT($OO48),5,FALSE)</f>
        <v>0</v>
      </c>
      <c r="OT48" s="224">
        <f ca="1">VLOOKUP($OP48,INDIRECT($ON48):INDIRECT($OO48),6,FALSE)</f>
        <v>0</v>
      </c>
    </row>
    <row r="49" spans="1:410" x14ac:dyDescent="0.25">
      <c r="A49" s="175">
        <v>3002</v>
      </c>
      <c r="B49" s="534"/>
      <c r="C49" s="392" t="s">
        <v>490</v>
      </c>
      <c r="D49" s="595">
        <f ca="1">F70</f>
        <v>-695.2</v>
      </c>
      <c r="E49" s="394">
        <f t="shared" si="49"/>
        <v>0</v>
      </c>
      <c r="F49" s="395">
        <f t="shared" si="50"/>
        <v>0</v>
      </c>
      <c r="G49" s="396">
        <v>8033</v>
      </c>
      <c r="H49" s="392" t="str">
        <f>IF(I49&gt;0,"Jeuligad_0.996("&amp;ROUND(I49/24,3)&amp;")","Jeuligad_0.996")</f>
        <v>Jeuligad_0.996</v>
      </c>
      <c r="I49" s="594"/>
      <c r="J49" s="398">
        <f t="shared" si="48"/>
        <v>0</v>
      </c>
      <c r="K49" s="289">
        <f t="shared" si="48"/>
        <v>0</v>
      </c>
      <c r="L49" s="396">
        <v>8100</v>
      </c>
      <c r="M49" s="392" t="str">
        <f>IF(N49&gt;0,"Super Mai 'A' _9.6("&amp;ROUND(N49/24,3)&amp;")","Super Mai 'A' _9.6")</f>
        <v>Super Mai 'A' _9.6(2.59)</v>
      </c>
      <c r="N49" s="567">
        <v>62.17</v>
      </c>
      <c r="O49" s="398">
        <f t="shared" si="51"/>
        <v>2.5904166666666666</v>
      </c>
      <c r="P49" s="289">
        <f t="shared" si="51"/>
        <v>2.5904166666666666</v>
      </c>
      <c r="Q49" s="379"/>
      <c r="T49" s="596"/>
      <c r="AG49" s="175">
        <v>6004</v>
      </c>
      <c r="AH49" s="254" t="s">
        <v>56</v>
      </c>
      <c r="AI49" s="380">
        <v>388.6</v>
      </c>
      <c r="AJ49" s="380">
        <v>52.3</v>
      </c>
      <c r="AK49" s="255">
        <v>282.3</v>
      </c>
      <c r="AN49" s="256"/>
      <c r="AO49" s="257">
        <v>0</v>
      </c>
      <c r="BA49"/>
      <c r="JB49" s="175"/>
      <c r="JC49" s="175"/>
      <c r="JD49" s="175"/>
      <c r="JE49" s="175"/>
      <c r="JF49" s="175"/>
      <c r="JG49" s="175"/>
      <c r="JH49" s="175"/>
      <c r="JI49" s="175"/>
      <c r="JJ49" s="175"/>
      <c r="JK49" s="175"/>
      <c r="JL49" s="175"/>
      <c r="JM49" s="175"/>
      <c r="JN49" s="175"/>
      <c r="JO49" s="175"/>
      <c r="JP49" s="175"/>
      <c r="JQ49" s="175"/>
      <c r="JR49" s="175"/>
      <c r="JS49" s="175"/>
      <c r="JT49" s="175"/>
      <c r="JU49" s="175"/>
      <c r="JV49" s="175"/>
      <c r="JW49" s="175"/>
      <c r="JX49" s="175"/>
      <c r="JY49" s="175"/>
      <c r="ON49" s="223" t="s">
        <v>267</v>
      </c>
      <c r="OO49" s="224" t="s">
        <v>268</v>
      </c>
      <c r="OP49" s="224">
        <v>3001</v>
      </c>
      <c r="OQ49" s="224" t="s">
        <v>488</v>
      </c>
      <c r="OR49" s="224">
        <f ca="1">VLOOKUP($OP49,INDIRECT($ON49):INDIRECT($OO49),4,FALSE)</f>
        <v>0</v>
      </c>
      <c r="OS49" s="224">
        <f ca="1">VLOOKUP($OP49,INDIRECT($ON49):INDIRECT($OO49),5,FALSE)</f>
        <v>0</v>
      </c>
      <c r="OT49" s="224">
        <f ca="1">VLOOKUP($OP49,INDIRECT($ON49):INDIRECT($OO49),6,FALSE)</f>
        <v>0</v>
      </c>
    </row>
    <row r="50" spans="1:410" x14ac:dyDescent="0.25">
      <c r="A50" s="175">
        <v>3003</v>
      </c>
      <c r="B50" s="534"/>
      <c r="C50" s="392" t="s">
        <v>491</v>
      </c>
      <c r="D50" s="595"/>
      <c r="E50" s="394">
        <f t="shared" si="49"/>
        <v>0</v>
      </c>
      <c r="F50" s="395">
        <f t="shared" si="50"/>
        <v>0</v>
      </c>
      <c r="G50" s="396">
        <v>8034</v>
      </c>
      <c r="H50" s="392" t="str">
        <f>IF(I50&gt;0,"Jhimruk Khola_12("&amp;ROUND(I50/24,3)&amp;")","Jhimruk Khola_12")</f>
        <v>Jhimruk Khola_12(10.436)</v>
      </c>
      <c r="I50" s="567">
        <v>250.45599999999999</v>
      </c>
      <c r="J50" s="398">
        <f>VLOOKUP($G50,$AG$6:$AK$106,3,FALSE)</f>
        <v>12</v>
      </c>
      <c r="K50" s="289">
        <f>VLOOKUP($G50,$AG$6:$AK$106,5,FALSE)</f>
        <v>12</v>
      </c>
      <c r="L50" s="396">
        <v>8101</v>
      </c>
      <c r="M50" s="433" t="str">
        <f>IF(N50&gt;0,"Super Mai Cascade_3.8("&amp;ROUND(N50/24,3)&amp;")","Super Mai Cascade_3.8")</f>
        <v>Super Mai Cascade_3.8(0.828)</v>
      </c>
      <c r="N50" s="567">
        <v>19.86</v>
      </c>
      <c r="O50" s="398">
        <f t="shared" si="51"/>
        <v>0.82750000000000001</v>
      </c>
      <c r="P50" s="289">
        <f t="shared" si="51"/>
        <v>0.82750000000000001</v>
      </c>
      <c r="Q50" s="379"/>
      <c r="T50" s="434"/>
      <c r="V50" s="597"/>
      <c r="W50" s="598"/>
      <c r="AG50" s="175">
        <v>1001</v>
      </c>
      <c r="AH50" s="254" t="s">
        <v>57</v>
      </c>
      <c r="AI50" s="380">
        <v>142</v>
      </c>
      <c r="AJ50" s="380">
        <v>0</v>
      </c>
      <c r="AK50" s="255">
        <v>131</v>
      </c>
      <c r="AN50" s="256"/>
      <c r="AO50" s="257">
        <v>0</v>
      </c>
      <c r="JB50" s="175"/>
      <c r="JC50" s="175"/>
      <c r="JD50" s="175"/>
      <c r="JE50" s="175"/>
      <c r="JF50" s="175"/>
      <c r="JG50" s="175"/>
      <c r="JH50" s="175"/>
      <c r="JI50" s="175"/>
      <c r="JJ50" s="175"/>
      <c r="JK50" s="175"/>
      <c r="JL50" s="175"/>
      <c r="JM50" s="175"/>
      <c r="JN50" s="175"/>
      <c r="JO50" s="175"/>
      <c r="JP50" s="175"/>
      <c r="JQ50" s="175"/>
      <c r="JR50" s="175"/>
      <c r="JS50" s="175"/>
      <c r="JT50" s="175"/>
      <c r="JU50" s="175"/>
      <c r="JV50" s="175"/>
      <c r="JW50" s="175"/>
      <c r="JX50" s="175"/>
      <c r="JY50" s="175"/>
      <c r="ON50" s="223" t="s">
        <v>267</v>
      </c>
      <c r="OO50" s="224" t="s">
        <v>268</v>
      </c>
      <c r="OP50" s="224">
        <v>3002</v>
      </c>
      <c r="OQ50" s="224" t="s">
        <v>490</v>
      </c>
      <c r="OR50" s="224">
        <f ca="1">VLOOKUP($OP50,INDIRECT($ON50):INDIRECT($OO50),4,FALSE)</f>
        <v>-695.2</v>
      </c>
      <c r="OS50" s="224">
        <f ca="1">VLOOKUP($OP50,INDIRECT($ON50):INDIRECT($OO50),5,FALSE)</f>
        <v>0</v>
      </c>
      <c r="OT50" s="224">
        <f ca="1">VLOOKUP($OP50,INDIRECT($ON50):INDIRECT($OO50),6,FALSE)</f>
        <v>0</v>
      </c>
    </row>
    <row r="51" spans="1:410" ht="15.75" thickBot="1" x14ac:dyDescent="0.3">
      <c r="A51" s="175">
        <v>3004</v>
      </c>
      <c r="B51" s="599"/>
      <c r="C51" s="392" t="s">
        <v>492</v>
      </c>
      <c r="D51" s="595"/>
      <c r="E51" s="394">
        <f t="shared" si="49"/>
        <v>0</v>
      </c>
      <c r="F51" s="395">
        <f t="shared" si="50"/>
        <v>0</v>
      </c>
      <c r="G51" s="396">
        <v>8035</v>
      </c>
      <c r="H51" s="392" t="str">
        <f>IF(I51&gt;0,"Jhyadi Khola_2("&amp;ROUND(I51/24,3)&amp;")","Jhyadi Khola_2")</f>
        <v>Jhyadi Khola_2</v>
      </c>
      <c r="I51" s="398"/>
      <c r="J51" s="398">
        <f t="shared" ref="J51:K60" si="52">$I51/24</f>
        <v>0</v>
      </c>
      <c r="K51" s="289">
        <f t="shared" si="52"/>
        <v>0</v>
      </c>
      <c r="L51" s="396">
        <v>8102</v>
      </c>
      <c r="M51" s="392" t="str">
        <f>IF(N51&gt;0,"Suri Khola_6.4("&amp;ROUND(N51/24,3)&amp;")","Suri Khola_6.4")</f>
        <v>Suri Khola_6.4(2.267)</v>
      </c>
      <c r="N51" s="567">
        <v>54.4</v>
      </c>
      <c r="O51" s="398">
        <f t="shared" si="51"/>
        <v>2.2666666666666666</v>
      </c>
      <c r="P51" s="289">
        <f t="shared" si="51"/>
        <v>2.2666666666666666</v>
      </c>
      <c r="Q51" s="379"/>
      <c r="T51" s="434"/>
      <c r="V51" s="597"/>
      <c r="W51" s="598"/>
      <c r="AG51" s="175">
        <v>1002</v>
      </c>
      <c r="AH51" s="254" t="s">
        <v>58</v>
      </c>
      <c r="AI51" s="380">
        <v>72</v>
      </c>
      <c r="AJ51" s="380">
        <v>0</v>
      </c>
      <c r="AK51" s="255">
        <v>49.3</v>
      </c>
      <c r="AN51" s="256"/>
      <c r="AO51" s="257">
        <v>0.2</v>
      </c>
      <c r="JB51" s="175"/>
      <c r="JC51" s="175"/>
      <c r="JD51" s="175"/>
      <c r="JE51" s="175"/>
      <c r="JF51" s="175"/>
      <c r="JG51" s="175"/>
      <c r="JH51" s="175"/>
      <c r="JI51" s="175"/>
      <c r="JJ51" s="175"/>
      <c r="JK51" s="175"/>
      <c r="JL51" s="175"/>
      <c r="JM51" s="175"/>
      <c r="JN51" s="175"/>
      <c r="JO51" s="175"/>
      <c r="JP51" s="175"/>
      <c r="JQ51" s="175"/>
      <c r="JR51" s="175"/>
      <c r="JS51" s="175"/>
      <c r="JT51" s="175"/>
      <c r="JU51" s="175"/>
      <c r="JV51" s="175"/>
      <c r="JW51" s="175"/>
      <c r="JX51" s="175"/>
      <c r="JY51" s="175"/>
      <c r="ON51" s="223" t="s">
        <v>267</v>
      </c>
      <c r="OO51" s="224" t="s">
        <v>268</v>
      </c>
      <c r="OP51" s="224">
        <v>3003</v>
      </c>
      <c r="OQ51" s="224" t="s">
        <v>491</v>
      </c>
      <c r="OR51" s="224">
        <f ca="1">VLOOKUP($OP51,INDIRECT($ON51):INDIRECT($OO51),4,FALSE)</f>
        <v>0</v>
      </c>
      <c r="OS51" s="224">
        <f ca="1">VLOOKUP($OP51,INDIRECT($ON51):INDIRECT($OO51),5,FALSE)</f>
        <v>0</v>
      </c>
      <c r="OT51" s="224">
        <f ca="1">VLOOKUP($OP51,INDIRECT($ON51):INDIRECT($OO51),6,FALSE)</f>
        <v>0</v>
      </c>
    </row>
    <row r="52" spans="1:410" ht="15.75" thickBot="1" x14ac:dyDescent="0.3">
      <c r="A52" s="175">
        <v>3005</v>
      </c>
      <c r="B52" s="599"/>
      <c r="C52" s="451" t="s">
        <v>493</v>
      </c>
      <c r="D52" s="600"/>
      <c r="E52" s="453">
        <f t="shared" si="49"/>
        <v>0</v>
      </c>
      <c r="F52" s="454">
        <f t="shared" si="50"/>
        <v>0</v>
      </c>
      <c r="G52" s="396">
        <v>8036</v>
      </c>
      <c r="H52" s="392" t="str">
        <f>IF(I52&gt;0,"Jiri Khola Small_2.2("&amp;ROUND(I52/24,3)&amp;")","Jiri Khola Small_2.2")</f>
        <v>Jiri Khola Small_2.2</v>
      </c>
      <c r="I52" s="567"/>
      <c r="J52" s="398">
        <f t="shared" si="52"/>
        <v>0</v>
      </c>
      <c r="K52" s="289">
        <f t="shared" si="52"/>
        <v>0</v>
      </c>
      <c r="L52" s="396">
        <v>8103</v>
      </c>
      <c r="M52" s="433" t="str">
        <f>IF(N52&gt;0,"Syange Khola_0.183("&amp;ROUND(N52/24,3)&amp;")","Syange Khola_0.183")</f>
        <v>Syange Khola_0.183(0.112)</v>
      </c>
      <c r="N52" s="428">
        <v>2.6779999999999999</v>
      </c>
      <c r="O52" s="398">
        <f t="shared" si="51"/>
        <v>0.11158333333333333</v>
      </c>
      <c r="P52" s="289">
        <f t="shared" si="51"/>
        <v>0.11158333333333333</v>
      </c>
      <c r="Q52" s="379"/>
      <c r="T52" s="434"/>
      <c r="V52" s="597"/>
      <c r="W52" s="598"/>
      <c r="AG52" s="175">
        <v>1003</v>
      </c>
      <c r="AH52" s="254" t="s">
        <v>59</v>
      </c>
      <c r="AI52" s="380">
        <v>68</v>
      </c>
      <c r="AJ52" s="380">
        <v>0</v>
      </c>
      <c r="AK52" s="255">
        <v>69</v>
      </c>
      <c r="AN52" s="256"/>
      <c r="AO52" s="257">
        <v>0.2</v>
      </c>
      <c r="JB52" s="175"/>
      <c r="JC52" s="175"/>
      <c r="JD52" s="175"/>
      <c r="JE52" s="175"/>
      <c r="JF52" s="175"/>
      <c r="JG52" s="175"/>
      <c r="JH52" s="175"/>
      <c r="JI52" s="175"/>
      <c r="JJ52" s="175"/>
      <c r="JK52" s="175"/>
      <c r="JL52" s="175"/>
      <c r="JM52" s="175"/>
      <c r="JN52" s="175"/>
      <c r="JO52" s="175"/>
      <c r="JP52" s="175"/>
      <c r="JQ52" s="175"/>
      <c r="JR52" s="175"/>
      <c r="JS52" s="175"/>
      <c r="JT52" s="175"/>
      <c r="JU52" s="175"/>
      <c r="JV52" s="175"/>
      <c r="JW52" s="175"/>
      <c r="JX52" s="175"/>
      <c r="JY52" s="175"/>
      <c r="ON52" s="223" t="s">
        <v>267</v>
      </c>
      <c r="OO52" s="224" t="s">
        <v>268</v>
      </c>
      <c r="OP52" s="224">
        <v>3004</v>
      </c>
      <c r="OQ52" s="224" t="s">
        <v>492</v>
      </c>
      <c r="OR52" s="224">
        <f ca="1">VLOOKUP($OP52,INDIRECT($ON52):INDIRECT($OO52),4,FALSE)</f>
        <v>0</v>
      </c>
      <c r="OS52" s="224">
        <f ca="1">VLOOKUP($OP52,INDIRECT($ON52):INDIRECT($OO52),5,FALSE)</f>
        <v>0</v>
      </c>
      <c r="OT52" s="224">
        <f ca="1">VLOOKUP($OP52,INDIRECT($ON52):INDIRECT($OO52),6,FALSE)</f>
        <v>0</v>
      </c>
    </row>
    <row r="53" spans="1:410" ht="15.75" thickBot="1" x14ac:dyDescent="0.3">
      <c r="A53" s="175">
        <v>6009</v>
      </c>
      <c r="C53" s="601" t="s">
        <v>494</v>
      </c>
      <c r="D53" s="602">
        <f ca="1">SUM(D48:D52)</f>
        <v>-695.2</v>
      </c>
      <c r="E53" s="602"/>
      <c r="F53" s="603">
        <f>SUM(F48:F52)</f>
        <v>0</v>
      </c>
      <c r="G53" s="396">
        <v>8037</v>
      </c>
      <c r="H53" s="392" t="str">
        <f>IF(I53&gt;0,"Jogmai_7.6("&amp;ROUND(I53/24,3)&amp;")","Jogmai_7.6")</f>
        <v>Jogmai_7.6(1.275)</v>
      </c>
      <c r="I53" s="604">
        <v>30.59</v>
      </c>
      <c r="J53" s="398">
        <f t="shared" si="52"/>
        <v>1.2745833333333334</v>
      </c>
      <c r="K53" s="289">
        <f t="shared" si="52"/>
        <v>1.2745833333333334</v>
      </c>
      <c r="L53" s="396">
        <v>8104</v>
      </c>
      <c r="M53" s="433" t="str">
        <f>IF(N53&gt;0,"Syauri Bhumey_0.023("&amp;ROUND(N53/24,3)&amp;")","Syauri Bhumey_0.023")</f>
        <v>Syauri Bhumey_0.023</v>
      </c>
      <c r="N53" s="567"/>
      <c r="O53" s="398">
        <f t="shared" si="51"/>
        <v>0</v>
      </c>
      <c r="P53" s="289">
        <f t="shared" si="51"/>
        <v>0</v>
      </c>
      <c r="Q53" s="379"/>
      <c r="T53" s="434"/>
      <c r="V53" s="597"/>
      <c r="W53" s="598"/>
      <c r="AG53" s="175">
        <v>1004</v>
      </c>
      <c r="AH53" s="254" t="s">
        <v>60</v>
      </c>
      <c r="AI53" s="380">
        <v>58.2</v>
      </c>
      <c r="AJ53" s="380">
        <v>47.6</v>
      </c>
      <c r="AK53" s="255">
        <v>47.6</v>
      </c>
      <c r="AN53" s="256"/>
      <c r="AO53" s="257">
        <v>0</v>
      </c>
      <c r="JB53" s="175"/>
      <c r="JC53" s="175"/>
      <c r="JD53" s="175"/>
      <c r="JE53" s="175"/>
      <c r="JF53" s="175"/>
      <c r="JG53" s="175"/>
      <c r="JH53" s="175"/>
      <c r="JI53" s="175"/>
      <c r="JJ53" s="175"/>
      <c r="JK53" s="175"/>
      <c r="JL53" s="175"/>
      <c r="JM53" s="175"/>
      <c r="JN53" s="175"/>
      <c r="JO53" s="175"/>
      <c r="JP53" s="175"/>
      <c r="JQ53" s="175"/>
      <c r="JR53" s="175"/>
      <c r="JS53" s="175"/>
      <c r="JT53" s="175"/>
      <c r="JU53" s="175"/>
      <c r="JV53" s="175"/>
      <c r="JW53" s="175"/>
      <c r="JX53" s="175"/>
      <c r="JY53" s="175"/>
      <c r="ON53" s="223" t="s">
        <v>267</v>
      </c>
      <c r="OO53" s="224" t="s">
        <v>268</v>
      </c>
      <c r="OP53" s="224">
        <v>3005</v>
      </c>
      <c r="OQ53" s="224" t="s">
        <v>493</v>
      </c>
      <c r="OR53" s="224">
        <f ca="1">VLOOKUP($OP53,INDIRECT($ON53):INDIRECT($OO53),4,FALSE)</f>
        <v>0</v>
      </c>
      <c r="OS53" s="224">
        <f ca="1">VLOOKUP($OP53,INDIRECT($ON53):INDIRECT($OO53),5,FALSE)</f>
        <v>0</v>
      </c>
      <c r="OT53" s="224">
        <f ca="1">VLOOKUP($OP53,INDIRECT($ON53):INDIRECT($OO53),6,FALSE)</f>
        <v>0</v>
      </c>
    </row>
    <row r="54" spans="1:410" ht="15.75" thickBot="1" x14ac:dyDescent="0.3">
      <c r="D54" s="349"/>
      <c r="E54" s="349"/>
      <c r="F54" s="349"/>
      <c r="G54" s="396">
        <v>8038</v>
      </c>
      <c r="H54" s="392" t="str">
        <f>IF(I54&gt;0,"Kabeli B-1_25("&amp;ROUND(I54/24,3)&amp;")","Kabeli B-1_25")</f>
        <v>Kabeli B-1_25(7.738)</v>
      </c>
      <c r="I54" s="604">
        <v>185.7</v>
      </c>
      <c r="J54" s="398">
        <f t="shared" si="52"/>
        <v>7.7374999999999998</v>
      </c>
      <c r="K54" s="289">
        <f t="shared" si="52"/>
        <v>7.7374999999999998</v>
      </c>
      <c r="L54" s="396">
        <v>8105</v>
      </c>
      <c r="M54" s="392" t="str">
        <f>IF(N54&gt;0,"Tadi Khola (Thaprek)_5("&amp;ROUND(N54/24,3)&amp;")","Tadi Khola (Thaprek)_5")</f>
        <v>Tadi Khola (Thaprek)_5(1.219)</v>
      </c>
      <c r="N54" s="567">
        <v>29.254999999999999</v>
      </c>
      <c r="O54" s="398">
        <f t="shared" si="51"/>
        <v>1.2189583333333334</v>
      </c>
      <c r="P54" s="289">
        <f t="shared" si="51"/>
        <v>1.2189583333333334</v>
      </c>
      <c r="Q54" s="379"/>
      <c r="T54" s="434"/>
      <c r="V54" s="597"/>
      <c r="W54" s="598"/>
      <c r="AG54" s="175">
        <v>1005</v>
      </c>
      <c r="AH54" s="254" t="s">
        <v>61</v>
      </c>
      <c r="AI54" s="380">
        <v>29</v>
      </c>
      <c r="AJ54" s="380">
        <v>0</v>
      </c>
      <c r="AK54" s="255">
        <v>10.3</v>
      </c>
      <c r="AL54" s="696" t="s">
        <v>495</v>
      </c>
      <c r="AM54" s="696"/>
      <c r="AN54" s="256"/>
      <c r="AO54" s="257">
        <v>0.10295833333333333</v>
      </c>
      <c r="JB54" s="175"/>
      <c r="JC54" s="175"/>
      <c r="JD54" s="175"/>
      <c r="JE54" s="175"/>
      <c r="JF54" s="175"/>
      <c r="JG54" s="175"/>
      <c r="JH54" s="175"/>
      <c r="JI54" s="175"/>
      <c r="JJ54" s="175"/>
      <c r="JK54" s="175"/>
      <c r="JL54" s="175"/>
      <c r="JM54" s="175"/>
      <c r="JN54" s="175"/>
      <c r="JO54" s="175"/>
      <c r="JP54" s="175"/>
      <c r="JQ54" s="175"/>
      <c r="JR54" s="175"/>
      <c r="JS54" s="175"/>
      <c r="JT54" s="175"/>
      <c r="JU54" s="175"/>
      <c r="JV54" s="175"/>
      <c r="JW54" s="175"/>
      <c r="JX54" s="175"/>
      <c r="JY54" s="175"/>
      <c r="ON54" s="223" t="s">
        <v>267</v>
      </c>
      <c r="OO54" s="224" t="s">
        <v>268</v>
      </c>
      <c r="OP54" s="224">
        <v>3006</v>
      </c>
      <c r="OQ54" s="224" t="s">
        <v>482</v>
      </c>
      <c r="OR54" s="224" t="e">
        <f ca="1">VLOOKUP($OP54,INDIRECT($ON54):INDIRECT($OO54),4,FALSE)</f>
        <v>#N/A</v>
      </c>
      <c r="OS54" s="224">
        <f ca="1">VLOOKUP($OP54,INDIRECT($ON54):INDIRECT($OO54),5,FALSE)</f>
        <v>0</v>
      </c>
      <c r="OT54" s="224">
        <f ca="1">VLOOKUP($OP54,INDIRECT($ON54):INDIRECT($OO54),6,FALSE)</f>
        <v>0</v>
      </c>
    </row>
    <row r="55" spans="1:410" ht="15.75" thickBot="1" x14ac:dyDescent="0.3">
      <c r="A55" s="175">
        <v>2012</v>
      </c>
      <c r="C55" s="601" t="s">
        <v>496</v>
      </c>
      <c r="D55" s="602">
        <f>D41+D42</f>
        <v>110.5</v>
      </c>
      <c r="E55" s="602">
        <f>E41+E42</f>
        <v>5.5</v>
      </c>
      <c r="F55" s="603">
        <f>F41+F42</f>
        <v>5.5</v>
      </c>
      <c r="G55" s="396">
        <v>8039</v>
      </c>
      <c r="H55" s="392" t="str">
        <f>IF(I55&gt;0,"Kabeli B-1 Cascade_9.94("&amp;ROUND(I55/24,3)&amp;")","Kabeli B-1 Cascade_9.94")</f>
        <v>Kabeli B-1 Cascade_9.94(2.5)</v>
      </c>
      <c r="I55" s="478">
        <v>60</v>
      </c>
      <c r="J55" s="398">
        <f t="shared" si="52"/>
        <v>2.5</v>
      </c>
      <c r="K55" s="289">
        <f t="shared" si="52"/>
        <v>2.5</v>
      </c>
      <c r="L55" s="396">
        <v>8106</v>
      </c>
      <c r="M55" s="392" t="str">
        <f>IF(N55&gt;0,"Taksar Pikhuwa_8("&amp;ROUND(N55/24,3)&amp;")","Taksar Pikhuwa_8")</f>
        <v>Taksar Pikhuwa_8(2.738)</v>
      </c>
      <c r="N55" s="567">
        <v>65.709999999999994</v>
      </c>
      <c r="O55" s="398">
        <f t="shared" si="51"/>
        <v>2.7379166666666666</v>
      </c>
      <c r="P55" s="289">
        <f t="shared" si="51"/>
        <v>2.7379166666666666</v>
      </c>
      <c r="Q55" s="379"/>
      <c r="T55" s="434"/>
      <c r="V55" s="597"/>
      <c r="W55" s="598"/>
      <c r="AG55" s="175">
        <v>1022</v>
      </c>
      <c r="AH55" s="254" t="s">
        <v>62</v>
      </c>
      <c r="AI55" s="380">
        <v>8</v>
      </c>
      <c r="AJ55" s="380">
        <v>0</v>
      </c>
      <c r="AK55" s="255">
        <v>0</v>
      </c>
      <c r="AL55" s="696">
        <f>SUM(AL43+AK56)</f>
        <v>1392.8</v>
      </c>
      <c r="AM55" s="696"/>
      <c r="JB55" s="175"/>
      <c r="JC55" s="175"/>
      <c r="JD55" s="175"/>
      <c r="JE55" s="175"/>
      <c r="JF55" s="175"/>
      <c r="JG55" s="175"/>
      <c r="JH55" s="175"/>
      <c r="JI55" s="175"/>
      <c r="JJ55" s="175"/>
      <c r="JK55" s="175"/>
      <c r="JL55" s="175"/>
      <c r="JM55" s="175"/>
      <c r="JN55" s="175"/>
      <c r="JO55" s="175"/>
      <c r="JP55" s="175"/>
      <c r="JQ55" s="175"/>
      <c r="JR55" s="175"/>
      <c r="JS55" s="175"/>
      <c r="JT55" s="175"/>
      <c r="JU55" s="175"/>
      <c r="JV55" s="175"/>
      <c r="JW55" s="175"/>
      <c r="JX55" s="175"/>
      <c r="JY55" s="175"/>
      <c r="ON55" s="223" t="s">
        <v>267</v>
      </c>
      <c r="OO55" s="224" t="s">
        <v>268</v>
      </c>
      <c r="OP55" s="224">
        <v>3007</v>
      </c>
      <c r="OQ55" s="224" t="s">
        <v>483</v>
      </c>
      <c r="OR55" s="224" t="e">
        <f ca="1">VLOOKUP($OP55,INDIRECT($ON55):INDIRECT($OO55),4,FALSE)</f>
        <v>#N/A</v>
      </c>
      <c r="OS55" s="224">
        <f ca="1">VLOOKUP($OP55,INDIRECT($ON55):INDIRECT($OO55),5,FALSE)</f>
        <v>0</v>
      </c>
      <c r="OT55" s="224">
        <f ca="1">VLOOKUP($OP55,INDIRECT($ON55):INDIRECT($OO55),6,FALSE)</f>
        <v>0</v>
      </c>
    </row>
    <row r="56" spans="1:410" ht="15.75" thickBot="1" x14ac:dyDescent="0.3">
      <c r="B56" s="698" t="s">
        <v>432</v>
      </c>
      <c r="C56" s="605"/>
      <c r="D56" s="606"/>
      <c r="E56" s="606"/>
      <c r="F56" s="606"/>
      <c r="G56" s="396">
        <v>8040</v>
      </c>
      <c r="H56" s="416" t="str">
        <f>IF(I56&gt;0,"Kapadi Gad_3.33("&amp;ROUND(I56/24,3)&amp;")","Kapadi Gad_3.33")</f>
        <v>Kapadi Gad_3.33</v>
      </c>
      <c r="I56" s="478"/>
      <c r="J56" s="398">
        <f t="shared" si="52"/>
        <v>0</v>
      </c>
      <c r="K56" s="289">
        <f t="shared" si="52"/>
        <v>0</v>
      </c>
      <c r="L56" s="396">
        <v>8107</v>
      </c>
      <c r="M56" s="392" t="str">
        <f>IF(N56&gt;0,"Tallo Hewa Khola_22.1("&amp;ROUND(N56/24,3)&amp;")","Tallo Hewa Khola_22.1")</f>
        <v>Tallo Hewa Khola_22.1(5.286)</v>
      </c>
      <c r="N56" s="567">
        <v>126.85899999999999</v>
      </c>
      <c r="O56" s="398">
        <f>VLOOKUP($L56,$AG$6:$AK$106,3,FALSE)</f>
        <v>7</v>
      </c>
      <c r="P56" s="289">
        <f>VLOOKUP($L56,$AG$6:$AK$106,5,FALSE)</f>
        <v>7</v>
      </c>
      <c r="Q56" s="379"/>
      <c r="AG56" s="175">
        <v>1006</v>
      </c>
      <c r="AH56" s="254" t="s">
        <v>63</v>
      </c>
      <c r="AI56" s="380">
        <v>17.100000000000001</v>
      </c>
      <c r="AJ56" s="380">
        <v>17</v>
      </c>
      <c r="AK56" s="255">
        <v>17</v>
      </c>
      <c r="JB56" s="175"/>
      <c r="JC56" s="175"/>
      <c r="JD56" s="175"/>
      <c r="JE56" s="175"/>
      <c r="JF56" s="175"/>
      <c r="JG56" s="175"/>
      <c r="JH56" s="175"/>
      <c r="JI56" s="175"/>
      <c r="JJ56" s="175"/>
      <c r="JK56" s="175"/>
      <c r="JL56" s="175"/>
      <c r="JM56" s="175"/>
      <c r="JN56" s="175"/>
      <c r="JO56" s="175"/>
      <c r="JP56" s="175"/>
      <c r="JQ56" s="175"/>
      <c r="JR56" s="175"/>
      <c r="JS56" s="175"/>
      <c r="JT56" s="175"/>
      <c r="JU56" s="175"/>
      <c r="JV56" s="175"/>
      <c r="JW56" s="175"/>
      <c r="JX56" s="175"/>
      <c r="JY56" s="175"/>
      <c r="ON56" s="223" t="s">
        <v>267</v>
      </c>
      <c r="OO56" s="224" t="s">
        <v>268</v>
      </c>
      <c r="OP56" s="224">
        <v>3008</v>
      </c>
      <c r="OQ56" s="224" t="s">
        <v>497</v>
      </c>
      <c r="OR56" s="224" t="e">
        <f ca="1">VLOOKUP($OP56,INDIRECT($ON56):INDIRECT($OO56),4,FALSE)</f>
        <v>#N/A</v>
      </c>
      <c r="OS56" s="224" t="e">
        <f ca="1">VLOOKUP($OP56,INDIRECT($ON56):INDIRECT($OO56),5,FALSE)</f>
        <v>#N/A</v>
      </c>
      <c r="OT56" s="224" t="e">
        <f ca="1">VLOOKUP($OP56,INDIRECT($ON56):INDIRECT($OO56),6,FALSE)</f>
        <v>#N/A</v>
      </c>
    </row>
    <row r="57" spans="1:410" ht="15.75" thickBot="1" x14ac:dyDescent="0.3">
      <c r="B57" s="699"/>
      <c r="C57" s="607" t="s">
        <v>498</v>
      </c>
      <c r="D57" s="608" t="s">
        <v>499</v>
      </c>
      <c r="E57" s="608" t="s">
        <v>500</v>
      </c>
      <c r="F57" s="609" t="s">
        <v>444</v>
      </c>
      <c r="G57" s="396">
        <v>8041</v>
      </c>
      <c r="H57" s="392" t="str">
        <f>IF(I57&gt;0,"Khani Khola_2("&amp;ROUND(I57/24,3)&amp;")","Khani Khola_2")</f>
        <v>Khani Khola_2(0.414)</v>
      </c>
      <c r="I57" s="478">
        <v>9.9450000000000003</v>
      </c>
      <c r="J57" s="398">
        <f t="shared" si="52"/>
        <v>0.41437499999999999</v>
      </c>
      <c r="K57" s="289">
        <f t="shared" si="52"/>
        <v>0.41437499999999999</v>
      </c>
      <c r="L57" s="396">
        <v>8108</v>
      </c>
      <c r="M57" s="392" t="str">
        <f>IF(N57&gt;0,"Thapa Khola_13.6("&amp;ROUND(N57/24,3)&amp;")","Thapa Khola_13.6")</f>
        <v>Thapa Khola_13.6</v>
      </c>
      <c r="N57" s="567"/>
      <c r="O57" s="398">
        <f>VLOOKUP($L57,$AG$6:$AK$97,3,FALSE)</f>
        <v>1.2</v>
      </c>
      <c r="P57" s="289">
        <f>VLOOKUP($L57,$AG$6:$AK$97,5,FALSE)</f>
        <v>1.2</v>
      </c>
      <c r="Q57" s="379"/>
      <c r="AG57" s="175">
        <v>1007</v>
      </c>
      <c r="AH57" s="254" t="s">
        <v>64</v>
      </c>
      <c r="AI57" s="380">
        <v>2.5</v>
      </c>
      <c r="AJ57" s="380">
        <v>2.5</v>
      </c>
      <c r="AK57" s="255">
        <v>2.5</v>
      </c>
      <c r="JB57" s="175"/>
      <c r="JC57" s="175"/>
      <c r="JD57" s="175"/>
      <c r="JE57" s="175"/>
      <c r="JF57" s="175"/>
      <c r="JG57" s="175"/>
      <c r="JH57" s="175"/>
      <c r="JI57" s="175"/>
      <c r="JJ57" s="175"/>
      <c r="JK57" s="175"/>
      <c r="JL57" s="175"/>
      <c r="JM57" s="175"/>
      <c r="JN57" s="175"/>
      <c r="JO57" s="175"/>
      <c r="JP57" s="175"/>
      <c r="JQ57" s="175"/>
      <c r="JR57" s="175"/>
      <c r="JS57" s="175"/>
      <c r="JT57" s="175"/>
      <c r="JU57" s="175"/>
      <c r="JV57" s="175"/>
      <c r="JW57" s="175"/>
      <c r="JX57" s="175"/>
      <c r="JY57" s="175"/>
      <c r="ON57" s="223" t="s">
        <v>267</v>
      </c>
      <c r="OO57" s="224" t="s">
        <v>268</v>
      </c>
      <c r="OP57" s="224">
        <v>3009</v>
      </c>
      <c r="OQ57" s="224" t="s">
        <v>482</v>
      </c>
      <c r="OR57" s="224">
        <f ca="1">VLOOKUP($OP57,INDIRECT($ON57):INDIRECT($OO57),4,FALSE)</f>
        <v>0</v>
      </c>
      <c r="OS57" s="224">
        <f ca="1">VLOOKUP($OP57,INDIRECT($ON57):INDIRECT($OO57),5,FALSE)</f>
        <v>4.8</v>
      </c>
      <c r="OT57" s="224">
        <f ca="1">VLOOKUP($OP57,INDIRECT($ON57):INDIRECT($OO57),6,FALSE)</f>
        <v>0</v>
      </c>
    </row>
    <row r="58" spans="1:410" ht="15.75" thickBot="1" x14ac:dyDescent="0.3">
      <c r="A58" s="175">
        <v>2014</v>
      </c>
      <c r="B58" s="374" t="s">
        <v>482</v>
      </c>
      <c r="C58" s="610">
        <v>0</v>
      </c>
      <c r="D58" s="611">
        <f ca="1">INDIRECT("'"&amp;$E$5-1&amp;"'!C58")</f>
        <v>0</v>
      </c>
      <c r="E58" s="611">
        <v>4.8</v>
      </c>
      <c r="F58" s="612">
        <f ca="1">E58*(C58-D58)</f>
        <v>0</v>
      </c>
      <c r="G58" s="396">
        <v>8042</v>
      </c>
      <c r="H58" s="416" t="str">
        <f>IF(I58&gt;0,"Khudi Khola_4("&amp;ROUND(I58/24,3)&amp;")","Khudi Khola_4")</f>
        <v>Khudi Khola_4</v>
      </c>
      <c r="I58" s="478"/>
      <c r="J58" s="398">
        <f t="shared" si="52"/>
        <v>0</v>
      </c>
      <c r="K58" s="289">
        <f t="shared" si="52"/>
        <v>0</v>
      </c>
      <c r="L58" s="396">
        <v>8109</v>
      </c>
      <c r="M58" s="433" t="str">
        <f>IF(N58&gt;0,"Theule Khola_1.5("&amp;ROUND(N58/24,3)&amp;")","Theule Khola_1.5")</f>
        <v>Theule Khola_1.5</v>
      </c>
      <c r="N58" s="428"/>
      <c r="O58" s="398">
        <f t="shared" ref="O58:P60" si="53">$N58/24</f>
        <v>0</v>
      </c>
      <c r="P58" s="289">
        <f t="shared" si="53"/>
        <v>0</v>
      </c>
      <c r="Q58" s="379"/>
      <c r="AG58" s="175">
        <v>1008</v>
      </c>
      <c r="AH58" s="254" t="s">
        <v>65</v>
      </c>
      <c r="AI58" s="380">
        <v>13.3</v>
      </c>
      <c r="AJ58" s="380">
        <v>11.5</v>
      </c>
      <c r="AK58" s="255">
        <v>12.3</v>
      </c>
      <c r="JB58" s="175"/>
      <c r="JC58" s="175"/>
      <c r="JD58" s="175"/>
      <c r="JE58" s="175"/>
      <c r="JF58" s="175"/>
      <c r="JG58" s="175"/>
      <c r="JH58" s="175"/>
      <c r="JI58" s="175"/>
      <c r="JJ58" s="175"/>
      <c r="JK58" s="175"/>
      <c r="JL58" s="175"/>
      <c r="JM58" s="175"/>
      <c r="JN58" s="175"/>
      <c r="JO58" s="175"/>
      <c r="JP58" s="175"/>
      <c r="JQ58" s="175"/>
      <c r="JR58" s="175"/>
      <c r="JS58" s="175"/>
      <c r="JT58" s="175"/>
      <c r="JU58" s="175"/>
      <c r="JV58" s="175"/>
      <c r="JW58" s="175"/>
      <c r="JX58" s="175"/>
      <c r="JY58" s="175"/>
      <c r="ON58" s="223" t="s">
        <v>267</v>
      </c>
      <c r="OO58" s="224" t="s">
        <v>268</v>
      </c>
      <c r="OP58" s="224">
        <v>3010</v>
      </c>
      <c r="OQ58" s="224" t="s">
        <v>483</v>
      </c>
      <c r="OR58" s="224">
        <f ca="1">VLOOKUP($OP58,INDIRECT($ON58):INDIRECT($OO58),4,FALSE)</f>
        <v>347.6</v>
      </c>
      <c r="OS58" s="224">
        <f ca="1">VLOOKUP($OP58,INDIRECT($ON58):INDIRECT($OO58),5,FALSE)</f>
        <v>2</v>
      </c>
      <c r="OT58" s="224">
        <f ca="1">VLOOKUP($OP58,INDIRECT($ON58):INDIRECT($OO58),6,FALSE)</f>
        <v>-695.2</v>
      </c>
    </row>
    <row r="59" spans="1:410" x14ac:dyDescent="0.25">
      <c r="A59" s="175">
        <v>2015</v>
      </c>
      <c r="B59" s="374" t="s">
        <v>483</v>
      </c>
      <c r="C59" s="613">
        <v>0</v>
      </c>
      <c r="D59" s="614">
        <f ca="1">INDIRECT("'"&amp;$E$5-1&amp;"'!C59")</f>
        <v>4.2</v>
      </c>
      <c r="E59" s="614">
        <v>2</v>
      </c>
      <c r="F59" s="615">
        <f ca="1">E59*(C59-D59)</f>
        <v>-8.4</v>
      </c>
      <c r="G59" s="396">
        <v>8043</v>
      </c>
      <c r="H59" s="392" t="str">
        <f>IF(I59&gt;0,"Kuthali/Suspa Bukhari_0.998("&amp;ROUND(I59/24,3)&amp;")","Kuthali/Suspa Bukhari_0.998")</f>
        <v>Kuthali/Suspa Bukhari_0.998(0.529)</v>
      </c>
      <c r="I59" s="478">
        <v>12.69</v>
      </c>
      <c r="J59" s="398">
        <f t="shared" si="52"/>
        <v>0.52874999999999994</v>
      </c>
      <c r="K59" s="289">
        <f t="shared" si="52"/>
        <v>0.52874999999999994</v>
      </c>
      <c r="L59" s="396">
        <v>8110</v>
      </c>
      <c r="M59" s="433" t="str">
        <f>IF(N59&gt;0,"Thoppal Khola_1.65("&amp;ROUND(N59/24,3)&amp;")","Thoppal Khola_1.65")</f>
        <v>Thoppal Khola_1.65</v>
      </c>
      <c r="N59" s="428"/>
      <c r="O59" s="398">
        <f t="shared" si="53"/>
        <v>0</v>
      </c>
      <c r="P59" s="289">
        <f t="shared" si="53"/>
        <v>0</v>
      </c>
      <c r="Q59" s="379"/>
      <c r="AG59" s="175">
        <v>1009</v>
      </c>
      <c r="AH59" s="254" t="s">
        <v>66</v>
      </c>
      <c r="AI59" s="380">
        <v>4.8</v>
      </c>
      <c r="AJ59" s="380">
        <v>3.9</v>
      </c>
      <c r="AK59" s="255">
        <v>3.9</v>
      </c>
      <c r="JB59" s="175"/>
      <c r="JC59" s="175"/>
      <c r="JD59" s="175"/>
      <c r="JE59" s="175"/>
      <c r="JF59" s="175"/>
      <c r="JG59" s="175"/>
      <c r="JH59" s="175"/>
      <c r="JI59" s="175"/>
      <c r="JJ59" s="175"/>
      <c r="JK59" s="175"/>
      <c r="JL59" s="175"/>
      <c r="JM59" s="175"/>
      <c r="JN59" s="175"/>
      <c r="JO59" s="175"/>
      <c r="JP59" s="175"/>
      <c r="JQ59" s="175"/>
      <c r="JR59" s="175"/>
      <c r="JS59" s="175"/>
      <c r="JT59" s="175"/>
      <c r="JU59" s="175"/>
      <c r="JV59" s="175"/>
      <c r="JW59" s="175"/>
      <c r="JX59" s="175"/>
      <c r="JY59" s="175"/>
      <c r="ON59" s="223" t="s">
        <v>267</v>
      </c>
      <c r="OO59" s="224" t="s">
        <v>268</v>
      </c>
      <c r="OP59" s="224"/>
      <c r="OQ59" s="616"/>
      <c r="OR59" s="224"/>
      <c r="OS59" s="224"/>
      <c r="OT59" s="224"/>
    </row>
    <row r="60" spans="1:410" ht="13.5" customHeight="1" thickBot="1" x14ac:dyDescent="0.3">
      <c r="B60" s="617"/>
      <c r="C60" s="618"/>
      <c r="D60" s="619" t="s">
        <v>248</v>
      </c>
      <c r="E60" s="619">
        <v>6.8</v>
      </c>
      <c r="F60" s="620">
        <f ca="1">F58+F59</f>
        <v>-8.4</v>
      </c>
      <c r="G60" s="396">
        <v>8044</v>
      </c>
      <c r="H60" s="392" t="str">
        <f>IF(I60&gt;0,"Leguwa Khola_0.04("&amp;ROUND(I60/24,3)&amp;")","Leguwa Khola_0.04")</f>
        <v>Leguwa Khola_0.04</v>
      </c>
      <c r="I60" s="478"/>
      <c r="J60" s="398">
        <f t="shared" si="52"/>
        <v>0</v>
      </c>
      <c r="K60" s="289">
        <f t="shared" si="52"/>
        <v>0</v>
      </c>
      <c r="L60" s="396">
        <v>8111</v>
      </c>
      <c r="M60" s="433" t="str">
        <f>IF(N60&gt;0,"Tungun-Thosne_4.36("&amp;ROUND(N60/24,3)&amp;")","Tungun-Thosne_4.36")</f>
        <v>Tungun-Thosne_4.36(0.986)</v>
      </c>
      <c r="N60" s="428">
        <v>23.67</v>
      </c>
      <c r="O60" s="398">
        <f t="shared" si="53"/>
        <v>0.98625000000000007</v>
      </c>
      <c r="P60" s="289">
        <f t="shared" si="53"/>
        <v>0.98625000000000007</v>
      </c>
      <c r="Q60" s="379"/>
      <c r="AG60" s="175">
        <v>1010</v>
      </c>
      <c r="AH60" s="254" t="s">
        <v>67</v>
      </c>
      <c r="AI60" s="380">
        <v>5.2</v>
      </c>
      <c r="AJ60" s="380">
        <v>5.2</v>
      </c>
      <c r="AK60" s="255">
        <v>5.2</v>
      </c>
      <c r="JB60" s="175"/>
      <c r="JC60" s="175"/>
      <c r="JD60" s="175"/>
      <c r="JE60" s="175"/>
      <c r="JF60" s="175"/>
      <c r="JG60" s="175"/>
      <c r="JH60" s="175"/>
      <c r="JI60" s="175"/>
      <c r="JJ60" s="175"/>
      <c r="JK60" s="175"/>
      <c r="JL60" s="175"/>
      <c r="JM60" s="175"/>
      <c r="JN60" s="175"/>
      <c r="JO60" s="175"/>
      <c r="JP60" s="175"/>
      <c r="JQ60" s="175"/>
      <c r="JR60" s="175"/>
      <c r="JS60" s="175"/>
      <c r="JT60" s="175"/>
      <c r="JU60" s="175"/>
      <c r="JV60" s="175"/>
      <c r="JW60" s="175"/>
      <c r="JX60" s="175"/>
      <c r="JY60" s="175"/>
      <c r="ON60" s="223" t="s">
        <v>267</v>
      </c>
      <c r="OO60" s="224" t="s">
        <v>268</v>
      </c>
      <c r="OP60" s="224"/>
      <c r="OQ60" s="616"/>
      <c r="OR60" s="224"/>
      <c r="OS60" s="224"/>
      <c r="OT60" s="224"/>
    </row>
    <row r="61" spans="1:410" ht="12.75" customHeight="1" x14ac:dyDescent="0.25">
      <c r="B61" s="175"/>
      <c r="G61" s="396">
        <v>8045</v>
      </c>
      <c r="H61" s="392" t="str">
        <f>IF(I61&gt;0,"Likhu Khola A_29.04("&amp;ROUND(I61/24,3)&amp;")","Likhu Khola A_29.04")</f>
        <v>Likhu Khola A_29.04(8.768)</v>
      </c>
      <c r="I61" s="478">
        <v>210.42</v>
      </c>
      <c r="J61" s="398">
        <f>VLOOKUP($G61,$AG$6:$AK$106,3,FALSE)</f>
        <v>9.3000000000000007</v>
      </c>
      <c r="K61" s="289">
        <f>VLOOKUP($G61,$AG$6:$AK$106,5,FALSE)</f>
        <v>9.3000000000000007</v>
      </c>
      <c r="L61" s="396">
        <v>8136</v>
      </c>
      <c r="M61" s="392" t="str">
        <f>IF(N61&gt;0,"Upper Balephi_36("&amp;ROUND(N61/24,3)&amp;")","Upper Balephi_36")</f>
        <v>Upper Balephi_36(13.792)</v>
      </c>
      <c r="N61" s="428">
        <v>331</v>
      </c>
      <c r="O61" s="398">
        <f>VLOOKUP($L61,$AG$6:$AK$106,3,FALSE)</f>
        <v>17</v>
      </c>
      <c r="P61" s="289">
        <f>VLOOKUP($L61,$AG$6:$AK$106,5,FALSE)</f>
        <v>17</v>
      </c>
      <c r="Q61" s="379"/>
      <c r="AG61" s="175">
        <v>1011</v>
      </c>
      <c r="AH61" s="254" t="s">
        <v>68</v>
      </c>
      <c r="AI61" s="380">
        <v>3.2</v>
      </c>
      <c r="AJ61" s="380">
        <v>3.2</v>
      </c>
      <c r="AK61" s="255">
        <v>3.2</v>
      </c>
      <c r="AL61" s="621"/>
      <c r="AM61" s="622"/>
      <c r="JB61" s="175"/>
      <c r="JC61" s="175"/>
      <c r="JD61" s="175"/>
      <c r="JE61" s="175"/>
      <c r="JF61" s="175"/>
      <c r="JG61" s="175"/>
      <c r="JH61" s="175"/>
      <c r="JI61" s="175"/>
      <c r="JJ61" s="175"/>
      <c r="JK61" s="175"/>
      <c r="JL61" s="175"/>
      <c r="JM61" s="175"/>
      <c r="JN61" s="175"/>
      <c r="JO61" s="175"/>
      <c r="JP61" s="175"/>
      <c r="JQ61" s="175"/>
      <c r="JR61" s="175"/>
      <c r="JS61" s="175"/>
      <c r="JT61" s="175"/>
      <c r="JU61" s="175"/>
      <c r="JV61" s="175"/>
      <c r="JW61" s="175"/>
      <c r="JX61" s="175"/>
      <c r="JY61" s="175"/>
      <c r="ON61" s="223" t="s">
        <v>267</v>
      </c>
      <c r="OO61" s="224" t="s">
        <v>268</v>
      </c>
      <c r="OP61" s="224"/>
      <c r="OQ61" s="616"/>
      <c r="OR61" s="224"/>
      <c r="OS61" s="224"/>
      <c r="OT61" s="224"/>
    </row>
    <row r="62" spans="1:410" ht="15" customHeight="1" x14ac:dyDescent="0.25">
      <c r="B62" s="175"/>
      <c r="G62" s="396">
        <v>8046</v>
      </c>
      <c r="H62" s="392" t="str">
        <f>IF(I62&gt;0,"Likhu-IV_52.4("&amp;ROUND(I62/24,3)&amp;")","Likhu-IV_52.4")</f>
        <v>Likhu-IV_52.4(20.092)</v>
      </c>
      <c r="I62" s="478">
        <v>482.214</v>
      </c>
      <c r="J62" s="398">
        <f>VLOOKUP($G62,$AG$6:$AK$106,3,FALSE)</f>
        <v>20.9</v>
      </c>
      <c r="K62" s="289">
        <f>VLOOKUP($G62,$AG$6:$AK$106,5,FALSE)</f>
        <v>20.7</v>
      </c>
      <c r="L62" s="396">
        <v>8112</v>
      </c>
      <c r="M62" s="392" t="str">
        <f>IF(N62&gt;0,"Upper Bhotekoshi Khola_45("&amp;ROUND(N62/24,3)&amp;")","Upper Bhotekoshi Khola_45")</f>
        <v>Upper Bhotekoshi Khola_45(20.005)</v>
      </c>
      <c r="N62" s="428">
        <v>480.11700000000002</v>
      </c>
      <c r="O62" s="398">
        <f>VLOOKUP($L62,$AG$6:$AK$106,3,FALSE)</f>
        <v>23.4</v>
      </c>
      <c r="P62" s="289">
        <f>VLOOKUP($L62,$AG$6:$AK$106,5,FALSE)</f>
        <v>21</v>
      </c>
      <c r="Q62" s="379"/>
      <c r="AG62" s="175">
        <v>6002</v>
      </c>
      <c r="AH62" s="254" t="s">
        <v>69</v>
      </c>
      <c r="AI62" s="380">
        <v>3.54</v>
      </c>
      <c r="AJ62" s="380">
        <v>3.54</v>
      </c>
      <c r="AK62" s="255">
        <v>3.54</v>
      </c>
      <c r="AL62" s="621"/>
      <c r="AM62" s="622"/>
      <c r="JB62" s="175"/>
      <c r="JC62" s="175"/>
      <c r="JD62" s="175"/>
      <c r="JE62" s="175"/>
      <c r="JF62" s="175"/>
      <c r="JG62" s="175"/>
      <c r="JH62" s="175"/>
      <c r="JI62" s="175"/>
      <c r="JJ62" s="175"/>
      <c r="JK62" s="175"/>
      <c r="JL62" s="175"/>
      <c r="JM62" s="175"/>
      <c r="JN62" s="175"/>
      <c r="JO62" s="175"/>
      <c r="JP62" s="175"/>
      <c r="JQ62" s="175"/>
      <c r="JR62" s="175"/>
      <c r="JS62" s="175"/>
      <c r="JT62" s="175"/>
      <c r="JU62" s="175"/>
      <c r="JV62" s="175"/>
      <c r="JW62" s="175"/>
      <c r="JX62" s="175"/>
      <c r="JY62" s="175"/>
      <c r="ON62" s="223" t="s">
        <v>267</v>
      </c>
      <c r="OO62" s="224" t="s">
        <v>268</v>
      </c>
      <c r="OP62" s="224">
        <v>4000</v>
      </c>
      <c r="OQ62" s="623" t="s">
        <v>501</v>
      </c>
      <c r="OR62" s="624" t="s">
        <v>253</v>
      </c>
      <c r="OS62" s="624" t="s">
        <v>266</v>
      </c>
      <c r="OT62" s="224"/>
    </row>
    <row r="63" spans="1:410" x14ac:dyDescent="0.25">
      <c r="B63" s="625" t="s">
        <v>247</v>
      </c>
      <c r="D63" s="175" t="s">
        <v>502</v>
      </c>
      <c r="F63" s="175" t="s">
        <v>503</v>
      </c>
      <c r="G63" s="396">
        <v>8047</v>
      </c>
      <c r="H63" s="626" t="str">
        <f>IF(I63&gt;0,"Lower Chaku Khola_1.8("&amp;ROUND(I63/24,3)&amp;")","Lower Chaku Khola_1.8")</f>
        <v>Lower Chaku Khola_1.8</v>
      </c>
      <c r="I63" s="478"/>
      <c r="J63" s="398">
        <f t="shared" ref="J63:K65" si="54">$I63/24</f>
        <v>0</v>
      </c>
      <c r="K63" s="289">
        <f t="shared" si="54"/>
        <v>0</v>
      </c>
      <c r="L63" s="396">
        <v>8113</v>
      </c>
      <c r="M63" s="392" t="str">
        <f>IF(N63&gt;0,"Upper Chaku A_22.2("&amp;ROUND(N63/24,3)&amp;")","Upper Chaku A_22.2")</f>
        <v>Upper Chaku A_22.2(4.826)</v>
      </c>
      <c r="N63" s="428">
        <v>115.83199999999999</v>
      </c>
      <c r="O63" s="398">
        <f>VLOOKUP($L63,$AG$6:$AK$106,3,FALSE)</f>
        <v>7</v>
      </c>
      <c r="P63" s="289">
        <f>VLOOKUP($L63,$AG$6:$AK$106,5,FALSE)</f>
        <v>7</v>
      </c>
      <c r="Q63" s="379"/>
      <c r="AG63" s="175">
        <v>6005</v>
      </c>
      <c r="AH63" s="254" t="s">
        <v>504</v>
      </c>
      <c r="AI63" s="380">
        <v>408.43999999999994</v>
      </c>
      <c r="AJ63" s="380">
        <v>103.64</v>
      </c>
      <c r="AK63" s="255">
        <v>354.84000000000003</v>
      </c>
      <c r="AL63" s="621"/>
      <c r="AM63" s="622"/>
      <c r="JB63" s="175"/>
      <c r="JC63" s="175"/>
      <c r="JD63" s="175"/>
      <c r="JE63" s="175"/>
      <c r="JF63" s="175"/>
      <c r="JG63" s="175"/>
      <c r="JH63" s="175"/>
      <c r="JI63" s="175"/>
      <c r="JJ63" s="175"/>
      <c r="JK63" s="175"/>
      <c r="JL63" s="175"/>
      <c r="JM63" s="175"/>
      <c r="JN63" s="175"/>
      <c r="JO63" s="175"/>
      <c r="JP63" s="175"/>
      <c r="JQ63" s="175"/>
      <c r="JR63" s="175"/>
      <c r="JS63" s="175"/>
      <c r="JT63" s="175"/>
      <c r="JU63" s="175"/>
      <c r="JV63" s="175"/>
      <c r="JW63" s="175"/>
      <c r="JX63" s="175"/>
      <c r="JY63" s="175"/>
      <c r="ON63" s="223" t="s">
        <v>267</v>
      </c>
      <c r="OO63" s="224" t="s">
        <v>268</v>
      </c>
      <c r="OP63" s="224">
        <v>4001</v>
      </c>
      <c r="OQ63" s="224" t="s">
        <v>104</v>
      </c>
      <c r="OR63" s="224" t="str">
        <f ca="1">VLOOKUP($OP63,INDIRECT($ON63):INDIRECT($OO63),3,FALSE)</f>
        <v>MW</v>
      </c>
      <c r="OS63" s="224" t="str">
        <f ca="1">VLOOKUP($OP63,INDIRECT($ON63):INDIRECT($OO63),4,FALSE)</f>
        <v>Time</v>
      </c>
      <c r="OT63" s="224"/>
    </row>
    <row r="64" spans="1:410" ht="13.5" customHeight="1" x14ac:dyDescent="0.25">
      <c r="B64" s="175" t="s">
        <v>438</v>
      </c>
      <c r="D64" s="175">
        <v>9804016781</v>
      </c>
      <c r="F64" s="175">
        <v>9852029672</v>
      </c>
      <c r="G64" s="396">
        <v>8048</v>
      </c>
      <c r="H64" s="392" t="str">
        <f>IF(I64&gt;0,"Lower Chhote Khola_0.997("&amp;ROUND(I64/24,3)&amp;")","Lower Chhote Khola_0.997")</f>
        <v>Lower Chhote Khola_0.997</v>
      </c>
      <c r="I64" s="478"/>
      <c r="J64" s="398">
        <f t="shared" si="54"/>
        <v>0</v>
      </c>
      <c r="K64" s="289">
        <f t="shared" si="54"/>
        <v>0</v>
      </c>
      <c r="L64" s="396">
        <v>8114</v>
      </c>
      <c r="M64" s="433" t="str">
        <f>IF(N64&gt;0,"Upper Chhyangdi Khola_4("&amp;ROUND(N64/24,3)&amp;")","Upper Chhyangdi Khola_4")</f>
        <v>Upper Chhyangdi Khola_4(0.972)</v>
      </c>
      <c r="N64" s="428">
        <v>23.32</v>
      </c>
      <c r="O64" s="398">
        <f t="shared" ref="O64:P68" si="55">$N64/24</f>
        <v>0.97166666666666668</v>
      </c>
      <c r="P64" s="289">
        <f t="shared" si="55"/>
        <v>0.97166666666666668</v>
      </c>
      <c r="Q64" s="379"/>
      <c r="AG64" s="175">
        <v>1012</v>
      </c>
      <c r="AH64" s="254" t="s">
        <v>71</v>
      </c>
      <c r="AI64" s="380">
        <v>20</v>
      </c>
      <c r="AJ64" s="380">
        <v>0</v>
      </c>
      <c r="AK64" s="255">
        <v>14</v>
      </c>
      <c r="AL64" s="621"/>
      <c r="AM64" s="622"/>
      <c r="JB64" s="175"/>
      <c r="JC64" s="175"/>
      <c r="JD64" s="175"/>
      <c r="JE64" s="175"/>
      <c r="JF64" s="175"/>
      <c r="JG64" s="175"/>
      <c r="JH64" s="175"/>
      <c r="JI64" s="175"/>
      <c r="JJ64" s="175"/>
      <c r="JK64" s="175"/>
      <c r="JL64" s="175"/>
      <c r="JM64" s="175"/>
      <c r="JN64" s="175"/>
      <c r="JO64" s="175"/>
      <c r="JP64" s="175"/>
      <c r="JQ64" s="175"/>
      <c r="JR64" s="175"/>
      <c r="JS64" s="175"/>
      <c r="JT64" s="175"/>
      <c r="JU64" s="175"/>
      <c r="JV64" s="175"/>
      <c r="JW64" s="175"/>
      <c r="JX64" s="175"/>
      <c r="JY64" s="175"/>
      <c r="ON64" s="223" t="s">
        <v>267</v>
      </c>
      <c r="OO64" s="224" t="s">
        <v>268</v>
      </c>
      <c r="OP64" s="224">
        <v>4002</v>
      </c>
      <c r="OQ64" s="224" t="s">
        <v>105</v>
      </c>
      <c r="OR64" s="224" t="e">
        <f ca="1">VLOOKUP($OP64,INDIRECT($ON64):INDIRECT($OO64),3,FALSE)</f>
        <v>#N/A</v>
      </c>
      <c r="OS64" s="224" t="e">
        <f ca="1">VLOOKUP($OP64,INDIRECT($ON64):INDIRECT($OO64),4,FALSE)</f>
        <v>#N/A</v>
      </c>
      <c r="OT64" s="224"/>
    </row>
    <row r="65" spans="1:410" ht="13.5" customHeight="1" thickBot="1" x14ac:dyDescent="0.3">
      <c r="B65" s="175" t="s">
        <v>338</v>
      </c>
      <c r="G65" s="396">
        <v>8049</v>
      </c>
      <c r="H65" s="392" t="str">
        <f>IF(I65&gt;0,"Lower Jogmai_6.2("&amp;ROUND(I65/24,3)&amp;")","Lower Jogmai_6.2")</f>
        <v>Lower Jogmai_6.2(1.182)</v>
      </c>
      <c r="I65" s="478">
        <v>28.361999999999998</v>
      </c>
      <c r="J65" s="398">
        <f t="shared" si="54"/>
        <v>1.1817499999999999</v>
      </c>
      <c r="K65" s="289">
        <f t="shared" si="54"/>
        <v>1.1817499999999999</v>
      </c>
      <c r="L65" s="396">
        <v>8135</v>
      </c>
      <c r="M65" s="392" t="str">
        <f>IF(N65&gt;0,"Upper Dordi_25("&amp;ROUND(N65/24,3)&amp;")","Upper Dordi_25")</f>
        <v>Upper Dordi_25(9.438)</v>
      </c>
      <c r="N65" s="428">
        <v>226.5</v>
      </c>
      <c r="O65" s="398">
        <f>VLOOKUP($L65,$AG$6:$AK$106,3,FALSE)</f>
        <v>13</v>
      </c>
      <c r="P65" s="289">
        <f>VLOOKUP($L65,$AG$6:$AK$106,5,FALSE)</f>
        <v>13</v>
      </c>
      <c r="Q65" s="379"/>
      <c r="AG65" s="175">
        <v>1013</v>
      </c>
      <c r="AH65" s="254" t="s">
        <v>72</v>
      </c>
      <c r="AI65" s="380">
        <v>9.4</v>
      </c>
      <c r="AJ65" s="380">
        <v>0</v>
      </c>
      <c r="AK65" s="255">
        <v>3.8</v>
      </c>
      <c r="AL65" s="621"/>
      <c r="AM65" s="622"/>
      <c r="JB65" s="175"/>
      <c r="JC65" s="175"/>
      <c r="JD65" s="175"/>
      <c r="JE65" s="175"/>
      <c r="JF65" s="175"/>
      <c r="JG65" s="175"/>
      <c r="JH65" s="175"/>
      <c r="JI65" s="175"/>
      <c r="JJ65" s="175"/>
      <c r="JK65" s="175"/>
      <c r="JL65" s="175"/>
      <c r="JM65" s="175"/>
      <c r="JN65" s="175"/>
      <c r="JO65" s="175"/>
      <c r="JP65" s="175"/>
      <c r="JQ65" s="175"/>
      <c r="JR65" s="175"/>
      <c r="JS65" s="175"/>
      <c r="JT65" s="175"/>
      <c r="JU65" s="175"/>
      <c r="JV65" s="175"/>
      <c r="JW65" s="175"/>
      <c r="JX65" s="175"/>
      <c r="JY65" s="175"/>
      <c r="ON65" s="223" t="s">
        <v>267</v>
      </c>
      <c r="OO65" s="224" t="s">
        <v>268</v>
      </c>
      <c r="OP65" s="224">
        <v>4003</v>
      </c>
      <c r="OQ65" s="224" t="s">
        <v>106</v>
      </c>
      <c r="OR65" s="224" t="e">
        <f ca="1">VLOOKUP($OP65,INDIRECT($ON65):INDIRECT($OO65),3,FALSE)</f>
        <v>#N/A</v>
      </c>
      <c r="OS65" s="224" t="e">
        <f ca="1">VLOOKUP($OP65,INDIRECT($ON65):INDIRECT($OO65),4,FALSE)</f>
        <v>#N/A</v>
      </c>
      <c r="OT65" s="224"/>
    </row>
    <row r="66" spans="1:410" x14ac:dyDescent="0.25">
      <c r="B66" s="694" t="s">
        <v>247</v>
      </c>
      <c r="C66" s="627"/>
      <c r="D66" s="627"/>
      <c r="E66" s="627"/>
      <c r="F66" s="627"/>
      <c r="G66" s="396">
        <v>8050</v>
      </c>
      <c r="H66" s="392" t="str">
        <f>IF(I66&gt;0,"Lower Khare_11("&amp;ROUND(I66/24,3)&amp;")","Lower Khare_11")</f>
        <v>Lower Khare_11</v>
      </c>
      <c r="I66" s="478"/>
      <c r="J66" s="398">
        <f>VLOOKUP($G66,$AG$6:$AK$106,3,FALSE)</f>
        <v>8.5</v>
      </c>
      <c r="K66" s="289">
        <f>VLOOKUP($G66,$AG$6:$AK$106,5,FALSE)</f>
        <v>8.5</v>
      </c>
      <c r="L66" s="396">
        <v>8115</v>
      </c>
      <c r="M66" s="433" t="str">
        <f>IF(N66&gt;0,"Upper Hadi Khola_0.991("&amp;ROUND(N66/24,3)&amp;")","Upper Hadi Khola_0.991")</f>
        <v>Upper Hadi Khola_0.991</v>
      </c>
      <c r="N66" s="428"/>
      <c r="O66" s="398">
        <f t="shared" si="55"/>
        <v>0</v>
      </c>
      <c r="P66" s="289">
        <f t="shared" si="55"/>
        <v>0</v>
      </c>
      <c r="Q66" s="379"/>
      <c r="AG66" s="175">
        <v>1014</v>
      </c>
      <c r="AH66" s="254" t="s">
        <v>73</v>
      </c>
      <c r="AI66" s="380">
        <v>3.4</v>
      </c>
      <c r="AJ66" s="380">
        <v>0</v>
      </c>
      <c r="AK66" s="255">
        <v>1.4</v>
      </c>
      <c r="AL66" s="621"/>
      <c r="AM66" s="622"/>
      <c r="JB66" s="175"/>
      <c r="JC66" s="175"/>
      <c r="JD66" s="175"/>
      <c r="JE66" s="175"/>
      <c r="JF66" s="175"/>
      <c r="JG66" s="175"/>
      <c r="JH66" s="175"/>
      <c r="JI66" s="175"/>
      <c r="JJ66" s="175"/>
      <c r="JK66" s="175"/>
      <c r="JL66" s="175"/>
      <c r="JM66" s="175"/>
      <c r="JN66" s="175"/>
      <c r="JO66" s="175"/>
      <c r="JP66" s="175"/>
      <c r="JQ66" s="175"/>
      <c r="JR66" s="175"/>
      <c r="JS66" s="175"/>
      <c r="JT66" s="175"/>
      <c r="JU66" s="175"/>
      <c r="JV66" s="175"/>
      <c r="JW66" s="175"/>
      <c r="JX66" s="175"/>
      <c r="JY66" s="175"/>
      <c r="ON66" s="223" t="s">
        <v>267</v>
      </c>
      <c r="OO66" s="224" t="s">
        <v>268</v>
      </c>
      <c r="OP66" s="224">
        <v>4004</v>
      </c>
      <c r="OQ66" s="224" t="s">
        <v>107</v>
      </c>
      <c r="OR66" s="224" t="e">
        <f ca="1">VLOOKUP($OP66,INDIRECT($ON66):INDIRECT($OO66),3,FALSE)</f>
        <v>#N/A</v>
      </c>
      <c r="OS66" s="224" t="e">
        <f ca="1">VLOOKUP($OP66,INDIRECT($ON66):INDIRECT($OO66),4,FALSE)</f>
        <v>#N/A</v>
      </c>
      <c r="OT66" s="224"/>
    </row>
    <row r="67" spans="1:410" ht="15.75" thickBot="1" x14ac:dyDescent="0.3">
      <c r="B67" s="695"/>
      <c r="C67" s="224" t="s">
        <v>498</v>
      </c>
      <c r="D67" s="224" t="s">
        <v>499</v>
      </c>
      <c r="E67" s="224" t="s">
        <v>500</v>
      </c>
      <c r="F67" s="628" t="s">
        <v>444</v>
      </c>
      <c r="G67" s="396">
        <v>8134</v>
      </c>
      <c r="H67" s="392" t="str">
        <f>IF(I67&gt;0,"Lower Likhu _28("&amp;ROUND(I67/24,3)&amp;")","Lower Likhu_28")</f>
        <v>Lower Likhu _28(10.9)</v>
      </c>
      <c r="I67" s="478">
        <v>261.60000000000002</v>
      </c>
      <c r="J67" s="398">
        <f>VLOOKUP($G67,$AG$6:$AK$106,3,FALSE)</f>
        <v>13</v>
      </c>
      <c r="K67" s="289">
        <f>VLOOKUP($G67,$AG$6:$AK$106,5,FALSE)</f>
        <v>13</v>
      </c>
      <c r="L67" s="396">
        <v>8116</v>
      </c>
      <c r="M67" s="392" t="str">
        <f>IF(N67&gt;0,"Upper Hewa Khola Small_8.5("&amp;ROUND(N67/24,3)&amp;")","Upper Hewa Khola Small_8.5")</f>
        <v>Upper Hewa Khola Small_8.5(2.138)</v>
      </c>
      <c r="N67" s="428">
        <v>51.31</v>
      </c>
      <c r="O67" s="398">
        <f t="shared" si="55"/>
        <v>2.1379166666666669</v>
      </c>
      <c r="P67" s="289">
        <f t="shared" si="55"/>
        <v>2.1379166666666669</v>
      </c>
      <c r="Q67" s="379"/>
      <c r="AG67" s="175">
        <v>6006</v>
      </c>
      <c r="AH67" s="254" t="s">
        <v>505</v>
      </c>
      <c r="AI67" s="380">
        <v>32.799999999999997</v>
      </c>
      <c r="AJ67" s="380">
        <v>0</v>
      </c>
      <c r="AK67" s="255">
        <v>19.2</v>
      </c>
      <c r="AL67" s="621"/>
      <c r="AM67" s="622"/>
      <c r="JB67" s="175"/>
      <c r="JC67" s="175"/>
      <c r="JD67" s="175"/>
      <c r="JE67" s="175"/>
      <c r="JF67" s="175"/>
      <c r="JG67" s="175"/>
      <c r="JH67" s="175"/>
      <c r="JI67" s="175"/>
      <c r="JJ67" s="175"/>
      <c r="JK67" s="175"/>
      <c r="JL67" s="175"/>
      <c r="JM67" s="175"/>
      <c r="JN67" s="175"/>
      <c r="JO67" s="175"/>
      <c r="JP67" s="175"/>
      <c r="JQ67" s="175"/>
      <c r="JR67" s="175"/>
      <c r="JS67" s="175"/>
      <c r="JT67" s="175"/>
      <c r="JU67" s="175"/>
      <c r="JV67" s="175"/>
      <c r="JW67" s="175"/>
      <c r="JX67" s="175"/>
      <c r="JY67" s="175"/>
      <c r="ON67" s="223" t="s">
        <v>267</v>
      </c>
      <c r="OO67" s="224" t="s">
        <v>268</v>
      </c>
      <c r="OP67" s="224">
        <v>4005</v>
      </c>
      <c r="OQ67" s="224" t="s">
        <v>108</v>
      </c>
      <c r="OR67" s="224" t="e">
        <f ca="1">VLOOKUP($OP67,INDIRECT($ON67):INDIRECT($OO67),3,FALSE)</f>
        <v>#N/A</v>
      </c>
      <c r="OS67" s="224" t="e">
        <f ca="1">VLOOKUP($OP67,INDIRECT($ON67):INDIRECT($OO67),4,FALSE)</f>
        <v>#N/A</v>
      </c>
      <c r="OT67" s="224"/>
    </row>
    <row r="68" spans="1:410" ht="15.75" thickBot="1" x14ac:dyDescent="0.3">
      <c r="A68" s="175">
        <v>3009</v>
      </c>
      <c r="B68" s="374" t="s">
        <v>482</v>
      </c>
      <c r="C68" s="224">
        <v>0</v>
      </c>
      <c r="D68" s="224">
        <f ca="1">INDIRECT("'"&amp;$E$5-1&amp;"'!C68")</f>
        <v>0</v>
      </c>
      <c r="E68" s="224">
        <v>4.8</v>
      </c>
      <c r="F68" s="628">
        <f ca="1">E68*(C68-D68)</f>
        <v>0</v>
      </c>
      <c r="G68" s="396">
        <v>8051</v>
      </c>
      <c r="H68" s="392" t="str">
        <f>IF(I68&gt;0,"Lower Modi _20("&amp;ROUND(I68/24,3)&amp;")","Lower Modi _20")</f>
        <v>Lower Modi _20(6.081)</v>
      </c>
      <c r="I68" s="478">
        <v>145.94999999999999</v>
      </c>
      <c r="J68" s="398">
        <f>VLOOKUP($G68,$AG$6:$AK$106,3,FALSE)</f>
        <v>7</v>
      </c>
      <c r="K68" s="289">
        <f>VLOOKUP($G68,$AG$6:$AK$106,5,FALSE)</f>
        <v>7</v>
      </c>
      <c r="L68" s="396">
        <v>8117</v>
      </c>
      <c r="M68" s="392" t="str">
        <f>IF(N68&gt;0,"Upper Hugdi Khola_5("&amp;ROUND(N68/24,3)&amp;")","Upper Hugdi Khola_5")</f>
        <v>Upper Hugdi Khola_5(2.004)</v>
      </c>
      <c r="N68" s="428">
        <v>48.1</v>
      </c>
      <c r="O68" s="398">
        <f t="shared" si="55"/>
        <v>2.0041666666666669</v>
      </c>
      <c r="P68" s="289">
        <f t="shared" si="55"/>
        <v>2.0041666666666669</v>
      </c>
      <c r="Q68" s="379"/>
      <c r="AG68" s="175">
        <v>2001</v>
      </c>
      <c r="AH68" s="254" t="s">
        <v>75</v>
      </c>
      <c r="AI68" s="380">
        <v>77</v>
      </c>
      <c r="AJ68" s="380">
        <v>23</v>
      </c>
      <c r="AK68" s="255">
        <v>47.2</v>
      </c>
      <c r="AL68" s="621"/>
      <c r="JB68" s="175"/>
      <c r="JC68" s="175"/>
      <c r="JD68" s="175"/>
      <c r="JE68" s="175"/>
      <c r="JF68" s="175"/>
      <c r="JG68" s="175"/>
      <c r="JH68" s="175"/>
      <c r="JI68" s="175"/>
      <c r="JJ68" s="175"/>
      <c r="JK68" s="175"/>
      <c r="JL68" s="175"/>
      <c r="JM68" s="175"/>
      <c r="JN68" s="175"/>
      <c r="JO68" s="175"/>
      <c r="JP68" s="175"/>
      <c r="JQ68" s="175"/>
      <c r="JR68" s="175"/>
      <c r="JS68" s="175"/>
      <c r="JT68" s="175"/>
      <c r="JU68" s="175"/>
      <c r="JV68" s="175"/>
      <c r="JW68" s="175"/>
      <c r="JX68" s="175"/>
      <c r="JY68" s="175"/>
      <c r="ON68" s="223" t="s">
        <v>267</v>
      </c>
      <c r="OO68" s="224" t="s">
        <v>268</v>
      </c>
      <c r="OP68" s="224">
        <v>4006</v>
      </c>
      <c r="OQ68" s="224" t="s">
        <v>109</v>
      </c>
      <c r="OR68" s="224" t="e">
        <f ca="1">VLOOKUP($OP68,INDIRECT($ON68):INDIRECT($OO68),3,FALSE)</f>
        <v>#N/A</v>
      </c>
      <c r="OS68" s="224" t="e">
        <f ca="1">VLOOKUP($OP68,INDIRECT($ON68):INDIRECT($OO68),4,FALSE)</f>
        <v>#N/A</v>
      </c>
      <c r="OT68" s="224"/>
    </row>
    <row r="69" spans="1:410" x14ac:dyDescent="0.25">
      <c r="A69" s="175">
        <v>3010</v>
      </c>
      <c r="B69" s="374" t="s">
        <v>483</v>
      </c>
      <c r="C69" s="224">
        <v>0</v>
      </c>
      <c r="D69" s="224">
        <f ca="1">INDIRECT("'"&amp;$E$5-1&amp;"'!C69")</f>
        <v>347.6</v>
      </c>
      <c r="E69" s="224">
        <v>2</v>
      </c>
      <c r="F69" s="628">
        <f ca="1">E69*(C69-D69)</f>
        <v>-695.2</v>
      </c>
      <c r="G69" s="396">
        <v>8052</v>
      </c>
      <c r="H69" s="392" t="str">
        <f>IF(I69&gt;0,"Lower Modi 1_10("&amp;ROUND(I69/24,3)&amp;")","Lower Modi 1_10")</f>
        <v>Lower Modi 1_10(3.868)</v>
      </c>
      <c r="I69" s="478">
        <v>92.84</v>
      </c>
      <c r="J69" s="398">
        <f>VLOOKUP($G69,$AG$6:$AK$106,3,FALSE)</f>
        <v>4</v>
      </c>
      <c r="K69" s="289">
        <f>VLOOKUP($G69,$AG$6:$AK$106,5,FALSE)</f>
        <v>4</v>
      </c>
      <c r="L69" s="396">
        <v>8118</v>
      </c>
      <c r="M69" s="392" t="str">
        <f>IF(N69&gt;0,"Upper Khimti_12("&amp;ROUND(N69/24,3)&amp;")","Upper Khimti_12")</f>
        <v>Upper Khimti_12(2.19)</v>
      </c>
      <c r="N69" s="428">
        <v>52.56</v>
      </c>
      <c r="O69" s="398">
        <f>VLOOKUP($L69,$AG$6:$AK$106,3,FALSE)</f>
        <v>7</v>
      </c>
      <c r="P69" s="289">
        <f>VLOOKUP($L69,$AG$6:$AK$106,5,FALSE)</f>
        <v>7</v>
      </c>
      <c r="Q69" s="379"/>
      <c r="AG69" s="175">
        <v>2002</v>
      </c>
      <c r="AH69" s="254" t="s">
        <v>76</v>
      </c>
      <c r="AI69" s="380">
        <v>0</v>
      </c>
      <c r="AJ69" s="380">
        <v>0</v>
      </c>
      <c r="AK69" s="255">
        <v>0</v>
      </c>
      <c r="AL69" s="621"/>
      <c r="JB69" s="175"/>
      <c r="JC69" s="175"/>
      <c r="JD69" s="175"/>
      <c r="JE69" s="175"/>
      <c r="JF69" s="175"/>
      <c r="JG69" s="175"/>
      <c r="JH69" s="175"/>
      <c r="JI69" s="175"/>
      <c r="JJ69" s="175"/>
      <c r="JK69" s="175"/>
      <c r="JL69" s="175"/>
      <c r="JM69" s="175"/>
      <c r="JN69" s="175"/>
      <c r="JO69" s="175"/>
      <c r="JP69" s="175"/>
      <c r="JQ69" s="175"/>
      <c r="JR69" s="175"/>
      <c r="JS69" s="175"/>
      <c r="JT69" s="175"/>
      <c r="JU69" s="175"/>
      <c r="JV69" s="175"/>
      <c r="JW69" s="175"/>
      <c r="JX69" s="175"/>
      <c r="JY69" s="175"/>
      <c r="ON69" s="223" t="s">
        <v>267</v>
      </c>
      <c r="OO69" s="224" t="s">
        <v>268</v>
      </c>
      <c r="OP69" s="224">
        <v>4007</v>
      </c>
      <c r="OQ69" s="224" t="s">
        <v>110</v>
      </c>
      <c r="OR69" s="224" t="e">
        <f ca="1">VLOOKUP($OP69,INDIRECT($ON69):INDIRECT($OO69),3,FALSE)</f>
        <v>#N/A</v>
      </c>
      <c r="OS69" s="224" t="e">
        <f ca="1">VLOOKUP($OP69,INDIRECT($ON69):INDIRECT($OO69),4,FALSE)</f>
        <v>#N/A</v>
      </c>
      <c r="OT69" s="224"/>
    </row>
    <row r="70" spans="1:410" ht="15.75" thickBot="1" x14ac:dyDescent="0.3">
      <c r="B70" s="629"/>
      <c r="C70" s="630"/>
      <c r="D70" s="630" t="s">
        <v>248</v>
      </c>
      <c r="E70" s="630">
        <v>6.8</v>
      </c>
      <c r="F70" s="631">
        <f ca="1">F68+F69</f>
        <v>-695.2</v>
      </c>
      <c r="G70" s="396">
        <v>8053</v>
      </c>
      <c r="H70" s="416" t="str">
        <f>IF(I70&gt;0,"Lower Piluwa Small_0.99("&amp;ROUND(I70/24,3)&amp;")","Lower Piluwa Small_0.99")</f>
        <v>Lower Piluwa Small_0.99</v>
      </c>
      <c r="I70" s="478"/>
      <c r="J70" s="398">
        <f t="shared" ref="J70:K81" si="56">$I70/24</f>
        <v>0</v>
      </c>
      <c r="K70" s="289">
        <f t="shared" si="56"/>
        <v>0</v>
      </c>
      <c r="L70" s="396">
        <v>8119</v>
      </c>
      <c r="M70" s="392" t="str">
        <f>IF(N70&gt;0,"Upper Khimti II_7("&amp;ROUND(N70/24,3)&amp;")","Upper Khimti II_7")</f>
        <v>Upper Khimti II_7(1.359)</v>
      </c>
      <c r="N70" s="428">
        <v>32.61</v>
      </c>
      <c r="O70" s="398">
        <f>$N70/24</f>
        <v>1.3587499999999999</v>
      </c>
      <c r="P70" s="289">
        <f>$N70/24</f>
        <v>1.3587499999999999</v>
      </c>
      <c r="Q70" s="379"/>
      <c r="AG70" s="175">
        <v>2003</v>
      </c>
      <c r="AH70" s="254" t="s">
        <v>77</v>
      </c>
      <c r="AI70" s="380">
        <v>328.4</v>
      </c>
      <c r="AJ70" s="380">
        <v>25</v>
      </c>
      <c r="AK70" s="255">
        <v>153</v>
      </c>
      <c r="AL70" s="621"/>
      <c r="JB70" s="175"/>
      <c r="JC70" s="175"/>
      <c r="JD70" s="175"/>
      <c r="JE70" s="175"/>
      <c r="JF70" s="175"/>
      <c r="JG70" s="175"/>
      <c r="JH70" s="175"/>
      <c r="JI70" s="175"/>
      <c r="JJ70" s="175"/>
      <c r="JK70" s="175"/>
      <c r="JL70" s="175"/>
      <c r="JM70" s="175"/>
      <c r="JN70" s="175"/>
      <c r="JO70" s="175"/>
      <c r="JP70" s="175"/>
      <c r="JQ70" s="175"/>
      <c r="JR70" s="175"/>
      <c r="JS70" s="175"/>
      <c r="JT70" s="175"/>
      <c r="JU70" s="175"/>
      <c r="JV70" s="175"/>
      <c r="JW70" s="175"/>
      <c r="JX70" s="175"/>
      <c r="JY70" s="175"/>
      <c r="ON70" s="223" t="s">
        <v>267</v>
      </c>
      <c r="OO70" s="224" t="s">
        <v>268</v>
      </c>
      <c r="OP70" s="224"/>
      <c r="OQ70" s="224"/>
      <c r="OR70" s="224"/>
      <c r="OS70" s="224"/>
      <c r="OT70" s="224"/>
    </row>
    <row r="71" spans="1:410" ht="14.25" customHeight="1" thickBot="1" x14ac:dyDescent="0.3">
      <c r="G71" s="396">
        <v>8054</v>
      </c>
      <c r="H71" s="392" t="str">
        <f>IF(I71&gt;0,"Lower Tadi_4.993("&amp;ROUND(I71/24,3)&amp;")","Lower Tadi_4.993")</f>
        <v>Lower Tadi_4.993(2.6)</v>
      </c>
      <c r="I71" s="478">
        <v>62.4</v>
      </c>
      <c r="J71" s="398">
        <f t="shared" si="56"/>
        <v>2.6</v>
      </c>
      <c r="K71" s="289">
        <f t="shared" si="56"/>
        <v>2.6</v>
      </c>
      <c r="L71" s="396">
        <v>8120</v>
      </c>
      <c r="M71" s="392" t="str">
        <f>IF(N71&gt;0,"Upper Khorunga_7.5("&amp;ROUND(N71/24,3)&amp;")","Upper Khorunga_7.5")</f>
        <v>Upper Khorunga_7.5(0.86)</v>
      </c>
      <c r="N71" s="428">
        <v>20.64</v>
      </c>
      <c r="O71" s="398">
        <f>$N71/24</f>
        <v>0.86</v>
      </c>
      <c r="P71" s="289">
        <f>$N71/24</f>
        <v>0.86</v>
      </c>
      <c r="Q71" s="379"/>
      <c r="AG71" s="175">
        <v>2004</v>
      </c>
      <c r="AH71" s="254" t="s">
        <v>78</v>
      </c>
      <c r="AI71" s="380">
        <v>58.6</v>
      </c>
      <c r="AJ71" s="380">
        <v>28</v>
      </c>
      <c r="AK71" s="255">
        <v>39</v>
      </c>
      <c r="JB71" s="175"/>
      <c r="JC71" s="175"/>
      <c r="JD71" s="175"/>
      <c r="JE71" s="175"/>
      <c r="JF71" s="175"/>
      <c r="JG71" s="175"/>
      <c r="JH71" s="175"/>
      <c r="JI71" s="175"/>
      <c r="JJ71" s="175"/>
      <c r="JK71" s="175"/>
      <c r="JL71" s="175"/>
      <c r="JM71" s="175"/>
      <c r="JN71" s="175"/>
      <c r="JO71" s="175"/>
      <c r="JP71" s="175"/>
      <c r="JQ71" s="175"/>
      <c r="JR71" s="175"/>
      <c r="JS71" s="175"/>
      <c r="JT71" s="175"/>
      <c r="JU71" s="175"/>
      <c r="JV71" s="175"/>
      <c r="JW71" s="175"/>
      <c r="JX71" s="175"/>
      <c r="JY71" s="175"/>
      <c r="ON71" s="223" t="s">
        <v>267</v>
      </c>
      <c r="OO71" s="224" t="s">
        <v>268</v>
      </c>
      <c r="OP71" s="224"/>
      <c r="OQ71" s="224"/>
      <c r="OR71" s="224"/>
      <c r="OS71" s="224"/>
      <c r="OT71" s="224"/>
    </row>
    <row r="72" spans="1:410" ht="15.75" thickBot="1" x14ac:dyDescent="0.3">
      <c r="A72" s="175">
        <v>3000</v>
      </c>
      <c r="B72" s="632" t="s">
        <v>501</v>
      </c>
      <c r="C72" s="633" t="s">
        <v>253</v>
      </c>
      <c r="D72" s="634" t="s">
        <v>266</v>
      </c>
      <c r="G72" s="396">
        <v>8055</v>
      </c>
      <c r="H72" s="392" t="str">
        <f>IF(I72&gt;0,"Mai Beni_9.51("&amp;ROUND(I72/24,3)&amp;")","Mai Beni_9.51")</f>
        <v>Mai Beni_9.51(3.029)</v>
      </c>
      <c r="I72" s="478">
        <v>72.69</v>
      </c>
      <c r="J72" s="398">
        <f t="shared" si="56"/>
        <v>3.0287500000000001</v>
      </c>
      <c r="K72" s="289">
        <f t="shared" si="56"/>
        <v>3.0287500000000001</v>
      </c>
      <c r="L72" s="396">
        <v>8121</v>
      </c>
      <c r="M72" s="392" t="str">
        <f>IF(N72&gt;0,"Upper Madi_25("&amp;ROUND(N72/24,3)&amp;")","Upper Madi_25")</f>
        <v>Upper Madi_25(9.294)</v>
      </c>
      <c r="N72" s="428">
        <v>223.05199999999999</v>
      </c>
      <c r="O72" s="398">
        <f>VLOOKUP($L72,$AG$6:$AK$106,3,FALSE)</f>
        <v>10</v>
      </c>
      <c r="P72" s="289">
        <f>VLOOKUP($L72,$AG$6:$AK$106,5,FALSE)</f>
        <v>10</v>
      </c>
      <c r="Q72" s="379"/>
      <c r="AG72" s="175">
        <v>2005</v>
      </c>
      <c r="AH72" s="254" t="s">
        <v>506</v>
      </c>
      <c r="AI72" s="380">
        <v>52</v>
      </c>
      <c r="AJ72" s="380">
        <v>14</v>
      </c>
      <c r="AK72" s="255">
        <v>14</v>
      </c>
      <c r="JB72" s="175"/>
      <c r="JC72" s="175"/>
      <c r="JD72" s="175"/>
      <c r="JE72" s="175"/>
      <c r="JF72" s="175"/>
      <c r="JG72" s="175"/>
      <c r="JH72" s="175"/>
      <c r="JI72" s="175"/>
      <c r="JJ72" s="175"/>
      <c r="JK72" s="175"/>
      <c r="JL72" s="175"/>
      <c r="JM72" s="175"/>
      <c r="JN72" s="175"/>
      <c r="JO72" s="175"/>
      <c r="JP72" s="175"/>
      <c r="JQ72" s="175"/>
      <c r="JR72" s="175"/>
      <c r="JS72" s="175"/>
      <c r="JT72" s="175"/>
      <c r="JU72" s="175"/>
      <c r="JV72" s="175"/>
      <c r="JW72" s="175"/>
      <c r="JX72" s="175"/>
      <c r="JY72" s="175"/>
      <c r="ON72" s="223" t="s">
        <v>267</v>
      </c>
      <c r="OO72" s="224" t="s">
        <v>268</v>
      </c>
      <c r="OP72" s="224"/>
      <c r="OQ72" s="224"/>
      <c r="OR72" s="224"/>
      <c r="OS72" s="224"/>
      <c r="OT72" s="224"/>
    </row>
    <row r="73" spans="1:410" ht="15.75" thickBot="1" x14ac:dyDescent="0.3">
      <c r="A73" s="175">
        <v>3001</v>
      </c>
      <c r="B73" s="635" t="s">
        <v>104</v>
      </c>
      <c r="C73" s="636">
        <f t="shared" ref="C73:C79" si="57">VLOOKUP($A73,$AG$6:$AK$106,3,FALSE)</f>
        <v>0</v>
      </c>
      <c r="D73" s="376">
        <f t="shared" ref="D73:D79" si="58">VLOOKUP($A73,$AG$6:$AK$106,4,FALSE)</f>
        <v>0</v>
      </c>
      <c r="G73" s="396">
        <v>8056</v>
      </c>
      <c r="H73" s="392" t="str">
        <f>IF(I73&gt;0,"Mai Khola_4.5("&amp;ROUND(I73/24,3)&amp;")","Mai Khola_4.5")</f>
        <v>Mai Khola_4.5</v>
      </c>
      <c r="I73" s="478"/>
      <c r="J73" s="398">
        <f t="shared" si="56"/>
        <v>0</v>
      </c>
      <c r="K73" s="289">
        <f t="shared" si="56"/>
        <v>0</v>
      </c>
      <c r="L73" s="396">
        <v>8122</v>
      </c>
      <c r="M73" s="392" t="str">
        <f>IF(N73&gt;0,"Upper Mai C_5.1("&amp;ROUND(N73/24,3)&amp;")","Upper Mai C_5.1")</f>
        <v>Upper Mai C_5.1(1.556)</v>
      </c>
      <c r="N73" s="428">
        <v>37.340000000000003</v>
      </c>
      <c r="O73" s="398">
        <f t="shared" ref="O73:P75" si="59">$N73/24</f>
        <v>1.5558333333333334</v>
      </c>
      <c r="P73" s="289">
        <f t="shared" si="59"/>
        <v>1.5558333333333334</v>
      </c>
      <c r="Q73" s="379"/>
      <c r="AG73" s="175">
        <v>2006</v>
      </c>
      <c r="AH73" s="254" t="s">
        <v>80</v>
      </c>
      <c r="AI73" s="380">
        <v>5</v>
      </c>
      <c r="AJ73" s="380">
        <v>5</v>
      </c>
      <c r="AK73" s="255">
        <v>5</v>
      </c>
      <c r="JB73" s="175"/>
      <c r="JC73" s="175"/>
      <c r="JD73" s="175"/>
      <c r="JE73" s="175"/>
      <c r="JF73" s="175"/>
      <c r="JG73" s="175"/>
      <c r="JH73" s="175"/>
      <c r="JI73" s="175"/>
      <c r="JJ73" s="175"/>
      <c r="JK73" s="175"/>
      <c r="JL73" s="175"/>
      <c r="JM73" s="175"/>
      <c r="JN73" s="175"/>
      <c r="JO73" s="175"/>
      <c r="JP73" s="175"/>
      <c r="JQ73" s="175"/>
      <c r="JR73" s="175"/>
      <c r="JS73" s="175"/>
      <c r="JT73" s="175"/>
      <c r="JU73" s="175"/>
      <c r="JV73" s="175"/>
      <c r="JW73" s="175"/>
      <c r="JX73" s="175"/>
      <c r="JY73" s="175"/>
      <c r="ON73" s="223" t="s">
        <v>267</v>
      </c>
      <c r="OO73" s="224" t="s">
        <v>268</v>
      </c>
      <c r="OP73" s="224">
        <v>5000</v>
      </c>
      <c r="OQ73" s="224" t="s">
        <v>507</v>
      </c>
      <c r="OR73" s="224" t="e">
        <f ca="1">VLOOKUP($OP73,INDIRECT($ON73):INDIRECT($OO73),3,FALSE)</f>
        <v>#N/A</v>
      </c>
      <c r="OS73" s="224" t="e">
        <f ca="1">VLOOKUP($OP73,INDIRECT($ON73):INDIRECT($OO73),4,FALSE)</f>
        <v>#N/A</v>
      </c>
      <c r="OT73" s="224"/>
    </row>
    <row r="74" spans="1:410" x14ac:dyDescent="0.25">
      <c r="A74" s="175">
        <v>3002</v>
      </c>
      <c r="B74" s="637" t="s">
        <v>105</v>
      </c>
      <c r="C74" s="638">
        <f t="shared" si="57"/>
        <v>0</v>
      </c>
      <c r="D74" s="395">
        <f t="shared" si="58"/>
        <v>0</v>
      </c>
      <c r="G74" s="396">
        <v>8057</v>
      </c>
      <c r="H74" s="392" t="str">
        <f>IF(I74&gt;0,"Mai sana Cascade_8("&amp;ROUND(I74/24,3)&amp;")","Mai sana Cascade_8")</f>
        <v>Mai sana Cascade_8</v>
      </c>
      <c r="I74" s="478"/>
      <c r="J74" s="398">
        <f t="shared" si="56"/>
        <v>0</v>
      </c>
      <c r="K74" s="289">
        <f t="shared" si="56"/>
        <v>0</v>
      </c>
      <c r="L74" s="396">
        <v>8123</v>
      </c>
      <c r="M74" s="392" t="str">
        <f>IF(N74&gt;0,"Upper Mai Khola_9.98("&amp;ROUND(N74/24,3)&amp;")","Upper Mai Khola_9.98")</f>
        <v>Upper Mai Khola_9.98(2.974)</v>
      </c>
      <c r="N74" s="428">
        <v>71.38</v>
      </c>
      <c r="O74" s="398">
        <f t="shared" si="59"/>
        <v>2.9741666666666666</v>
      </c>
      <c r="P74" s="289">
        <f t="shared" si="59"/>
        <v>2.9741666666666666</v>
      </c>
      <c r="Q74" s="379"/>
      <c r="AG74" s="175">
        <v>2007</v>
      </c>
      <c r="AH74" s="254" t="s">
        <v>81</v>
      </c>
      <c r="AI74" s="380">
        <v>0</v>
      </c>
      <c r="AJ74" s="380">
        <v>0</v>
      </c>
      <c r="AK74" s="255">
        <v>0</v>
      </c>
      <c r="JB74" s="175"/>
      <c r="JC74" s="175"/>
      <c r="JD74" s="175"/>
      <c r="JE74" s="175"/>
      <c r="JF74" s="175"/>
      <c r="JG74" s="175"/>
      <c r="JH74" s="175"/>
      <c r="JI74" s="175"/>
      <c r="JJ74" s="175"/>
      <c r="JK74" s="175"/>
      <c r="JL74" s="175"/>
      <c r="JM74" s="175"/>
      <c r="JN74" s="175"/>
      <c r="JO74" s="175"/>
      <c r="JP74" s="175"/>
      <c r="JQ74" s="175"/>
      <c r="JR74" s="175"/>
      <c r="JS74" s="175"/>
      <c r="JT74" s="175"/>
      <c r="JU74" s="175"/>
      <c r="JV74" s="175"/>
      <c r="JW74" s="175"/>
      <c r="JX74" s="175"/>
      <c r="JY74" s="175"/>
      <c r="ON74" s="223" t="s">
        <v>267</v>
      </c>
      <c r="OO74" s="224" t="s">
        <v>268</v>
      </c>
      <c r="OP74" s="224">
        <v>5001</v>
      </c>
      <c r="OQ74" s="632" t="s">
        <v>508</v>
      </c>
      <c r="OR74" s="224" t="e">
        <f ca="1">VLOOKUP($OP74,INDIRECT($ON74):INDIRECT($OO74),3,FALSE)</f>
        <v>#N/A</v>
      </c>
      <c r="OS74" s="224" t="e">
        <f ca="1">VLOOKUP($OP74,INDIRECT($ON74):INDIRECT($OO74),4,FALSE)</f>
        <v>#N/A</v>
      </c>
      <c r="OT74" s="224"/>
    </row>
    <row r="75" spans="1:410" x14ac:dyDescent="0.25">
      <c r="A75" s="175">
        <v>3003</v>
      </c>
      <c r="B75" s="637" t="s">
        <v>106</v>
      </c>
      <c r="C75" s="638">
        <f t="shared" si="57"/>
        <v>0</v>
      </c>
      <c r="D75" s="395">
        <f t="shared" si="58"/>
        <v>0</v>
      </c>
      <c r="G75" s="396">
        <v>8058</v>
      </c>
      <c r="H75" s="392" t="str">
        <f>IF(I75&gt;0,"Mailung Khola_5("&amp;ROUND(I75/24,3)&amp;")","Mailung Khola_5")</f>
        <v>Mailung Khola_5(1.812)</v>
      </c>
      <c r="I75" s="478">
        <v>43.48</v>
      </c>
      <c r="J75" s="398">
        <f t="shared" si="56"/>
        <v>1.8116666666666665</v>
      </c>
      <c r="K75" s="289">
        <f t="shared" si="56"/>
        <v>1.8116666666666665</v>
      </c>
      <c r="L75" s="396">
        <v>8124</v>
      </c>
      <c r="M75" s="392" t="str">
        <f>IF(N75&gt;0,"Upper Mardi_7("&amp;ROUND(N75/24,3)&amp;")","Upper Mardi_7")</f>
        <v>Upper Mardi_7(2.35)</v>
      </c>
      <c r="N75" s="428">
        <v>56.4</v>
      </c>
      <c r="O75" s="398">
        <f t="shared" si="59"/>
        <v>2.35</v>
      </c>
      <c r="P75" s="289">
        <f t="shared" si="59"/>
        <v>2.35</v>
      </c>
      <c r="Q75" s="379"/>
      <c r="AG75" s="175">
        <v>2008</v>
      </c>
      <c r="AH75" s="254" t="s">
        <v>83</v>
      </c>
      <c r="AI75" s="380">
        <v>5</v>
      </c>
      <c r="AJ75" s="380">
        <v>5</v>
      </c>
      <c r="AK75" s="255">
        <v>5</v>
      </c>
      <c r="JB75" s="175"/>
      <c r="JC75" s="175"/>
      <c r="JD75" s="175"/>
      <c r="JE75" s="175"/>
      <c r="JF75" s="175"/>
      <c r="JG75" s="175"/>
      <c r="JH75" s="175"/>
      <c r="JI75" s="175"/>
      <c r="JJ75" s="175"/>
      <c r="JK75" s="175"/>
      <c r="JL75" s="175"/>
      <c r="JM75" s="175"/>
      <c r="JN75" s="175"/>
      <c r="JO75" s="175"/>
      <c r="JP75" s="175"/>
      <c r="JQ75" s="175"/>
      <c r="JR75" s="175"/>
      <c r="JS75" s="175"/>
      <c r="JT75" s="175"/>
      <c r="JU75" s="175"/>
      <c r="JV75" s="175"/>
      <c r="JW75" s="175"/>
      <c r="JX75" s="175"/>
      <c r="JY75" s="175"/>
      <c r="ON75" s="223" t="s">
        <v>267</v>
      </c>
      <c r="OO75" s="224" t="s">
        <v>268</v>
      </c>
      <c r="OP75" s="224">
        <v>5002</v>
      </c>
      <c r="OQ75" s="224" t="s">
        <v>113</v>
      </c>
      <c r="OR75" s="224" t="e">
        <f ca="1">VLOOKUP($OP75,INDIRECT($ON75):INDIRECT($OO75),3,FALSE)</f>
        <v>#N/A</v>
      </c>
      <c r="OS75" s="224" t="e">
        <f ca="1">VLOOKUP($OP75,INDIRECT($ON75):INDIRECT($OO75),4,FALSE)</f>
        <v>#N/A</v>
      </c>
      <c r="OT75" s="224"/>
    </row>
    <row r="76" spans="1:410" x14ac:dyDescent="0.25">
      <c r="A76" s="175">
        <v>3004</v>
      </c>
      <c r="B76" s="637" t="s">
        <v>107</v>
      </c>
      <c r="C76" s="638">
        <f t="shared" si="57"/>
        <v>0</v>
      </c>
      <c r="D76" s="395">
        <f t="shared" si="58"/>
        <v>0</v>
      </c>
      <c r="G76" s="396">
        <v>8059</v>
      </c>
      <c r="H76" s="416" t="str">
        <f>IF(I76&gt;0,"Mardi Khola_4.8("&amp;ROUND(I76/24,3)&amp;")","Mardi Khola_4.8")</f>
        <v>Mardi Khola_4.8(1.25)</v>
      </c>
      <c r="I76" s="478">
        <v>29.99</v>
      </c>
      <c r="J76" s="398">
        <f t="shared" si="56"/>
        <v>1.2495833333333333</v>
      </c>
      <c r="K76" s="289">
        <f t="shared" si="56"/>
        <v>1.2495833333333333</v>
      </c>
      <c r="L76" s="396">
        <v>8125</v>
      </c>
      <c r="M76" s="392" t="str">
        <f>IF(N76&gt;0,"Upper Marsyangdi ""A""_50("&amp;ROUND(N76/24,3)&amp;")","Upper Marsyangdi ""A""_50")</f>
        <v>Upper Marsyangdi "A"_50(38.108)</v>
      </c>
      <c r="N76" s="428">
        <v>914.6</v>
      </c>
      <c r="O76" s="398">
        <f>VLOOKUP($L76,$AG$6:$AK$106,3,FALSE)</f>
        <v>38.4</v>
      </c>
      <c r="P76" s="289">
        <f>VLOOKUP($L76,$AG$6:$AK$106,5,FALSE)</f>
        <v>37.9</v>
      </c>
      <c r="Q76" s="379"/>
      <c r="AG76" s="175">
        <v>2009</v>
      </c>
      <c r="AH76" s="254" t="s">
        <v>84</v>
      </c>
      <c r="AI76" s="380">
        <v>0</v>
      </c>
      <c r="AJ76" s="380">
        <v>0</v>
      </c>
      <c r="AK76" s="255">
        <v>0</v>
      </c>
      <c r="JB76" s="175"/>
      <c r="JC76" s="175"/>
      <c r="JD76" s="175"/>
      <c r="JE76" s="175"/>
      <c r="JF76" s="175"/>
      <c r="JG76" s="175"/>
      <c r="JH76" s="175"/>
      <c r="JI76" s="175"/>
      <c r="JJ76" s="175"/>
      <c r="JK76" s="175"/>
      <c r="JL76" s="175"/>
      <c r="JM76" s="175"/>
      <c r="JN76" s="175"/>
      <c r="JO76" s="175"/>
      <c r="JP76" s="175"/>
      <c r="JQ76" s="175"/>
      <c r="JR76" s="175"/>
      <c r="JS76" s="175"/>
      <c r="JT76" s="175"/>
      <c r="JU76" s="175"/>
      <c r="JV76" s="175"/>
      <c r="JW76" s="175"/>
      <c r="JX76" s="175"/>
      <c r="JY76" s="175"/>
      <c r="ON76" s="223" t="s">
        <v>267</v>
      </c>
      <c r="OO76" s="224" t="s">
        <v>268</v>
      </c>
      <c r="OP76" s="224">
        <v>5003</v>
      </c>
      <c r="OQ76" s="224" t="s">
        <v>115</v>
      </c>
      <c r="OR76" s="224" t="e">
        <f ca="1">VLOOKUP($OP76,INDIRECT($ON76):INDIRECT($OO76),3,FALSE)</f>
        <v>#N/A</v>
      </c>
      <c r="OS76" s="224" t="e">
        <f ca="1">VLOOKUP($OP76,INDIRECT($ON76):INDIRECT($OO76),4,FALSE)</f>
        <v>#N/A</v>
      </c>
      <c r="OT76" s="224"/>
    </row>
    <row r="77" spans="1:410" x14ac:dyDescent="0.25">
      <c r="A77" s="175">
        <v>3005</v>
      </c>
      <c r="B77" s="637" t="s">
        <v>108</v>
      </c>
      <c r="C77" s="638">
        <f t="shared" si="57"/>
        <v>0</v>
      </c>
      <c r="D77" s="395">
        <f t="shared" si="58"/>
        <v>0</v>
      </c>
      <c r="G77" s="396">
        <v>8060</v>
      </c>
      <c r="H77" s="416" t="str">
        <f>IF(I77&gt;0,"Middle Chaku_1.8("&amp;ROUND(I77/24,3)&amp;")","Middle Chaku_1.8")</f>
        <v>Middle Chaku_1.8</v>
      </c>
      <c r="I77" s="478"/>
      <c r="J77" s="398">
        <f t="shared" si="56"/>
        <v>0</v>
      </c>
      <c r="K77" s="289">
        <f t="shared" si="56"/>
        <v>0</v>
      </c>
      <c r="L77" s="396">
        <v>8126</v>
      </c>
      <c r="M77" s="392" t="str">
        <f>IF(N77&gt;0,"Upper Naugad Gad_8("&amp;ROUND(N77/24,3)&amp;")","Upper Naugad Gad_8")</f>
        <v>Upper Naugad Gad_8(2.596)</v>
      </c>
      <c r="N77" s="428">
        <v>62.3</v>
      </c>
      <c r="O77" s="398">
        <f t="shared" ref="O77:P80" si="60">$N77/24</f>
        <v>2.5958333333333332</v>
      </c>
      <c r="P77" s="289">
        <f t="shared" si="60"/>
        <v>2.5958333333333332</v>
      </c>
      <c r="Q77" s="639"/>
      <c r="AG77" s="175">
        <v>2010</v>
      </c>
      <c r="AH77" s="254" t="s">
        <v>86</v>
      </c>
      <c r="AI77" s="380">
        <v>0</v>
      </c>
      <c r="AJ77" s="380">
        <v>0</v>
      </c>
      <c r="AK77" s="255">
        <v>0</v>
      </c>
      <c r="JB77" s="175"/>
      <c r="JC77" s="175"/>
      <c r="JD77" s="175"/>
      <c r="JE77" s="175"/>
      <c r="JF77" s="175"/>
      <c r="JG77" s="175"/>
      <c r="JH77" s="175"/>
      <c r="JI77" s="175"/>
      <c r="JJ77" s="175"/>
      <c r="JK77" s="175"/>
      <c r="JL77" s="175"/>
      <c r="JM77" s="175"/>
      <c r="JN77" s="175"/>
      <c r="JO77" s="175"/>
      <c r="JP77" s="175"/>
      <c r="JQ77" s="175"/>
      <c r="JR77" s="175"/>
      <c r="JS77" s="175"/>
      <c r="JT77" s="175"/>
      <c r="JU77" s="175"/>
      <c r="JV77" s="175"/>
      <c r="JW77" s="175"/>
      <c r="JX77" s="175"/>
      <c r="JY77" s="175"/>
      <c r="ON77" s="223" t="s">
        <v>267</v>
      </c>
      <c r="OO77" s="224" t="s">
        <v>268</v>
      </c>
      <c r="OP77" s="224">
        <v>5004</v>
      </c>
      <c r="OQ77" s="224" t="s">
        <v>116</v>
      </c>
      <c r="OR77" s="224" t="e">
        <f ca="1">VLOOKUP($OP77,INDIRECT($ON77):INDIRECT($OO77),3,FALSE)</f>
        <v>#N/A</v>
      </c>
      <c r="OS77" s="224" t="e">
        <f ca="1">VLOOKUP($OP77,INDIRECT($ON77):INDIRECT($OO77),4,FALSE)</f>
        <v>#N/A</v>
      </c>
      <c r="OT77" s="224"/>
    </row>
    <row r="78" spans="1:410" x14ac:dyDescent="0.25">
      <c r="A78" s="175">
        <v>3006</v>
      </c>
      <c r="B78" s="637" t="s">
        <v>109</v>
      </c>
      <c r="C78" s="638" t="e">
        <f t="shared" si="57"/>
        <v>#N/A</v>
      </c>
      <c r="D78" s="395" t="e">
        <f t="shared" si="58"/>
        <v>#N/A</v>
      </c>
      <c r="G78" s="396">
        <v>8137</v>
      </c>
      <c r="H78" s="392" t="str">
        <f>IF(I78&gt;0,"Middle Modi_18("&amp;ROUND(I78/24,3)&amp;")","Middle Modi_18")</f>
        <v>Middle Modi_18(5.193)</v>
      </c>
      <c r="I78" s="478">
        <v>124.636</v>
      </c>
      <c r="J78" s="398">
        <f>VLOOKUP($G78,$AG$6:$AK$106,3,FALSE)</f>
        <v>7.7</v>
      </c>
      <c r="K78" s="289">
        <f>VLOOKUP($G78,$AG$6:$AK$106,5,FALSE)</f>
        <v>7.7</v>
      </c>
      <c r="L78" s="396">
        <v>8127</v>
      </c>
      <c r="M78" s="433" t="str">
        <f>IF(N78&gt;0,"Upper Puwa -1_3("&amp;ROUND(N78/24,3)&amp;")","Upper Puwa -1_3")</f>
        <v>Upper Puwa -1_3</v>
      </c>
      <c r="N78" s="428"/>
      <c r="O78" s="398">
        <f t="shared" si="60"/>
        <v>0</v>
      </c>
      <c r="P78" s="289">
        <f t="shared" si="60"/>
        <v>0</v>
      </c>
      <c r="Q78" s="639"/>
      <c r="AG78" s="175">
        <v>6013</v>
      </c>
      <c r="AH78" s="254" t="s">
        <v>88</v>
      </c>
      <c r="AI78" s="380">
        <v>0</v>
      </c>
      <c r="AJ78" s="380">
        <v>0</v>
      </c>
      <c r="AK78" s="255">
        <v>0</v>
      </c>
      <c r="JB78" s="175"/>
      <c r="JC78" s="175"/>
      <c r="JD78" s="175"/>
      <c r="JE78" s="175"/>
      <c r="JF78" s="175"/>
      <c r="JG78" s="175"/>
      <c r="JH78" s="175"/>
      <c r="JI78" s="175"/>
      <c r="JJ78" s="175"/>
      <c r="JK78" s="175"/>
      <c r="JL78" s="175"/>
      <c r="JM78" s="175"/>
      <c r="JN78" s="175"/>
      <c r="JO78" s="175"/>
      <c r="JP78" s="175"/>
      <c r="JQ78" s="175"/>
      <c r="JR78" s="175"/>
      <c r="JS78" s="175"/>
      <c r="JT78" s="175"/>
      <c r="JU78" s="175"/>
      <c r="JV78" s="175"/>
      <c r="JW78" s="175"/>
      <c r="JX78" s="175"/>
      <c r="JY78" s="175"/>
      <c r="ON78" s="223" t="s">
        <v>267</v>
      </c>
      <c r="OO78" s="224" t="s">
        <v>268</v>
      </c>
      <c r="OP78" s="224">
        <v>5005</v>
      </c>
      <c r="OQ78" s="224" t="s">
        <v>117</v>
      </c>
      <c r="OR78" s="224" t="e">
        <f ca="1">VLOOKUP($OP78,INDIRECT($ON78):INDIRECT($OO78),3,FALSE)</f>
        <v>#N/A</v>
      </c>
      <c r="OS78" s="224" t="e">
        <f ca="1">VLOOKUP($OP78,INDIRECT($ON78):INDIRECT($OO78),4,FALSE)</f>
        <v>#N/A</v>
      </c>
      <c r="OT78" s="224"/>
    </row>
    <row r="79" spans="1:410" ht="15.75" thickBot="1" x14ac:dyDescent="0.3">
      <c r="A79" s="175">
        <v>3007</v>
      </c>
      <c r="B79" s="640" t="s">
        <v>110</v>
      </c>
      <c r="C79" s="641" t="e">
        <f t="shared" si="57"/>
        <v>#N/A</v>
      </c>
      <c r="D79" s="477" t="e">
        <f t="shared" si="58"/>
        <v>#N/A</v>
      </c>
      <c r="G79" s="396">
        <v>8061</v>
      </c>
      <c r="H79" s="392" t="str">
        <f>IF(I79&gt;0,"Midim Karapu_3("&amp;ROUND(I79/24,3)&amp;")","Midim Karapu_3")</f>
        <v>Midim Karapu_3</v>
      </c>
      <c r="I79" s="478"/>
      <c r="J79" s="398">
        <f t="shared" si="56"/>
        <v>0</v>
      </c>
      <c r="K79" s="289">
        <f t="shared" si="56"/>
        <v>0</v>
      </c>
      <c r="L79" s="396">
        <v>8128</v>
      </c>
      <c r="M79" s="433" t="str">
        <f>IF(N79&gt;0,"Upper Rawa_3("&amp;ROUND(N79/24,3)&amp;")","Upper Rawa_3")</f>
        <v>Upper Rawa_3</v>
      </c>
      <c r="N79" s="428"/>
      <c r="O79" s="398">
        <f t="shared" si="60"/>
        <v>0</v>
      </c>
      <c r="P79" s="289">
        <f t="shared" si="60"/>
        <v>0</v>
      </c>
      <c r="Q79" s="639"/>
      <c r="AG79" s="175">
        <v>6008</v>
      </c>
      <c r="AH79" s="254" t="s">
        <v>509</v>
      </c>
      <c r="AI79" s="380">
        <v>489.4</v>
      </c>
      <c r="AJ79" s="380">
        <v>146.5</v>
      </c>
      <c r="AK79" s="255">
        <v>263.2</v>
      </c>
      <c r="JB79" s="175"/>
      <c r="JC79" s="175"/>
      <c r="JD79" s="175"/>
      <c r="JE79" s="175"/>
      <c r="JF79" s="175"/>
      <c r="JG79" s="175"/>
      <c r="JH79" s="175"/>
      <c r="JI79" s="175"/>
      <c r="JJ79" s="175"/>
      <c r="JK79" s="175"/>
      <c r="JL79" s="175"/>
      <c r="JM79" s="175"/>
      <c r="JN79" s="175"/>
      <c r="JO79" s="175"/>
      <c r="JP79" s="175"/>
      <c r="JQ79" s="175"/>
      <c r="JR79" s="175"/>
      <c r="JS79" s="175"/>
      <c r="JT79" s="175"/>
      <c r="JU79" s="175"/>
      <c r="JV79" s="175"/>
      <c r="JW79" s="175"/>
      <c r="JX79" s="175"/>
      <c r="JY79" s="175"/>
      <c r="ON79" s="223" t="s">
        <v>267</v>
      </c>
      <c r="OO79" s="224" t="s">
        <v>268</v>
      </c>
      <c r="OP79" s="224">
        <v>5006</v>
      </c>
      <c r="OQ79" s="224" t="s">
        <v>118</v>
      </c>
      <c r="OR79" s="224" t="e">
        <f ca="1">VLOOKUP($OP79,INDIRECT($ON79):INDIRECT($OO79),3,FALSE)</f>
        <v>#N/A</v>
      </c>
      <c r="OS79" s="224" t="e">
        <f ca="1">VLOOKUP($OP79,INDIRECT($ON79):INDIRECT($OO79),4,FALSE)</f>
        <v>#N/A</v>
      </c>
      <c r="OT79" s="224"/>
    </row>
    <row r="80" spans="1:410" x14ac:dyDescent="0.25">
      <c r="G80" s="396">
        <v>8062</v>
      </c>
      <c r="H80" s="392" t="str">
        <f>IF(I80&gt;0,"Midim Khola_0.1("&amp;ROUND(I80/24,3)&amp;")","Midim Khola_0.1")</f>
        <v>Midim Khola_0.1</v>
      </c>
      <c r="I80" s="478"/>
      <c r="J80" s="398">
        <f t="shared" si="56"/>
        <v>0</v>
      </c>
      <c r="K80" s="289">
        <f t="shared" si="56"/>
        <v>0</v>
      </c>
      <c r="L80" s="642">
        <v>8129</v>
      </c>
      <c r="M80" s="433" t="str">
        <f>IF(N80&gt;0,"Upper Syange Khola_2.4("&amp;ROUND(N80/24,3)&amp;")","Upper Syange Khola_2.4")</f>
        <v>Upper Syange Khola_2.4</v>
      </c>
      <c r="N80" s="428"/>
      <c r="O80" s="398">
        <f t="shared" si="60"/>
        <v>0</v>
      </c>
      <c r="P80" s="289">
        <f t="shared" si="60"/>
        <v>0</v>
      </c>
      <c r="Q80" s="639"/>
      <c r="AG80" s="175">
        <v>1023</v>
      </c>
      <c r="AH80" s="254" t="s">
        <v>510</v>
      </c>
      <c r="AI80" s="380">
        <v>0</v>
      </c>
      <c r="AJ80" s="380">
        <v>0</v>
      </c>
      <c r="AK80" s="255">
        <v>0</v>
      </c>
      <c r="JB80" s="175"/>
      <c r="JC80" s="175"/>
      <c r="JD80" s="175"/>
      <c r="JE80" s="175"/>
      <c r="JF80" s="175"/>
      <c r="JG80" s="175"/>
      <c r="JH80" s="175"/>
      <c r="JI80" s="175"/>
      <c r="JJ80" s="175"/>
      <c r="JK80" s="175"/>
      <c r="JL80" s="175"/>
      <c r="JM80" s="175"/>
      <c r="JN80" s="175"/>
      <c r="JO80" s="175"/>
      <c r="JP80" s="175"/>
      <c r="JQ80" s="175"/>
      <c r="JR80" s="175"/>
      <c r="JS80" s="175"/>
      <c r="JT80" s="175"/>
      <c r="JU80" s="175"/>
      <c r="JV80" s="175"/>
      <c r="JW80" s="175"/>
      <c r="JX80" s="175"/>
      <c r="JY80" s="175"/>
      <c r="ON80" s="223" t="s">
        <v>267</v>
      </c>
      <c r="OO80" s="224" t="s">
        <v>268</v>
      </c>
      <c r="OP80" s="224">
        <v>5007</v>
      </c>
      <c r="OQ80" s="643" t="s">
        <v>119</v>
      </c>
      <c r="OR80" s="224" t="e">
        <f ca="1">VLOOKUP($OP80,INDIRECT($ON80):INDIRECT($OO80),3,FALSE)</f>
        <v>#N/A</v>
      </c>
      <c r="OS80" s="224" t="e">
        <f ca="1">VLOOKUP($OP80,INDIRECT($ON80):INDIRECT($OO80),4,FALSE)</f>
        <v>#N/A</v>
      </c>
      <c r="OT80" s="224"/>
    </row>
    <row r="81" spans="1:410" ht="15.75" thickBot="1" x14ac:dyDescent="0.3">
      <c r="A81" s="175">
        <v>4000</v>
      </c>
      <c r="B81" s="308" t="s">
        <v>507</v>
      </c>
      <c r="G81" s="396">
        <v>8139</v>
      </c>
      <c r="H81" s="392" t="str">
        <f>IF(I81&gt;0,"Mid Solu_9.8("&amp;ROUND(I81/24,3)&amp;")","Mid Solu_9.8")</f>
        <v>Mid Solu_9.8</v>
      </c>
      <c r="I81" s="478"/>
      <c r="J81" s="398">
        <f t="shared" si="56"/>
        <v>0</v>
      </c>
      <c r="K81" s="644">
        <f t="shared" si="56"/>
        <v>0</v>
      </c>
      <c r="L81" s="645"/>
      <c r="M81" s="646"/>
      <c r="N81" s="647"/>
      <c r="O81" s="648"/>
      <c r="P81" s="649"/>
      <c r="AG81" s="175">
        <v>1021</v>
      </c>
      <c r="AH81" s="254" t="s">
        <v>511</v>
      </c>
      <c r="AI81" s="380">
        <v>0</v>
      </c>
      <c r="AJ81" s="380">
        <v>0</v>
      </c>
      <c r="AK81" s="255">
        <v>0</v>
      </c>
      <c r="JB81" s="175"/>
      <c r="JC81" s="175"/>
      <c r="JD81" s="175"/>
      <c r="JE81" s="175"/>
      <c r="JF81" s="175"/>
      <c r="JG81" s="175"/>
      <c r="JH81" s="175"/>
      <c r="JI81" s="175"/>
      <c r="JJ81" s="175"/>
      <c r="JK81" s="175"/>
      <c r="JL81" s="175"/>
      <c r="JM81" s="175"/>
      <c r="JN81" s="175"/>
      <c r="JO81" s="175"/>
      <c r="JP81" s="175"/>
      <c r="JQ81" s="175"/>
      <c r="JR81" s="175"/>
      <c r="JS81" s="175"/>
      <c r="JT81" s="175"/>
      <c r="JU81" s="175"/>
      <c r="JV81" s="175"/>
      <c r="JW81" s="175"/>
      <c r="JX81" s="175"/>
      <c r="JY81" s="175"/>
      <c r="ON81" s="223" t="s">
        <v>267</v>
      </c>
      <c r="OO81" s="224" t="s">
        <v>268</v>
      </c>
      <c r="OP81" s="224">
        <v>5008</v>
      </c>
      <c r="OQ81" s="643" t="s">
        <v>120</v>
      </c>
      <c r="OR81" s="224" t="e">
        <f ca="1">VLOOKUP($OP81,INDIRECT($ON81):INDIRECT($OO81),3,FALSE)</f>
        <v>#N/A</v>
      </c>
      <c r="OS81" s="224" t="e">
        <f ca="1">VLOOKUP($OP81,INDIRECT($ON81):INDIRECT($OO81),4,FALSE)</f>
        <v>#N/A</v>
      </c>
      <c r="OT81" s="224"/>
    </row>
    <row r="82" spans="1:410" ht="15.75" thickBot="1" x14ac:dyDescent="0.3">
      <c r="A82" s="175">
        <v>4001</v>
      </c>
      <c r="B82" s="632" t="s">
        <v>508</v>
      </c>
      <c r="C82" s="633" t="s">
        <v>283</v>
      </c>
      <c r="D82" s="634" t="s">
        <v>249</v>
      </c>
      <c r="F82" s="176"/>
      <c r="G82" s="396">
        <v>8063</v>
      </c>
      <c r="H82" s="392" t="str">
        <f>IF(I82&gt;0,"Mistri Khola_42("&amp;ROUND(I82/24,3)&amp;")","Mistri Khola_42")</f>
        <v>Mistri Khola_42(10.196)</v>
      </c>
      <c r="I82" s="478">
        <v>244.70099999999999</v>
      </c>
      <c r="J82" s="398">
        <f>VLOOKUP($G82,$AG$6:$AK$106,3,FALSE)</f>
        <v>11</v>
      </c>
      <c r="K82" s="644">
        <f>VLOOKUP($G82,$AG$6:$AK$106,5,FALSE)</f>
        <v>11</v>
      </c>
      <c r="L82" s="642"/>
      <c r="M82" s="646"/>
      <c r="N82" s="647"/>
      <c r="O82" s="648"/>
      <c r="P82" s="649"/>
      <c r="AG82" s="175">
        <v>1024</v>
      </c>
      <c r="AH82" s="254" t="s">
        <v>423</v>
      </c>
      <c r="AI82" s="380">
        <v>0</v>
      </c>
      <c r="AJ82" s="380">
        <v>0</v>
      </c>
      <c r="AK82" s="255">
        <v>0</v>
      </c>
      <c r="JB82" s="175"/>
      <c r="JC82" s="175"/>
      <c r="JD82" s="175"/>
      <c r="JE82" s="175"/>
      <c r="JF82" s="175"/>
      <c r="JG82" s="175"/>
      <c r="JH82" s="175"/>
      <c r="JI82" s="175"/>
      <c r="JJ82" s="175"/>
      <c r="JK82" s="175"/>
      <c r="JL82" s="175"/>
      <c r="JM82" s="175"/>
      <c r="JN82" s="175"/>
      <c r="JO82" s="175"/>
      <c r="JP82" s="175"/>
      <c r="JQ82" s="175"/>
      <c r="JR82" s="175"/>
      <c r="JS82" s="175"/>
      <c r="JT82" s="175"/>
      <c r="JU82" s="175"/>
      <c r="JV82" s="175"/>
      <c r="JW82" s="175"/>
      <c r="JX82" s="175"/>
      <c r="JY82" s="175"/>
      <c r="ON82" s="223" t="s">
        <v>267</v>
      </c>
      <c r="OO82" s="224" t="s">
        <v>268</v>
      </c>
      <c r="OP82" s="224">
        <v>5009</v>
      </c>
      <c r="OQ82" s="224" t="s">
        <v>51</v>
      </c>
      <c r="OR82" s="224" t="e">
        <f ca="1">VLOOKUP($OP82,INDIRECT($ON82):INDIRECT($OO82),4,FALSE)</f>
        <v>#N/A</v>
      </c>
      <c r="OS82" s="224" t="e">
        <f ca="1">VLOOKUP($OP82,INDIRECT($ON82):INDIRECT($OO82),5,FALSE)</f>
        <v>#N/A</v>
      </c>
      <c r="OT82" s="224" t="e">
        <f ca="1">VLOOKUP($OP82,INDIRECT($ON82):INDIRECT($OO82),6,FALSE)</f>
        <v>#N/A</v>
      </c>
    </row>
    <row r="83" spans="1:410" x14ac:dyDescent="0.25">
      <c r="A83" s="175">
        <v>4002</v>
      </c>
      <c r="B83" s="635" t="s">
        <v>113</v>
      </c>
      <c r="C83" s="636" t="e">
        <f>VLOOKUP($A83,$AG$6:$AK$97,3,FALSE)</f>
        <v>#N/A</v>
      </c>
      <c r="D83" s="650" t="e">
        <f>VLOOKUP($A83,$AG$6:$AK$97,4,FALSE)</f>
        <v>#N/A</v>
      </c>
      <c r="F83" s="176"/>
      <c r="G83" s="396">
        <v>8064</v>
      </c>
      <c r="H83" s="392" t="str">
        <f>IF(I83&gt;0,"Mithila Solar PV Electric Project_10("&amp;ROUND(I83/24,3)&amp;")","Mithila Solar PV Electric Project_10")</f>
        <v>Mithila Solar PV Electric Project_10</v>
      </c>
      <c r="I83" s="478"/>
      <c r="J83" s="398">
        <f>VLOOKUP($G83,$AG$6:$AK$106,3,FALSE)</f>
        <v>0</v>
      </c>
      <c r="K83" s="644">
        <f>VLOOKUP($G83,$AG$6:$AK$106,5,FALSE)</f>
        <v>0</v>
      </c>
      <c r="L83" s="642"/>
      <c r="M83" s="651"/>
      <c r="N83" s="652"/>
      <c r="O83" s="653"/>
      <c r="P83" s="654"/>
      <c r="AG83" s="175">
        <v>6010</v>
      </c>
      <c r="AH83" s="254" t="s">
        <v>512</v>
      </c>
      <c r="AI83" s="380">
        <v>0</v>
      </c>
      <c r="AJ83" s="380">
        <v>0</v>
      </c>
      <c r="AK83" s="255">
        <v>0</v>
      </c>
      <c r="JB83" s="175"/>
      <c r="JC83" s="175"/>
      <c r="JD83" s="175"/>
      <c r="JE83" s="175"/>
      <c r="JF83" s="175"/>
      <c r="JG83" s="175"/>
      <c r="JH83" s="175"/>
      <c r="JI83" s="175"/>
      <c r="JJ83" s="175"/>
      <c r="JK83" s="175"/>
      <c r="JL83" s="175"/>
      <c r="JM83" s="175"/>
      <c r="JN83" s="175"/>
      <c r="JO83" s="175"/>
      <c r="JP83" s="175"/>
      <c r="JQ83" s="175"/>
      <c r="JR83" s="175"/>
      <c r="JS83" s="175"/>
      <c r="JT83" s="175"/>
      <c r="JU83" s="175"/>
      <c r="JV83" s="175"/>
      <c r="JW83" s="175"/>
      <c r="JX83" s="175"/>
      <c r="JY83" s="175"/>
      <c r="ON83" s="223" t="s">
        <v>267</v>
      </c>
      <c r="OO83" s="224" t="s">
        <v>268</v>
      </c>
      <c r="OP83" s="643"/>
      <c r="OQ83" s="643"/>
      <c r="OR83" s="224"/>
      <c r="OS83" s="224"/>
      <c r="OT83" s="224"/>
    </row>
    <row r="84" spans="1:410" x14ac:dyDescent="0.25">
      <c r="A84" s="175">
        <v>4003</v>
      </c>
      <c r="B84" s="637" t="s">
        <v>115</v>
      </c>
      <c r="C84" s="638" t="e">
        <f>VLOOKUP($A84,$AG$6:$AK$97,3,FALSE)</f>
        <v>#N/A</v>
      </c>
      <c r="D84" s="655" t="e">
        <f>VLOOKUP($A84,$AG$6:$AK$97,4,FALSE)</f>
        <v>#N/A</v>
      </c>
      <c r="F84" s="176"/>
      <c r="G84" s="396">
        <v>8065</v>
      </c>
      <c r="H84" s="392" t="str">
        <f>IF(I84&gt;0,"Miya Khola_0.996("&amp;ROUND(I84/24,3)&amp;")","Miya Khola_0.996")</f>
        <v>Miya Khola_0.996</v>
      </c>
      <c r="I84" s="478"/>
      <c r="J84" s="398">
        <f>$I84/24</f>
        <v>0</v>
      </c>
      <c r="K84" s="644">
        <f>$I84/24</f>
        <v>0</v>
      </c>
      <c r="L84" s="642"/>
      <c r="M84" s="646"/>
      <c r="N84" s="647"/>
      <c r="O84" s="648"/>
      <c r="P84" s="649"/>
      <c r="AG84" s="175">
        <v>6017</v>
      </c>
      <c r="AH84" s="254" t="s">
        <v>94</v>
      </c>
      <c r="AI84" s="380">
        <v>1510.54</v>
      </c>
      <c r="AJ84" s="380">
        <v>1068.8399999999999</v>
      </c>
      <c r="AK84" s="255">
        <v>1382.7400000000002</v>
      </c>
      <c r="JB84" s="175"/>
      <c r="JC84" s="175"/>
      <c r="JD84" s="175"/>
      <c r="JE84" s="175"/>
      <c r="JF84" s="175"/>
      <c r="JG84" s="175"/>
      <c r="JH84" s="175"/>
      <c r="JI84" s="175"/>
      <c r="JJ84" s="175"/>
      <c r="JK84" s="175"/>
      <c r="JL84" s="175"/>
      <c r="JM84" s="175"/>
      <c r="JN84" s="175"/>
      <c r="JO84" s="175"/>
      <c r="JP84" s="175"/>
      <c r="JQ84" s="175"/>
      <c r="JR84" s="175"/>
      <c r="JS84" s="175"/>
      <c r="JT84" s="175"/>
      <c r="JU84" s="175"/>
      <c r="JV84" s="175"/>
      <c r="JW84" s="175"/>
      <c r="JX84" s="175"/>
      <c r="JY84" s="175"/>
      <c r="ON84" s="223" t="s">
        <v>267</v>
      </c>
      <c r="OO84" s="224" t="s">
        <v>268</v>
      </c>
      <c r="OP84" s="643"/>
      <c r="OQ84" s="643"/>
      <c r="OR84" s="224"/>
      <c r="OS84" s="224"/>
      <c r="OT84" s="224"/>
    </row>
    <row r="85" spans="1:410" x14ac:dyDescent="0.25">
      <c r="A85" s="175">
        <v>4004</v>
      </c>
      <c r="B85" s="637" t="s">
        <v>116</v>
      </c>
      <c r="C85" s="638" t="e">
        <f>VLOOKUP($A85,$AG$6:$AK$97,3,FALSE)</f>
        <v>#N/A</v>
      </c>
      <c r="D85" s="655" t="e">
        <f>VLOOKUP($A85,$AG$6:$AK$97,4,FALSE)</f>
        <v>#N/A</v>
      </c>
      <c r="F85" s="176"/>
      <c r="G85" s="396">
        <v>8066</v>
      </c>
      <c r="H85" s="392" t="str">
        <f>IF(I85&gt;0,"Molung Khola_7("&amp;ROUND(I85/24,3)&amp;")","Molung Khola_7")</f>
        <v>Molung Khola_7</v>
      </c>
      <c r="I85" s="478"/>
      <c r="J85" s="398">
        <f>$I85/24</f>
        <v>0</v>
      </c>
      <c r="K85" s="644">
        <f>$I85/24</f>
        <v>0</v>
      </c>
      <c r="L85" s="642"/>
      <c r="M85" s="646"/>
      <c r="N85" s="647"/>
      <c r="O85" s="648"/>
      <c r="P85" s="649"/>
      <c r="AG85" s="175">
        <v>6011</v>
      </c>
      <c r="AH85" s="254" t="s">
        <v>95</v>
      </c>
      <c r="AI85" s="380">
        <v>250</v>
      </c>
      <c r="AJ85" s="380">
        <v>50</v>
      </c>
      <c r="AK85" s="255">
        <v>200</v>
      </c>
      <c r="JB85" s="175"/>
      <c r="JC85" s="175"/>
      <c r="JD85" s="175"/>
      <c r="JE85" s="175"/>
      <c r="JF85" s="175"/>
      <c r="JG85" s="175"/>
      <c r="JH85" s="175"/>
      <c r="JI85" s="175"/>
      <c r="JJ85" s="175"/>
      <c r="JK85" s="175"/>
      <c r="JL85" s="175"/>
      <c r="JM85" s="175"/>
      <c r="JN85" s="175"/>
      <c r="JO85" s="175"/>
      <c r="JP85" s="175"/>
      <c r="JQ85" s="175"/>
      <c r="JR85" s="175"/>
      <c r="JS85" s="175"/>
      <c r="JT85" s="175"/>
      <c r="JU85" s="175"/>
      <c r="JV85" s="175"/>
      <c r="JW85" s="175"/>
      <c r="JX85" s="175"/>
      <c r="JY85" s="175"/>
      <c r="ON85" s="223" t="s">
        <v>267</v>
      </c>
      <c r="OO85" s="224" t="s">
        <v>268</v>
      </c>
      <c r="OP85" s="643"/>
      <c r="OQ85" s="643"/>
      <c r="OR85" s="224"/>
      <c r="OS85" s="224"/>
      <c r="OT85" s="224"/>
    </row>
    <row r="86" spans="1:410" x14ac:dyDescent="0.25">
      <c r="A86" s="175">
        <v>4005</v>
      </c>
      <c r="B86" s="637" t="s">
        <v>513</v>
      </c>
      <c r="C86" s="638" t="e">
        <f>VLOOKUP($A86,$AG$6:$AK$100,3,FALSE)</f>
        <v>#N/A</v>
      </c>
      <c r="D86" s="655" t="e">
        <f>VLOOKUP($A86,$AG$6:$AK$100,4,FALSE)</f>
        <v>#N/A</v>
      </c>
      <c r="F86" s="176"/>
      <c r="G86" s="396"/>
      <c r="H86" s="392"/>
      <c r="I86" s="478"/>
      <c r="J86" s="398"/>
      <c r="K86" s="644"/>
      <c r="L86" s="642"/>
      <c r="M86" s="646"/>
      <c r="N86" s="647"/>
      <c r="O86" s="648"/>
      <c r="P86" s="649"/>
      <c r="AG86" s="175">
        <v>6017</v>
      </c>
      <c r="AH86" s="254" t="s">
        <v>96</v>
      </c>
      <c r="AI86" s="380">
        <v>1574.74</v>
      </c>
      <c r="AJ86" s="380">
        <v>1068.8399999999999</v>
      </c>
      <c r="AK86" s="255">
        <v>1582.7400000000002</v>
      </c>
      <c r="JB86" s="175"/>
      <c r="JC86" s="175"/>
      <c r="JD86" s="175"/>
      <c r="JE86" s="175"/>
      <c r="JF86" s="175"/>
      <c r="JG86" s="175"/>
      <c r="JH86" s="175"/>
      <c r="JI86" s="175"/>
      <c r="JJ86" s="175"/>
      <c r="JK86" s="175"/>
      <c r="JL86" s="175"/>
      <c r="JM86" s="175"/>
      <c r="JN86" s="175"/>
      <c r="JO86" s="175"/>
      <c r="JP86" s="175"/>
      <c r="JQ86" s="175"/>
      <c r="JR86" s="175"/>
      <c r="JS86" s="175"/>
      <c r="JT86" s="175"/>
      <c r="JU86" s="175"/>
      <c r="JV86" s="175"/>
      <c r="JW86" s="175"/>
      <c r="JX86" s="175"/>
      <c r="JY86" s="175"/>
      <c r="ON86" s="223" t="s">
        <v>267</v>
      </c>
      <c r="OO86" s="224" t="s">
        <v>268</v>
      </c>
      <c r="OP86" s="643"/>
      <c r="OQ86" s="643"/>
      <c r="OR86" s="224"/>
      <c r="OS86" s="224"/>
      <c r="OT86" s="224"/>
    </row>
    <row r="87" spans="1:410" ht="15.75" thickBot="1" x14ac:dyDescent="0.3">
      <c r="A87" s="175">
        <v>4006</v>
      </c>
      <c r="B87" s="640" t="s">
        <v>514</v>
      </c>
      <c r="C87" s="641" t="e">
        <f>VLOOKUP($A87,$AG$6:$AK$100,3,FALSE)</f>
        <v>#N/A</v>
      </c>
      <c r="D87" s="656" t="e">
        <f>VLOOKUP($A87,$AG$6:$AK$100,4,FALSE)</f>
        <v>#N/A</v>
      </c>
      <c r="F87" s="176"/>
      <c r="G87" s="396"/>
      <c r="H87" s="392"/>
      <c r="I87" s="478"/>
      <c r="J87" s="398"/>
      <c r="K87" s="644"/>
      <c r="L87" s="642"/>
      <c r="M87" s="646"/>
      <c r="N87" s="647"/>
      <c r="O87" s="648"/>
      <c r="P87" s="649"/>
      <c r="AG87" s="175">
        <v>6018</v>
      </c>
      <c r="AH87" s="254" t="s">
        <v>515</v>
      </c>
      <c r="AI87" s="380">
        <v>1574.74</v>
      </c>
      <c r="AJ87" s="380">
        <v>1068.8399999999999</v>
      </c>
      <c r="AK87" s="255">
        <v>1582.7400000000002</v>
      </c>
      <c r="JB87" s="175"/>
      <c r="JC87" s="175"/>
      <c r="JD87" s="175"/>
      <c r="JE87" s="175"/>
      <c r="JF87" s="175"/>
      <c r="JG87" s="175"/>
      <c r="JH87" s="175"/>
      <c r="JI87" s="175"/>
      <c r="JJ87" s="175"/>
      <c r="JK87" s="175"/>
      <c r="JL87" s="175"/>
      <c r="JM87" s="175"/>
      <c r="JN87" s="175"/>
      <c r="JO87" s="175"/>
      <c r="JP87" s="175"/>
      <c r="JQ87" s="175"/>
      <c r="JR87" s="175"/>
      <c r="JS87" s="175"/>
      <c r="JT87" s="175"/>
      <c r="JU87" s="175"/>
      <c r="JV87" s="175"/>
      <c r="JW87" s="175"/>
      <c r="JX87" s="175"/>
      <c r="JY87" s="175"/>
      <c r="ON87" s="223" t="s">
        <v>267</v>
      </c>
      <c r="OO87" s="224" t="s">
        <v>268</v>
      </c>
      <c r="OP87" s="643">
        <v>6000</v>
      </c>
      <c r="OQ87" s="643" t="s">
        <v>516</v>
      </c>
      <c r="OR87" s="224" t="s">
        <v>517</v>
      </c>
      <c r="OS87" s="224" t="s">
        <v>518</v>
      </c>
      <c r="OT87" s="224" t="s">
        <v>519</v>
      </c>
    </row>
    <row r="88" spans="1:410" x14ac:dyDescent="0.25">
      <c r="B88" s="175"/>
      <c r="C88" s="434"/>
      <c r="D88" s="657"/>
      <c r="F88" s="176"/>
      <c r="G88" s="396"/>
      <c r="H88" s="392"/>
      <c r="I88" s="478"/>
      <c r="J88" s="398"/>
      <c r="K88" s="644"/>
      <c r="L88" s="642"/>
      <c r="M88" s="646"/>
      <c r="N88" s="647"/>
      <c r="O88" s="648"/>
      <c r="P88" s="649"/>
      <c r="AG88" s="175">
        <v>3001</v>
      </c>
      <c r="AH88" s="254" t="s">
        <v>78</v>
      </c>
      <c r="AI88" s="380">
        <v>0</v>
      </c>
      <c r="AJ88" s="380">
        <v>0</v>
      </c>
      <c r="AK88" s="255">
        <v>0</v>
      </c>
      <c r="JB88" s="175"/>
      <c r="JC88" s="175"/>
      <c r="JD88" s="175"/>
      <c r="JE88" s="175"/>
      <c r="JF88" s="175"/>
      <c r="JG88" s="175"/>
      <c r="JH88" s="175"/>
      <c r="JI88" s="175"/>
      <c r="JJ88" s="175"/>
      <c r="JK88" s="175"/>
      <c r="JL88" s="175"/>
      <c r="JM88" s="175"/>
      <c r="JN88" s="175"/>
      <c r="JO88" s="175"/>
      <c r="JP88" s="175"/>
      <c r="JQ88" s="175"/>
      <c r="JR88" s="175"/>
      <c r="JS88" s="175"/>
      <c r="JT88" s="175"/>
      <c r="JU88" s="175"/>
      <c r="JV88" s="175"/>
      <c r="JW88" s="175"/>
      <c r="JX88" s="175"/>
      <c r="JY88" s="175"/>
      <c r="ON88" s="223" t="s">
        <v>267</v>
      </c>
      <c r="OO88" s="224" t="s">
        <v>268</v>
      </c>
      <c r="OP88" s="224">
        <v>6001</v>
      </c>
      <c r="OQ88" s="224" t="s">
        <v>50</v>
      </c>
      <c r="OR88" s="224" t="e">
        <f ca="1">VLOOKUP($OP88,INDIRECT($ON88):INDIRECT($OO88),4,FALSE)</f>
        <v>#N/A</v>
      </c>
      <c r="OS88" s="224" t="e">
        <f ca="1">VLOOKUP($OP88,INDIRECT($ON88):INDIRECT($OO88),5,FALSE)</f>
        <v>#N/A</v>
      </c>
      <c r="OT88" s="224" t="e">
        <f ca="1">VLOOKUP($OP88,INDIRECT($ON88):INDIRECT($OO88),6,FALSE)</f>
        <v>#N/A</v>
      </c>
    </row>
    <row r="89" spans="1:410" x14ac:dyDescent="0.25">
      <c r="F89" s="176"/>
      <c r="G89" s="396"/>
      <c r="H89" s="392"/>
      <c r="I89" s="478"/>
      <c r="J89" s="398"/>
      <c r="K89" s="644"/>
      <c r="L89" s="642"/>
      <c r="M89" s="646"/>
      <c r="N89" s="647"/>
      <c r="O89" s="648"/>
      <c r="P89" s="649"/>
      <c r="AG89" s="175">
        <v>3002</v>
      </c>
      <c r="AH89" s="254" t="s">
        <v>76</v>
      </c>
      <c r="AI89" s="380">
        <v>0</v>
      </c>
      <c r="AJ89" s="380">
        <v>0</v>
      </c>
      <c r="AK89" s="255">
        <v>0</v>
      </c>
      <c r="JB89" s="175"/>
      <c r="JC89" s="175"/>
      <c r="JD89" s="175"/>
      <c r="JE89" s="175"/>
      <c r="JF89" s="175"/>
      <c r="JG89" s="175"/>
      <c r="JH89" s="175"/>
      <c r="JI89" s="175"/>
      <c r="JJ89" s="175"/>
      <c r="JK89" s="175"/>
      <c r="JL89" s="175"/>
      <c r="JM89" s="175"/>
      <c r="JN89" s="175"/>
      <c r="JO89" s="175"/>
      <c r="JP89" s="175"/>
      <c r="JQ89" s="175"/>
      <c r="JR89" s="175"/>
      <c r="JS89" s="175"/>
      <c r="JT89" s="175"/>
      <c r="JU89" s="175"/>
      <c r="JV89" s="175"/>
      <c r="JW89" s="175"/>
      <c r="JX89" s="175"/>
      <c r="JY89" s="175"/>
      <c r="ON89" s="223" t="s">
        <v>267</v>
      </c>
      <c r="OO89" s="224" t="s">
        <v>268</v>
      </c>
      <c r="OP89" s="643">
        <v>6002</v>
      </c>
      <c r="OQ89" s="224" t="s">
        <v>69</v>
      </c>
      <c r="OR89" s="224" t="e">
        <f ca="1">VLOOKUP($OP89,INDIRECT($ON89):INDIRECT($OO89),4,FALSE)</f>
        <v>#N/A</v>
      </c>
      <c r="OS89" s="224" t="e">
        <f ca="1">VLOOKUP($OP89,INDIRECT($ON89):INDIRECT($OO89),5,FALSE)</f>
        <v>#N/A</v>
      </c>
      <c r="OT89" s="224" t="e">
        <f ca="1">VLOOKUP($OP89,INDIRECT($ON89):INDIRECT($OO89),6,FALSE)</f>
        <v>#N/A</v>
      </c>
    </row>
    <row r="90" spans="1:410" x14ac:dyDescent="0.25">
      <c r="F90" s="176"/>
      <c r="G90" s="396"/>
      <c r="H90" s="392"/>
      <c r="I90" s="478"/>
      <c r="J90" s="398"/>
      <c r="K90" s="644"/>
      <c r="L90" s="642"/>
      <c r="M90" s="646"/>
      <c r="N90" s="647"/>
      <c r="O90" s="648"/>
      <c r="P90" s="649"/>
      <c r="AG90" s="175">
        <v>3003</v>
      </c>
      <c r="AH90" s="254" t="s">
        <v>520</v>
      </c>
      <c r="AI90" s="380">
        <v>0</v>
      </c>
      <c r="AJ90" s="380">
        <v>0</v>
      </c>
      <c r="AK90" s="255">
        <v>0</v>
      </c>
      <c r="JB90" s="175"/>
      <c r="JC90" s="175"/>
      <c r="JD90" s="175"/>
      <c r="JE90" s="175"/>
      <c r="JF90" s="175"/>
      <c r="JG90" s="175"/>
      <c r="JH90" s="175"/>
      <c r="JI90" s="175"/>
      <c r="JJ90" s="175"/>
      <c r="JK90" s="175"/>
      <c r="JL90" s="175"/>
      <c r="JM90" s="175"/>
      <c r="JN90" s="175"/>
      <c r="JO90" s="175"/>
      <c r="JP90" s="175"/>
      <c r="JQ90" s="175"/>
      <c r="JR90" s="175"/>
      <c r="JS90" s="175"/>
      <c r="JT90" s="175"/>
      <c r="JU90" s="175"/>
      <c r="JV90" s="175"/>
      <c r="JW90" s="175"/>
      <c r="JX90" s="175"/>
      <c r="JY90" s="175"/>
      <c r="ON90" s="223" t="s">
        <v>267</v>
      </c>
      <c r="OO90" s="224" t="s">
        <v>268</v>
      </c>
      <c r="OP90" s="224">
        <v>6003</v>
      </c>
      <c r="OQ90" s="224" t="s">
        <v>52</v>
      </c>
      <c r="OR90" s="224" t="e">
        <f ca="1">VLOOKUP($OP90,INDIRECT($ON90):INDIRECT($OO90),4,FALSE)</f>
        <v>#N/A</v>
      </c>
      <c r="OS90" s="224" t="e">
        <f ca="1">VLOOKUP($OP90,INDIRECT($ON90):INDIRECT($OO90),5,FALSE)</f>
        <v>#N/A</v>
      </c>
      <c r="OT90" s="224" t="e">
        <f ca="1">VLOOKUP($OP90,INDIRECT($ON90):INDIRECT($OO90),6,FALSE)</f>
        <v>#N/A</v>
      </c>
    </row>
    <row r="91" spans="1:410" x14ac:dyDescent="0.25">
      <c r="B91" s="175"/>
      <c r="F91" s="176"/>
      <c r="G91" s="396"/>
      <c r="H91" s="392"/>
      <c r="I91" s="478"/>
      <c r="J91" s="398"/>
      <c r="K91" s="644"/>
      <c r="L91" s="642"/>
      <c r="M91" s="646"/>
      <c r="N91" s="647"/>
      <c r="O91" s="648"/>
      <c r="P91" s="649"/>
      <c r="AG91" s="175">
        <v>3004</v>
      </c>
      <c r="AH91" s="254" t="s">
        <v>521</v>
      </c>
      <c r="AI91" s="380">
        <v>0</v>
      </c>
      <c r="AJ91" s="658">
        <v>0</v>
      </c>
      <c r="AK91" s="255">
        <v>0</v>
      </c>
      <c r="JB91" s="175"/>
      <c r="JC91" s="175"/>
      <c r="JD91" s="175"/>
      <c r="JE91" s="175"/>
      <c r="JF91" s="175"/>
      <c r="JG91" s="175"/>
      <c r="JH91" s="175"/>
      <c r="JI91" s="175"/>
      <c r="JJ91" s="175"/>
      <c r="JK91" s="175"/>
      <c r="JL91" s="175"/>
      <c r="JM91" s="175"/>
      <c r="JN91" s="175"/>
      <c r="JO91" s="175"/>
      <c r="JP91" s="175"/>
      <c r="JQ91" s="175"/>
      <c r="JR91" s="175"/>
      <c r="JS91" s="175"/>
      <c r="JT91" s="175"/>
      <c r="JU91" s="175"/>
      <c r="JV91" s="175"/>
      <c r="JW91" s="175"/>
      <c r="JX91" s="175"/>
      <c r="JY91" s="175"/>
      <c r="ON91" s="223" t="s">
        <v>267</v>
      </c>
      <c r="OO91" s="224" t="s">
        <v>268</v>
      </c>
      <c r="OP91" s="643">
        <v>6004</v>
      </c>
      <c r="OQ91" s="224" t="s">
        <v>56</v>
      </c>
      <c r="OR91" s="224" t="e">
        <f ca="1">VLOOKUP($OP91,INDIRECT($ON91):INDIRECT($OO91),4,FALSE)</f>
        <v>#N/A</v>
      </c>
      <c r="OS91" s="224" t="e">
        <f ca="1">VLOOKUP($OP91,INDIRECT($ON91):INDIRECT($OO91),5,FALSE)</f>
        <v>#N/A</v>
      </c>
      <c r="OT91" s="224" t="e">
        <f ca="1">VLOOKUP($OP91,INDIRECT($ON91):INDIRECT($OO91),6,FALSE)</f>
        <v>#N/A</v>
      </c>
    </row>
    <row r="92" spans="1:410" x14ac:dyDescent="0.25">
      <c r="B92" s="175"/>
      <c r="D92" s="290"/>
      <c r="E92" s="290"/>
      <c r="F92" s="176"/>
      <c r="G92" s="396"/>
      <c r="H92" s="392"/>
      <c r="I92" s="478"/>
      <c r="J92" s="398"/>
      <c r="K92" s="644"/>
      <c r="L92" s="642"/>
      <c r="M92" s="646"/>
      <c r="N92" s="647"/>
      <c r="O92" s="648"/>
      <c r="P92" s="649"/>
      <c r="AG92" s="175">
        <v>3005</v>
      </c>
      <c r="AH92" s="254" t="s">
        <v>435</v>
      </c>
      <c r="AI92" s="380">
        <v>0</v>
      </c>
      <c r="AJ92" s="658">
        <v>0</v>
      </c>
      <c r="AK92" s="255">
        <v>0</v>
      </c>
      <c r="JB92" s="175"/>
      <c r="JC92" s="175"/>
      <c r="JD92" s="175"/>
      <c r="JE92" s="175"/>
      <c r="JF92" s="175"/>
      <c r="JG92" s="175"/>
      <c r="JH92" s="175"/>
      <c r="JI92" s="175"/>
      <c r="JJ92" s="175"/>
      <c r="JK92" s="175"/>
      <c r="JL92" s="175"/>
      <c r="JM92" s="175"/>
      <c r="JN92" s="175"/>
      <c r="JO92" s="175"/>
      <c r="JP92" s="175"/>
      <c r="JQ92" s="175"/>
      <c r="JR92" s="175"/>
      <c r="JS92" s="175"/>
      <c r="JT92" s="175"/>
      <c r="JU92" s="175"/>
      <c r="JV92" s="175"/>
      <c r="JW92" s="175"/>
      <c r="JX92" s="175"/>
      <c r="JY92" s="175"/>
      <c r="ON92" s="223" t="s">
        <v>267</v>
      </c>
      <c r="OO92" s="224" t="s">
        <v>268</v>
      </c>
      <c r="OP92" s="224">
        <v>6005</v>
      </c>
      <c r="OQ92" s="224" t="s">
        <v>522</v>
      </c>
      <c r="OR92" s="224" t="e">
        <f ca="1">VLOOKUP($OP92,INDIRECT($ON92):INDIRECT($OO92),4,FALSE)</f>
        <v>#N/A</v>
      </c>
      <c r="OS92" s="224" t="e">
        <f ca="1">VLOOKUP($OP92,INDIRECT($ON92):INDIRECT($OO92),5,FALSE)</f>
        <v>#N/A</v>
      </c>
      <c r="OT92" s="224" t="e">
        <f ca="1">VLOOKUP($OP92,INDIRECT($ON92):INDIRECT($OO92),6,FALSE)</f>
        <v>#N/A</v>
      </c>
    </row>
    <row r="93" spans="1:410" x14ac:dyDescent="0.25">
      <c r="B93" s="175"/>
      <c r="D93" s="349"/>
      <c r="E93" s="349"/>
      <c r="F93" s="176"/>
      <c r="G93" s="396"/>
      <c r="H93" s="392"/>
      <c r="I93" s="478"/>
      <c r="J93" s="398"/>
      <c r="K93" s="644"/>
      <c r="L93" s="642"/>
      <c r="M93" s="646"/>
      <c r="N93" s="647"/>
      <c r="O93" s="648"/>
      <c r="P93" s="649"/>
      <c r="AG93" s="175">
        <v>6014</v>
      </c>
      <c r="AH93" s="254" t="s">
        <v>100</v>
      </c>
      <c r="AI93" s="380">
        <v>0</v>
      </c>
      <c r="AJ93" s="658">
        <v>0</v>
      </c>
      <c r="AK93" s="255">
        <v>0</v>
      </c>
      <c r="JB93" s="175"/>
      <c r="JC93" s="175"/>
      <c r="JD93" s="175"/>
      <c r="JE93" s="175"/>
      <c r="JF93" s="175"/>
      <c r="JG93" s="175"/>
      <c r="JH93" s="175"/>
      <c r="JI93" s="175"/>
      <c r="JJ93" s="175"/>
      <c r="JK93" s="175"/>
      <c r="JL93" s="175"/>
      <c r="JM93" s="175"/>
      <c r="JN93" s="175"/>
      <c r="JO93" s="175"/>
      <c r="JP93" s="175"/>
      <c r="JQ93" s="175"/>
      <c r="JR93" s="175"/>
      <c r="JS93" s="175"/>
      <c r="JT93" s="175"/>
      <c r="JU93" s="175"/>
      <c r="JV93" s="175"/>
      <c r="JW93" s="175"/>
      <c r="JX93" s="175"/>
      <c r="JY93" s="175"/>
      <c r="ON93" s="223" t="s">
        <v>267</v>
      </c>
      <c r="OO93" s="224" t="s">
        <v>268</v>
      </c>
      <c r="OP93" s="643">
        <v>6006</v>
      </c>
      <c r="OQ93" s="224" t="s">
        <v>74</v>
      </c>
      <c r="OR93" s="224" t="e">
        <f ca="1">VLOOKUP($OP93,INDIRECT($ON93):INDIRECT($OO93),4,FALSE)</f>
        <v>#N/A</v>
      </c>
      <c r="OS93" s="224" t="e">
        <f ca="1">VLOOKUP($OP93,INDIRECT($ON93):INDIRECT($OO93),5,FALSE)</f>
        <v>#N/A</v>
      </c>
      <c r="OT93" s="224" t="e">
        <f ca="1">VLOOKUP($OP93,INDIRECT($ON93):INDIRECT($OO93),6,FALSE)</f>
        <v>#N/A</v>
      </c>
    </row>
    <row r="94" spans="1:410" x14ac:dyDescent="0.25">
      <c r="B94" s="175"/>
      <c r="D94" s="349"/>
      <c r="E94" s="349"/>
      <c r="F94" s="176"/>
      <c r="G94" s="396"/>
      <c r="H94" s="392"/>
      <c r="I94" s="478"/>
      <c r="J94" s="398"/>
      <c r="K94" s="644"/>
      <c r="L94" s="642"/>
      <c r="M94" s="646"/>
      <c r="N94" s="647"/>
      <c r="O94" s="648"/>
      <c r="P94" s="649"/>
      <c r="AG94" s="175">
        <v>6009</v>
      </c>
      <c r="AH94" s="254" t="s">
        <v>523</v>
      </c>
      <c r="AI94" s="380">
        <v>0</v>
      </c>
      <c r="AJ94" s="658">
        <v>0</v>
      </c>
      <c r="AK94" s="255">
        <v>0</v>
      </c>
      <c r="JB94" s="175"/>
      <c r="JC94" s="175"/>
      <c r="JD94" s="175"/>
      <c r="JE94" s="175"/>
      <c r="JF94" s="175"/>
      <c r="JG94" s="175"/>
      <c r="JH94" s="175"/>
      <c r="JI94" s="175"/>
      <c r="JJ94" s="175"/>
      <c r="JK94" s="175"/>
      <c r="JL94" s="175"/>
      <c r="JM94" s="175"/>
      <c r="JN94" s="175"/>
      <c r="JO94" s="175"/>
      <c r="JP94" s="175"/>
      <c r="JQ94" s="175"/>
      <c r="JR94" s="175"/>
      <c r="JS94" s="175"/>
      <c r="JT94" s="175"/>
      <c r="JU94" s="175"/>
      <c r="JV94" s="175"/>
      <c r="JW94" s="175"/>
      <c r="JX94" s="175"/>
      <c r="JY94" s="175"/>
      <c r="ON94" s="223" t="s">
        <v>267</v>
      </c>
      <c r="OO94" s="224" t="s">
        <v>268</v>
      </c>
      <c r="OP94" s="224">
        <v>6007</v>
      </c>
      <c r="OQ94" s="224" t="s">
        <v>102</v>
      </c>
      <c r="OR94" s="224" t="e">
        <f ca="1">VLOOKUP($OP94,INDIRECT($ON94):INDIRECT($OO94),4,FALSE)</f>
        <v>#N/A</v>
      </c>
      <c r="OS94" s="224" t="e">
        <f ca="1">VLOOKUP($OP94,INDIRECT($ON94):INDIRECT($OO94),5,FALSE)</f>
        <v>#N/A</v>
      </c>
      <c r="OT94" s="224" t="e">
        <f ca="1">VLOOKUP($OP94,INDIRECT($ON94):INDIRECT($OO94),6,FALSE)</f>
        <v>#N/A</v>
      </c>
    </row>
    <row r="95" spans="1:410" x14ac:dyDescent="0.25">
      <c r="B95" s="175"/>
      <c r="D95" s="349"/>
      <c r="E95" s="349"/>
      <c r="F95" s="176"/>
      <c r="G95" s="396"/>
      <c r="H95" s="392"/>
      <c r="I95" s="478"/>
      <c r="J95" s="398"/>
      <c r="K95" s="644"/>
      <c r="L95" s="642"/>
      <c r="M95" s="646"/>
      <c r="N95" s="647"/>
      <c r="O95" s="648"/>
      <c r="P95" s="649"/>
      <c r="AG95" s="175">
        <v>6007</v>
      </c>
      <c r="AH95" s="254" t="s">
        <v>102</v>
      </c>
      <c r="AI95" s="380">
        <v>489.4</v>
      </c>
      <c r="AJ95" s="658">
        <v>146.5</v>
      </c>
      <c r="AK95" s="255">
        <v>263.2</v>
      </c>
      <c r="JB95" s="175"/>
      <c r="JC95" s="175"/>
      <c r="JD95" s="175"/>
      <c r="JE95" s="175"/>
      <c r="JF95" s="175"/>
      <c r="JG95" s="175"/>
      <c r="JH95" s="175"/>
      <c r="JI95" s="175"/>
      <c r="JJ95" s="175"/>
      <c r="JK95" s="175"/>
      <c r="JL95" s="175"/>
      <c r="JM95" s="175"/>
      <c r="JN95" s="175"/>
      <c r="JO95" s="175"/>
      <c r="JP95" s="175"/>
      <c r="JQ95" s="175"/>
      <c r="JR95" s="175"/>
      <c r="JS95" s="175"/>
      <c r="JT95" s="175"/>
      <c r="JU95" s="175"/>
      <c r="JV95" s="175"/>
      <c r="JW95" s="175"/>
      <c r="JX95" s="175"/>
      <c r="JY95" s="175"/>
      <c r="ON95" s="223" t="s">
        <v>267</v>
      </c>
      <c r="OO95" s="224" t="s">
        <v>268</v>
      </c>
      <c r="OP95" s="643">
        <v>6008</v>
      </c>
      <c r="OQ95" s="224" t="s">
        <v>89</v>
      </c>
      <c r="OR95" s="224">
        <f ca="1">VLOOKUP($OP95,INDIRECT($ON95):INDIRECT($OO95),4,FALSE)</f>
        <v>856521.58523959992</v>
      </c>
      <c r="OS95" s="224">
        <f ca="1">VLOOKUP($OP95,INDIRECT($ON95):INDIRECT($OO95),5,FALSE)</f>
        <v>489.4</v>
      </c>
      <c r="OT95" s="224">
        <f ca="1">VLOOKUP($OP95,INDIRECT($ON95):INDIRECT($OO95),6,FALSE)</f>
        <v>263.2</v>
      </c>
    </row>
    <row r="96" spans="1:410" x14ac:dyDescent="0.25">
      <c r="B96" s="175"/>
      <c r="D96" s="349"/>
      <c r="E96" s="349"/>
      <c r="F96" s="176"/>
      <c r="G96" s="396"/>
      <c r="H96" s="392"/>
      <c r="I96" s="478"/>
      <c r="J96" s="398"/>
      <c r="K96" s="644"/>
      <c r="L96" s="642"/>
      <c r="M96" s="646"/>
      <c r="N96" s="647"/>
      <c r="O96" s="648"/>
      <c r="P96" s="649"/>
      <c r="AG96" s="175">
        <v>6015</v>
      </c>
      <c r="AH96" s="254" t="s">
        <v>524</v>
      </c>
      <c r="AI96" s="380">
        <v>50.161999999999999</v>
      </c>
      <c r="AJ96" s="658">
        <v>49.613999999999997</v>
      </c>
      <c r="AK96" s="255">
        <v>50.070999999999998</v>
      </c>
      <c r="JB96" s="175"/>
      <c r="JC96" s="175"/>
      <c r="JD96" s="175"/>
      <c r="JE96" s="175"/>
      <c r="JF96" s="175"/>
      <c r="JG96" s="175"/>
      <c r="JH96" s="175"/>
      <c r="JI96" s="175"/>
      <c r="JJ96" s="175"/>
      <c r="JK96" s="175"/>
      <c r="JL96" s="175"/>
      <c r="JM96" s="175"/>
      <c r="JN96" s="175"/>
      <c r="JO96" s="175"/>
      <c r="JP96" s="175"/>
      <c r="JQ96" s="175"/>
      <c r="JR96" s="175"/>
      <c r="JS96" s="175"/>
      <c r="JT96" s="175"/>
      <c r="JU96" s="175"/>
      <c r="JV96" s="175"/>
      <c r="JW96" s="175"/>
      <c r="JX96" s="175"/>
      <c r="JY96" s="175"/>
      <c r="ON96" s="223" t="s">
        <v>267</v>
      </c>
      <c r="OO96" s="224" t="s">
        <v>268</v>
      </c>
      <c r="OP96" s="224">
        <v>6009</v>
      </c>
      <c r="OQ96" s="224" t="s">
        <v>494</v>
      </c>
      <c r="OR96" s="224">
        <f ca="1">VLOOKUP($OP96,INDIRECT($ON96):INDIRECT($OO96),4,FALSE)</f>
        <v>-695.2</v>
      </c>
      <c r="OS96" s="224">
        <f ca="1">VLOOKUP($OP96,INDIRECT($ON96):INDIRECT($OO96),5,FALSE)</f>
        <v>0</v>
      </c>
      <c r="OT96" s="224">
        <f ca="1">VLOOKUP($OP96,INDIRECT($ON96):INDIRECT($OO96),6,FALSE)</f>
        <v>0</v>
      </c>
    </row>
    <row r="97" spans="2:410" x14ac:dyDescent="0.25">
      <c r="B97" s="175"/>
      <c r="D97" s="349"/>
      <c r="E97" s="349"/>
      <c r="F97" s="176"/>
      <c r="G97" s="396"/>
      <c r="H97" s="392"/>
      <c r="I97" s="478"/>
      <c r="J97" s="398"/>
      <c r="K97" s="644"/>
      <c r="L97" s="642"/>
      <c r="M97" s="646"/>
      <c r="N97" s="647"/>
      <c r="O97" s="648"/>
      <c r="P97" s="649"/>
      <c r="AG97" s="175">
        <v>4001</v>
      </c>
      <c r="AH97" s="254" t="s">
        <v>104</v>
      </c>
      <c r="AI97" s="380">
        <v>130</v>
      </c>
      <c r="AJ97" s="658">
        <v>126</v>
      </c>
      <c r="AK97" s="255">
        <v>128</v>
      </c>
      <c r="JB97" s="175"/>
      <c r="JC97" s="175"/>
      <c r="JD97" s="175"/>
      <c r="JE97" s="175"/>
      <c r="JF97" s="175"/>
      <c r="JG97" s="175"/>
      <c r="JH97" s="175"/>
      <c r="JI97" s="175"/>
      <c r="JJ97" s="175"/>
      <c r="JK97" s="175"/>
      <c r="JL97" s="175"/>
      <c r="JM97" s="175"/>
      <c r="JN97" s="175"/>
      <c r="JO97" s="175"/>
      <c r="JP97" s="175"/>
      <c r="JQ97" s="175"/>
      <c r="JR97" s="175"/>
      <c r="JS97" s="175"/>
      <c r="JT97" s="175"/>
      <c r="JU97" s="175"/>
      <c r="JV97" s="175"/>
      <c r="JW97" s="175"/>
      <c r="JX97" s="175"/>
      <c r="JY97" s="175"/>
      <c r="ON97" s="223" t="s">
        <v>267</v>
      </c>
      <c r="OO97" s="224" t="s">
        <v>268</v>
      </c>
      <c r="OP97" s="643">
        <v>6010</v>
      </c>
      <c r="OQ97" s="224" t="s">
        <v>93</v>
      </c>
      <c r="OR97" s="224" t="e">
        <f ca="1">VLOOKUP($OP97,INDIRECT($ON97):INDIRECT($OO97),4,FALSE)</f>
        <v>#N/A</v>
      </c>
      <c r="OS97" s="224" t="e">
        <f ca="1">VLOOKUP($OP97,INDIRECT($ON97):INDIRECT($OO97),5,FALSE)</f>
        <v>#N/A</v>
      </c>
      <c r="OT97" s="224" t="e">
        <f ca="1">VLOOKUP($OP97,INDIRECT($ON97):INDIRECT($OO97),6,FALSE)</f>
        <v>#N/A</v>
      </c>
    </row>
    <row r="98" spans="2:410" x14ac:dyDescent="0.25">
      <c r="B98" s="175"/>
      <c r="D98" s="349"/>
      <c r="E98" s="349"/>
      <c r="F98" s="176"/>
      <c r="G98" s="396"/>
      <c r="H98" s="392"/>
      <c r="I98" s="478"/>
      <c r="J98" s="398"/>
      <c r="K98" s="644"/>
      <c r="L98" s="642"/>
      <c r="M98" s="646"/>
      <c r="N98" s="647"/>
      <c r="O98" s="648"/>
      <c r="P98" s="649"/>
      <c r="AG98" s="175">
        <v>4002</v>
      </c>
      <c r="AH98" s="254" t="s">
        <v>105</v>
      </c>
      <c r="AI98" s="380">
        <v>133</v>
      </c>
      <c r="AJ98" s="658">
        <v>128.1</v>
      </c>
      <c r="AK98" s="255">
        <v>129.6</v>
      </c>
      <c r="JB98" s="175"/>
      <c r="JC98" s="175"/>
      <c r="JD98" s="175"/>
      <c r="JE98" s="175"/>
      <c r="JF98" s="175"/>
      <c r="JG98" s="175"/>
      <c r="JH98" s="175"/>
      <c r="JI98" s="175"/>
      <c r="JJ98" s="175"/>
      <c r="JK98" s="175"/>
      <c r="JL98" s="175"/>
      <c r="JM98" s="175"/>
      <c r="JN98" s="175"/>
      <c r="JO98" s="175"/>
      <c r="JP98" s="175"/>
      <c r="JQ98" s="175"/>
      <c r="JR98" s="175"/>
      <c r="JS98" s="175"/>
      <c r="JT98" s="175"/>
      <c r="JU98" s="175"/>
      <c r="JV98" s="175"/>
      <c r="JW98" s="175"/>
      <c r="JX98" s="175"/>
      <c r="JY98" s="175"/>
      <c r="ON98" s="223" t="s">
        <v>267</v>
      </c>
      <c r="OO98" s="224" t="s">
        <v>268</v>
      </c>
      <c r="OP98" s="224">
        <v>6011</v>
      </c>
      <c r="OQ98" s="224" t="s">
        <v>525</v>
      </c>
      <c r="OR98" s="224" t="e">
        <f ca="1">VLOOKUP($OP98,INDIRECT($ON98):INDIRECT($OO98),4,FALSE)</f>
        <v>#N/A</v>
      </c>
      <c r="OS98" s="224" t="e">
        <f ca="1">VLOOKUP($OP98,INDIRECT($ON98):INDIRECT($OO98),5,FALSE)</f>
        <v>#N/A</v>
      </c>
      <c r="OT98" s="224" t="e">
        <f ca="1">VLOOKUP($OP98,INDIRECT($ON98):INDIRECT($OO98),6,FALSE)</f>
        <v>#N/A</v>
      </c>
    </row>
    <row r="99" spans="2:410" x14ac:dyDescent="0.25">
      <c r="B99" s="175"/>
      <c r="D99" s="349"/>
      <c r="E99" s="349"/>
      <c r="F99" s="176"/>
      <c r="G99" s="396"/>
      <c r="H99" s="392"/>
      <c r="I99" s="478"/>
      <c r="J99" s="398"/>
      <c r="K99" s="644"/>
      <c r="L99" s="642"/>
      <c r="M99" s="646"/>
      <c r="N99" s="647"/>
      <c r="O99" s="648"/>
      <c r="P99" s="649"/>
      <c r="AG99" s="175">
        <v>4003</v>
      </c>
      <c r="AH99" s="254" t="s">
        <v>106</v>
      </c>
      <c r="AI99" s="380">
        <v>134.6</v>
      </c>
      <c r="AJ99" s="658">
        <v>127.9</v>
      </c>
      <c r="AK99" s="255">
        <v>130</v>
      </c>
      <c r="JB99" s="175"/>
      <c r="JC99" s="175"/>
      <c r="JD99" s="175"/>
      <c r="JE99" s="175"/>
      <c r="JF99" s="175"/>
      <c r="JG99" s="175"/>
      <c r="JH99" s="175"/>
      <c r="JI99" s="175"/>
      <c r="JJ99" s="175"/>
      <c r="JK99" s="175"/>
      <c r="JL99" s="175"/>
      <c r="JM99" s="175"/>
      <c r="JN99" s="175"/>
      <c r="JO99" s="175"/>
      <c r="JP99" s="175"/>
      <c r="JQ99" s="175"/>
      <c r="JR99" s="175"/>
      <c r="JS99" s="175"/>
      <c r="JT99" s="175"/>
      <c r="JU99" s="175"/>
      <c r="JV99" s="175"/>
      <c r="JW99" s="175"/>
      <c r="JX99" s="175"/>
      <c r="JY99" s="175"/>
      <c r="ON99" s="223" t="s">
        <v>267</v>
      </c>
      <c r="OO99" s="224" t="s">
        <v>268</v>
      </c>
      <c r="OP99" s="643">
        <v>6012</v>
      </c>
      <c r="OQ99" s="224" t="s">
        <v>526</v>
      </c>
      <c r="OR99" s="224" t="e">
        <f ca="1">VLOOKUP($OP99,INDIRECT($ON99):INDIRECT($OO99),4,FALSE)</f>
        <v>#N/A</v>
      </c>
      <c r="OS99" s="224" t="e">
        <f ca="1">VLOOKUP($OP99,INDIRECT($ON99):INDIRECT($OO99),5,FALSE)</f>
        <v>#N/A</v>
      </c>
      <c r="OT99" s="224" t="e">
        <f ca="1">VLOOKUP($OP99,INDIRECT($ON99):INDIRECT($OO99),6,FALSE)</f>
        <v>#N/A</v>
      </c>
    </row>
    <row r="100" spans="2:410" ht="15.75" thickBot="1" x14ac:dyDescent="0.3">
      <c r="B100" s="175"/>
      <c r="F100" s="176"/>
      <c r="G100" s="396"/>
      <c r="H100" s="392"/>
      <c r="I100" s="478"/>
      <c r="J100" s="398"/>
      <c r="K100" s="644"/>
      <c r="L100" s="659"/>
      <c r="M100" s="646"/>
      <c r="N100" s="647"/>
      <c r="O100" s="648"/>
      <c r="P100" s="649"/>
      <c r="AG100" s="175">
        <v>4004</v>
      </c>
      <c r="AH100" s="254" t="s">
        <v>107</v>
      </c>
      <c r="AI100" s="380">
        <v>0</v>
      </c>
      <c r="AJ100" s="658">
        <v>0</v>
      </c>
      <c r="AK100" s="255">
        <v>0</v>
      </c>
      <c r="JB100" s="175"/>
      <c r="JC100" s="175"/>
      <c r="JD100" s="175"/>
      <c r="JE100" s="175"/>
      <c r="JF100" s="175"/>
      <c r="JG100" s="175"/>
      <c r="JH100" s="175"/>
      <c r="JI100" s="175"/>
      <c r="JJ100" s="175"/>
      <c r="JK100" s="175"/>
      <c r="JL100" s="175"/>
      <c r="JM100" s="175"/>
      <c r="JN100" s="175"/>
      <c r="JO100" s="175"/>
      <c r="JP100" s="175"/>
      <c r="JQ100" s="175"/>
      <c r="JR100" s="175"/>
      <c r="JS100" s="175"/>
      <c r="JT100" s="175"/>
      <c r="JU100" s="175"/>
      <c r="JV100" s="175"/>
      <c r="JW100" s="175"/>
      <c r="JX100" s="175"/>
      <c r="JY100" s="175"/>
      <c r="ON100" s="223" t="s">
        <v>267</v>
      </c>
      <c r="OO100" s="224" t="s">
        <v>268</v>
      </c>
      <c r="OP100" s="224">
        <v>6013</v>
      </c>
      <c r="OQ100" s="224" t="s">
        <v>88</v>
      </c>
      <c r="OR100" s="224" t="e">
        <f ca="1">VLOOKUP($OP100,INDIRECT($ON100):INDIRECT($OO100),4,FALSE)</f>
        <v>#N/A</v>
      </c>
      <c r="OS100" s="224" t="e">
        <f ca="1">VLOOKUP($OP100,INDIRECT($ON100):INDIRECT($OO100),5,FALSE)</f>
        <v>#N/A</v>
      </c>
      <c r="OT100" s="224" t="e">
        <f ca="1">VLOOKUP($OP100,INDIRECT($ON100):INDIRECT($OO100),6,FALSE)</f>
        <v>#N/A</v>
      </c>
    </row>
    <row r="101" spans="2:410" x14ac:dyDescent="0.25">
      <c r="B101" s="175"/>
      <c r="F101" s="176"/>
      <c r="G101" s="176"/>
      <c r="H101" s="176"/>
      <c r="AG101" s="175">
        <v>4005</v>
      </c>
      <c r="AH101" s="254" t="s">
        <v>108</v>
      </c>
      <c r="AI101" s="380">
        <v>137.4</v>
      </c>
      <c r="AJ101" s="658">
        <v>131.19999999999999</v>
      </c>
      <c r="AK101" s="255">
        <v>137.5</v>
      </c>
      <c r="JB101" s="175"/>
      <c r="JC101" s="175"/>
      <c r="JD101" s="175"/>
      <c r="JE101" s="175"/>
      <c r="JF101" s="175"/>
      <c r="JG101" s="175"/>
      <c r="JH101" s="175"/>
      <c r="JI101" s="175"/>
      <c r="JJ101" s="175"/>
      <c r="JK101" s="175"/>
      <c r="JL101" s="175"/>
      <c r="JM101" s="175"/>
      <c r="JN101" s="175"/>
      <c r="JO101" s="175"/>
      <c r="JP101" s="175"/>
      <c r="JQ101" s="175"/>
      <c r="JR101" s="175"/>
      <c r="JS101" s="175"/>
      <c r="JT101" s="175"/>
      <c r="JU101" s="175"/>
      <c r="JV101" s="175"/>
      <c r="JW101" s="175"/>
      <c r="JX101" s="175"/>
      <c r="JY101" s="175"/>
      <c r="ON101" s="223" t="s">
        <v>267</v>
      </c>
      <c r="OO101" s="224" t="s">
        <v>268</v>
      </c>
      <c r="OP101" s="643">
        <v>6014</v>
      </c>
      <c r="OQ101" s="224" t="s">
        <v>527</v>
      </c>
      <c r="OR101" s="224" t="e">
        <f ca="1">VLOOKUP($OP101,INDIRECT($ON101):INDIRECT($OO101),4,FALSE)</f>
        <v>#N/A</v>
      </c>
      <c r="OS101" s="224" t="e">
        <f ca="1">VLOOKUP($OP101,INDIRECT($ON101):INDIRECT($OO101),5,FALSE)</f>
        <v>#N/A</v>
      </c>
      <c r="OT101" s="224" t="e">
        <f ca="1">VLOOKUP($OP101,INDIRECT($ON101):INDIRECT($OO101),6,FALSE)</f>
        <v>#N/A</v>
      </c>
    </row>
    <row r="102" spans="2:410" x14ac:dyDescent="0.25">
      <c r="B102" s="175"/>
      <c r="F102" s="176"/>
      <c r="G102" s="176"/>
      <c r="H102" s="176"/>
      <c r="AG102" s="175">
        <v>4006</v>
      </c>
      <c r="AH102" s="254" t="s">
        <v>109</v>
      </c>
      <c r="AI102" s="380">
        <v>135.19999999999999</v>
      </c>
      <c r="AJ102" s="658">
        <v>125.8</v>
      </c>
      <c r="AK102" s="255">
        <v>134.1</v>
      </c>
      <c r="JB102" s="175"/>
      <c r="JC102" s="175"/>
      <c r="JD102" s="175"/>
      <c r="JE102" s="175"/>
      <c r="JF102" s="175"/>
      <c r="JG102" s="175"/>
      <c r="JH102" s="175"/>
      <c r="JI102" s="175"/>
      <c r="JJ102" s="175"/>
      <c r="JK102" s="175"/>
      <c r="JL102" s="175"/>
      <c r="JM102" s="175"/>
      <c r="JN102" s="175"/>
      <c r="JO102" s="175"/>
      <c r="JP102" s="175"/>
      <c r="JQ102" s="175"/>
      <c r="JR102" s="175"/>
      <c r="JS102" s="175"/>
      <c r="JT102" s="175"/>
      <c r="JU102" s="175"/>
      <c r="JV102" s="175"/>
      <c r="JW102" s="175"/>
      <c r="JX102" s="175"/>
      <c r="JY102" s="175"/>
      <c r="ON102" s="223" t="s">
        <v>267</v>
      </c>
      <c r="OO102" s="224" t="s">
        <v>268</v>
      </c>
      <c r="OP102" s="224">
        <v>6015</v>
      </c>
      <c r="OQ102" s="643" t="s">
        <v>103</v>
      </c>
      <c r="OR102" s="224" t="e">
        <f ca="1">VLOOKUP($OP102,INDIRECT($ON102):INDIRECT($OO102),4,FALSE)</f>
        <v>#N/A</v>
      </c>
      <c r="OS102" s="224" t="e">
        <f ca="1">VLOOKUP($OP102,INDIRECT($ON102):INDIRECT($OO102),5,FALSE)</f>
        <v>#N/A</v>
      </c>
      <c r="OT102" s="224" t="e">
        <f ca="1">VLOOKUP($OP102,INDIRECT($ON102):INDIRECT($OO102),6,FALSE)</f>
        <v>#N/A</v>
      </c>
    </row>
    <row r="103" spans="2:410" x14ac:dyDescent="0.25">
      <c r="F103" s="176"/>
      <c r="G103" s="176"/>
      <c r="AG103" s="175">
        <v>4007</v>
      </c>
      <c r="AH103" s="254" t="s">
        <v>528</v>
      </c>
      <c r="AI103" s="380">
        <v>67.8</v>
      </c>
      <c r="AJ103" s="658">
        <v>63.9</v>
      </c>
      <c r="AK103" s="255">
        <v>64.900000000000006</v>
      </c>
      <c r="JB103" s="175"/>
      <c r="JC103" s="175"/>
      <c r="JD103" s="175"/>
      <c r="JE103" s="175"/>
      <c r="JF103" s="175"/>
      <c r="JG103" s="175"/>
      <c r="JH103" s="175"/>
      <c r="JI103" s="175"/>
      <c r="JJ103" s="175"/>
      <c r="JK103" s="175"/>
      <c r="JL103" s="175"/>
      <c r="JM103" s="175"/>
      <c r="JN103" s="175"/>
      <c r="JO103" s="175"/>
      <c r="JP103" s="175"/>
      <c r="JQ103" s="175"/>
      <c r="JR103" s="175"/>
      <c r="JS103" s="175"/>
      <c r="JT103" s="175"/>
      <c r="JU103" s="175"/>
      <c r="JV103" s="175"/>
      <c r="JW103" s="175"/>
      <c r="JX103" s="175"/>
      <c r="JY103" s="175"/>
      <c r="ON103" s="223" t="s">
        <v>267</v>
      </c>
      <c r="OO103" s="224" t="s">
        <v>268</v>
      </c>
      <c r="OP103" s="643">
        <v>6016</v>
      </c>
      <c r="OQ103" s="224" t="s">
        <v>112</v>
      </c>
      <c r="OR103" s="224" t="e">
        <f ca="1">VLOOKUP($OP103,INDIRECT($ON103):INDIRECT($OO103),4,FALSE)</f>
        <v>#N/A</v>
      </c>
      <c r="OS103" s="224" t="e">
        <f ca="1">VLOOKUP($OP103,INDIRECT($ON103):INDIRECT($OO103),5,FALSE)</f>
        <v>#N/A</v>
      </c>
      <c r="OT103" s="224" t="e">
        <f ca="1">VLOOKUP($OP103,INDIRECT($ON103):INDIRECT($OO103),6,FALSE)</f>
        <v>#N/A</v>
      </c>
    </row>
    <row r="104" spans="2:410" x14ac:dyDescent="0.25">
      <c r="F104" s="176"/>
      <c r="G104" s="176"/>
      <c r="H104" s="176"/>
      <c r="AH104" s="254"/>
      <c r="AI104" s="380">
        <v>0</v>
      </c>
      <c r="AJ104" s="658">
        <v>0</v>
      </c>
      <c r="AK104" s="255" t="s">
        <v>529</v>
      </c>
      <c r="JB104" s="175"/>
      <c r="JC104" s="175"/>
      <c r="JD104" s="175"/>
      <c r="JE104" s="175"/>
      <c r="JF104" s="175"/>
      <c r="JG104" s="175"/>
      <c r="JH104" s="175"/>
      <c r="JI104" s="175"/>
      <c r="JJ104" s="175"/>
      <c r="JK104" s="175"/>
      <c r="JL104" s="175"/>
      <c r="JM104" s="175"/>
      <c r="JN104" s="175"/>
      <c r="JO104" s="175"/>
      <c r="JP104" s="175"/>
      <c r="JQ104" s="175"/>
      <c r="JR104" s="175"/>
      <c r="JS104" s="175"/>
      <c r="JT104" s="175"/>
      <c r="JU104" s="175"/>
      <c r="JV104" s="175"/>
      <c r="JW104" s="175"/>
      <c r="JX104" s="175"/>
      <c r="JY104" s="175"/>
      <c r="ON104" s="223" t="s">
        <v>267</v>
      </c>
      <c r="OO104" s="224" t="s">
        <v>268</v>
      </c>
      <c r="OP104" s="224">
        <v>6017</v>
      </c>
      <c r="OQ104" s="224" t="s">
        <v>530</v>
      </c>
      <c r="OR104" s="224" t="e">
        <f ca="1">VLOOKUP($OP104,INDIRECT($ON104):INDIRECT($OO104),4,FALSE)</f>
        <v>#N/A</v>
      </c>
      <c r="OS104" s="224" t="e">
        <f ca="1">VLOOKUP($OP104,INDIRECT($ON104):INDIRECT($OO104),5,FALSE)</f>
        <v>#N/A</v>
      </c>
      <c r="OT104" s="224" t="e">
        <f ca="1">VLOOKUP($OP104,INDIRECT($ON104):INDIRECT($OO104),6,FALSE)</f>
        <v>#N/A</v>
      </c>
    </row>
    <row r="105" spans="2:410" x14ac:dyDescent="0.25">
      <c r="F105" s="176"/>
      <c r="G105" s="176"/>
      <c r="H105" s="176"/>
      <c r="AG105" s="175">
        <v>6016</v>
      </c>
      <c r="AH105" s="254" t="s">
        <v>112</v>
      </c>
      <c r="AI105" s="380">
        <v>451.94</v>
      </c>
      <c r="AJ105" s="658">
        <v>42</v>
      </c>
      <c r="AK105" s="255">
        <v>456.69708333333335</v>
      </c>
      <c r="JB105" s="175"/>
      <c r="JC105" s="175"/>
      <c r="JD105" s="175"/>
      <c r="JE105" s="175"/>
      <c r="JF105" s="175"/>
      <c r="JG105" s="175"/>
      <c r="JH105" s="175"/>
      <c r="JI105" s="175"/>
      <c r="JJ105" s="175"/>
      <c r="JK105" s="175"/>
      <c r="JL105" s="175"/>
      <c r="JM105" s="175"/>
      <c r="JN105" s="175"/>
      <c r="JO105" s="175"/>
      <c r="JP105" s="175"/>
      <c r="JQ105" s="175"/>
      <c r="JR105" s="175"/>
      <c r="JS105" s="175"/>
      <c r="JT105" s="175"/>
      <c r="JU105" s="175"/>
      <c r="JV105" s="175"/>
      <c r="JW105" s="175"/>
      <c r="JX105" s="175"/>
      <c r="JY105" s="175"/>
      <c r="ON105" s="223" t="s">
        <v>267</v>
      </c>
      <c r="OO105" s="224" t="s">
        <v>268</v>
      </c>
      <c r="OP105" s="643">
        <v>6018</v>
      </c>
      <c r="OQ105" s="224" t="s">
        <v>515</v>
      </c>
      <c r="OR105" s="224" t="e">
        <f ca="1">VLOOKUP($OP105,INDIRECT($ON105):INDIRECT($OO105),4,FALSE)</f>
        <v>#N/A</v>
      </c>
      <c r="OS105" s="224" t="e">
        <f ca="1">VLOOKUP($OP105,INDIRECT($ON105):INDIRECT($OO105),5,FALSE)</f>
        <v>#N/A</v>
      </c>
      <c r="OT105" s="224" t="e">
        <f ca="1">VLOOKUP($OP105,INDIRECT($ON105):INDIRECT($OO105),6,FALSE)</f>
        <v>#N/A</v>
      </c>
    </row>
    <row r="106" spans="2:410" x14ac:dyDescent="0.25">
      <c r="F106" s="176"/>
      <c r="G106" s="176"/>
      <c r="H106" s="176"/>
      <c r="AG106" s="175">
        <v>5002</v>
      </c>
      <c r="AH106" s="254" t="s">
        <v>113</v>
      </c>
      <c r="AI106" s="380">
        <v>185</v>
      </c>
      <c r="AJ106" s="658">
        <v>-13.3</v>
      </c>
      <c r="AK106" s="255">
        <v>34.799999999999997</v>
      </c>
      <c r="JB106" s="175"/>
      <c r="JC106" s="175"/>
      <c r="JD106" s="175"/>
      <c r="JE106" s="175"/>
      <c r="JF106" s="175"/>
      <c r="JG106" s="175"/>
      <c r="JH106" s="175"/>
      <c r="JI106" s="175"/>
      <c r="JJ106" s="175"/>
      <c r="JK106" s="175"/>
      <c r="JL106" s="175"/>
      <c r="JM106" s="175"/>
      <c r="JN106" s="175"/>
      <c r="JO106" s="175"/>
      <c r="JP106" s="175"/>
      <c r="JQ106" s="175"/>
      <c r="JR106" s="175"/>
      <c r="JS106" s="175"/>
      <c r="JT106" s="175"/>
      <c r="JU106" s="175"/>
      <c r="JV106" s="175"/>
      <c r="JW106" s="175"/>
      <c r="JX106" s="175"/>
      <c r="JY106" s="175"/>
      <c r="ON106" s="223" t="s">
        <v>267</v>
      </c>
      <c r="OO106" s="224" t="s">
        <v>268</v>
      </c>
      <c r="OP106" s="224">
        <v>6019</v>
      </c>
      <c r="OQ106" s="224" t="s">
        <v>531</v>
      </c>
      <c r="OR106" s="224" t="e">
        <f ca="1">VLOOKUP($OP106,INDIRECT($ON106):INDIRECT($OO106),4,FALSE)</f>
        <v>#N/A</v>
      </c>
      <c r="OS106" s="224" t="e">
        <f ca="1">VLOOKUP($OP106,INDIRECT($ON106):INDIRECT($OO106),5,FALSE)</f>
        <v>#N/A</v>
      </c>
      <c r="OT106" s="224" t="e">
        <f ca="1">VLOOKUP($OP106,INDIRECT($ON106):INDIRECT($OO106),6,FALSE)</f>
        <v>#N/A</v>
      </c>
    </row>
    <row r="107" spans="2:410" x14ac:dyDescent="0.25">
      <c r="F107" s="176"/>
      <c r="G107" s="176"/>
      <c r="AG107" s="175">
        <v>5003</v>
      </c>
      <c r="AH107" s="254" t="s">
        <v>115</v>
      </c>
      <c r="AI107" s="380">
        <v>76</v>
      </c>
      <c r="AJ107" s="658">
        <v>-15.1</v>
      </c>
      <c r="AK107" s="255"/>
      <c r="JB107" s="175"/>
      <c r="JC107" s="175"/>
      <c r="JD107" s="175"/>
      <c r="JE107" s="175"/>
      <c r="JF107" s="175"/>
      <c r="JG107" s="175"/>
      <c r="JH107" s="175"/>
      <c r="JI107" s="175"/>
      <c r="JJ107" s="175"/>
      <c r="JK107" s="175"/>
      <c r="JL107" s="175"/>
      <c r="JM107" s="175"/>
      <c r="JN107" s="175"/>
      <c r="JO107" s="175"/>
      <c r="JP107" s="175"/>
      <c r="JQ107" s="175"/>
      <c r="JR107" s="175"/>
      <c r="JS107" s="175"/>
      <c r="JT107" s="175"/>
      <c r="JU107" s="175"/>
      <c r="JV107" s="175"/>
      <c r="JW107" s="175"/>
      <c r="JX107" s="175"/>
      <c r="JY107" s="175"/>
      <c r="ON107" s="223" t="s">
        <v>267</v>
      </c>
      <c r="OO107" s="224" t="s">
        <v>268</v>
      </c>
      <c r="OP107" s="643">
        <v>6020</v>
      </c>
      <c r="OQ107" s="224" t="s">
        <v>532</v>
      </c>
      <c r="OR107" s="224" t="e">
        <f ca="1">VLOOKUP($OP107,INDIRECT($ON107):INDIRECT($OO107),4,FALSE)</f>
        <v>#N/A</v>
      </c>
      <c r="OS107" s="224" t="e">
        <f ca="1">VLOOKUP($OP107,INDIRECT($ON107):INDIRECT($OO107),5,FALSE)</f>
        <v>#N/A</v>
      </c>
      <c r="OT107" s="224" t="e">
        <f ca="1">VLOOKUP($OP107,INDIRECT($ON107):INDIRECT($OO107),6,FALSE)</f>
        <v>#N/A</v>
      </c>
    </row>
    <row r="108" spans="2:410" x14ac:dyDescent="0.25">
      <c r="F108" s="176"/>
      <c r="G108" s="176"/>
      <c r="H108" s="176"/>
      <c r="AG108" s="175">
        <v>5004</v>
      </c>
      <c r="AH108" s="254" t="s">
        <v>116</v>
      </c>
      <c r="AI108" s="380">
        <v>60</v>
      </c>
      <c r="AJ108" s="658">
        <v>-57</v>
      </c>
      <c r="AK108" s="255">
        <v>64</v>
      </c>
      <c r="JB108" s="175"/>
      <c r="JC108" s="175"/>
      <c r="JD108" s="175"/>
      <c r="JE108" s="175"/>
      <c r="JF108" s="175"/>
      <c r="JG108" s="175"/>
      <c r="JH108" s="175"/>
      <c r="JI108" s="175"/>
      <c r="JJ108" s="175"/>
      <c r="JK108" s="175"/>
      <c r="JL108" s="175"/>
      <c r="JM108" s="175"/>
      <c r="JN108" s="175"/>
      <c r="JO108" s="175"/>
      <c r="JP108" s="175"/>
      <c r="JQ108" s="175"/>
      <c r="JR108" s="175"/>
      <c r="JS108" s="175"/>
      <c r="JT108" s="175"/>
      <c r="JU108" s="175"/>
      <c r="JV108" s="175"/>
      <c r="JW108" s="175"/>
      <c r="JX108" s="175"/>
      <c r="JY108" s="175"/>
      <c r="ON108" s="223" t="s">
        <v>267</v>
      </c>
      <c r="OO108" s="224" t="s">
        <v>268</v>
      </c>
      <c r="OP108" s="643"/>
      <c r="OQ108" s="224"/>
      <c r="OR108" s="224"/>
      <c r="OS108" s="224"/>
      <c r="OT108" s="224"/>
    </row>
    <row r="109" spans="2:410" x14ac:dyDescent="0.25">
      <c r="F109" s="176"/>
      <c r="G109" s="176"/>
      <c r="H109" s="176"/>
      <c r="AG109" s="175">
        <v>5005</v>
      </c>
      <c r="AH109" s="254" t="s">
        <v>533</v>
      </c>
      <c r="AI109" s="380">
        <v>41</v>
      </c>
      <c r="AJ109" s="658">
        <v>-6</v>
      </c>
      <c r="AK109" s="255">
        <v>37.299999999999997</v>
      </c>
      <c r="JB109" s="175"/>
      <c r="JC109" s="175"/>
      <c r="JD109" s="175"/>
      <c r="JE109" s="175"/>
      <c r="JF109" s="175"/>
      <c r="JG109" s="175"/>
      <c r="JH109" s="175"/>
      <c r="JI109" s="175"/>
      <c r="JJ109" s="175"/>
      <c r="JK109" s="175"/>
      <c r="JL109" s="175"/>
      <c r="JM109" s="175"/>
      <c r="JN109" s="175"/>
      <c r="JO109" s="175"/>
      <c r="JP109" s="175"/>
      <c r="JQ109" s="175"/>
      <c r="JR109" s="175"/>
      <c r="JS109" s="175"/>
      <c r="JT109" s="175"/>
      <c r="JU109" s="175"/>
      <c r="JV109" s="175"/>
      <c r="JW109" s="175"/>
      <c r="JX109" s="175"/>
      <c r="JY109" s="175"/>
      <c r="ON109" s="223" t="s">
        <v>267</v>
      </c>
      <c r="OO109" s="224" t="s">
        <v>268</v>
      </c>
      <c r="OP109" s="643"/>
      <c r="OQ109" s="224"/>
      <c r="OR109" s="224"/>
      <c r="OS109" s="224"/>
      <c r="OT109" s="224"/>
    </row>
    <row r="110" spans="2:410" x14ac:dyDescent="0.25">
      <c r="F110" s="176"/>
      <c r="G110" s="176"/>
      <c r="H110" s="176"/>
      <c r="AG110" s="175">
        <v>5006</v>
      </c>
      <c r="AH110" s="254" t="s">
        <v>118</v>
      </c>
      <c r="AI110" s="380">
        <v>117</v>
      </c>
      <c r="AJ110" s="658">
        <v>39</v>
      </c>
      <c r="AK110" s="255">
        <v>93.7</v>
      </c>
      <c r="JB110" s="175"/>
      <c r="JC110" s="175"/>
      <c r="JD110" s="175"/>
      <c r="JE110" s="175"/>
      <c r="JF110" s="175"/>
      <c r="JG110" s="175"/>
      <c r="JH110" s="175"/>
      <c r="JI110" s="175"/>
      <c r="JJ110" s="175"/>
      <c r="JK110" s="175"/>
      <c r="JL110" s="175"/>
      <c r="JM110" s="175"/>
      <c r="JN110" s="175"/>
      <c r="JO110" s="175"/>
      <c r="JP110" s="175"/>
      <c r="JQ110" s="175"/>
      <c r="JR110" s="175"/>
      <c r="JS110" s="175"/>
      <c r="JT110" s="175"/>
      <c r="JU110" s="175"/>
      <c r="JV110" s="175"/>
      <c r="JW110" s="175"/>
      <c r="JX110" s="175"/>
      <c r="JY110" s="175"/>
      <c r="ON110" s="223" t="s">
        <v>267</v>
      </c>
      <c r="OO110" s="224" t="s">
        <v>268</v>
      </c>
      <c r="OP110" s="643"/>
      <c r="OQ110" s="224"/>
      <c r="OR110" s="224"/>
      <c r="OS110" s="224"/>
      <c r="OT110" s="224"/>
    </row>
    <row r="111" spans="2:410" x14ac:dyDescent="0.25">
      <c r="F111" s="176"/>
      <c r="G111" s="176"/>
      <c r="H111" s="176"/>
      <c r="AG111" s="175">
        <v>5007</v>
      </c>
      <c r="AH111" s="254" t="s">
        <v>534</v>
      </c>
      <c r="AI111" s="380">
        <v>100.2</v>
      </c>
      <c r="AJ111" s="658">
        <v>40</v>
      </c>
      <c r="AK111" s="255">
        <v>96</v>
      </c>
      <c r="JB111" s="175"/>
      <c r="JC111" s="175"/>
      <c r="JD111" s="175"/>
      <c r="JE111" s="175"/>
      <c r="JF111" s="175"/>
      <c r="JG111" s="175"/>
      <c r="JH111" s="175"/>
      <c r="JI111" s="175"/>
      <c r="JJ111" s="175"/>
      <c r="JK111" s="175"/>
      <c r="JL111" s="175"/>
      <c r="JM111" s="175"/>
      <c r="JN111" s="175"/>
      <c r="JO111" s="175"/>
      <c r="JP111" s="175"/>
      <c r="JQ111" s="175"/>
      <c r="JR111" s="175"/>
      <c r="JS111" s="175"/>
      <c r="JT111" s="175"/>
      <c r="JU111" s="175"/>
      <c r="JV111" s="175"/>
      <c r="JW111" s="175"/>
      <c r="JX111" s="175"/>
      <c r="JY111" s="175"/>
      <c r="ON111" s="223" t="s">
        <v>267</v>
      </c>
      <c r="OO111" s="224" t="s">
        <v>268</v>
      </c>
      <c r="OP111" s="643"/>
      <c r="OQ111" s="224"/>
      <c r="OR111" s="224"/>
      <c r="OS111" s="224"/>
      <c r="OT111" s="224"/>
    </row>
    <row r="112" spans="2:410" x14ac:dyDescent="0.25">
      <c r="F112" s="176"/>
      <c r="G112" s="176"/>
      <c r="H112" s="176"/>
      <c r="AG112" s="175">
        <v>5008</v>
      </c>
      <c r="AH112" s="254" t="s">
        <v>535</v>
      </c>
      <c r="AI112" s="380">
        <v>24</v>
      </c>
      <c r="AJ112" s="658">
        <v>-5.4</v>
      </c>
      <c r="AK112" s="255">
        <v>14</v>
      </c>
      <c r="JB112" s="175"/>
      <c r="JC112" s="175"/>
      <c r="JD112" s="175"/>
      <c r="JE112" s="175"/>
      <c r="JF112" s="175"/>
      <c r="JG112" s="175"/>
      <c r="JH112" s="175"/>
      <c r="JI112" s="175"/>
      <c r="JJ112" s="175"/>
      <c r="JK112" s="175"/>
      <c r="JL112" s="175"/>
      <c r="JM112" s="175"/>
      <c r="JN112" s="175"/>
      <c r="JO112" s="175"/>
      <c r="JP112" s="175"/>
      <c r="JQ112" s="175"/>
      <c r="JR112" s="175"/>
      <c r="JS112" s="175"/>
      <c r="JT112" s="175"/>
      <c r="JU112" s="175"/>
      <c r="JV112" s="175"/>
      <c r="JW112" s="175"/>
      <c r="JX112" s="175"/>
      <c r="JY112" s="175"/>
      <c r="ON112" s="223" t="s">
        <v>267</v>
      </c>
      <c r="OO112" s="224" t="s">
        <v>268</v>
      </c>
      <c r="OP112" s="643">
        <v>0</v>
      </c>
      <c r="OQ112" s="224" t="s">
        <v>536</v>
      </c>
      <c r="OR112" s="224" t="e">
        <f ca="1">VLOOKUP($OP112,INDIRECT($ON112):INDIRECT($OO112),4,FALSE)</f>
        <v>#N/A</v>
      </c>
      <c r="OS112" s="224"/>
      <c r="OT112" s="224"/>
    </row>
    <row r="113" spans="2:410" x14ac:dyDescent="0.25">
      <c r="F113" s="176"/>
      <c r="G113" s="176"/>
      <c r="H113" s="176"/>
      <c r="JB113" s="175"/>
      <c r="JC113" s="175"/>
      <c r="JD113" s="175"/>
      <c r="JE113" s="175"/>
      <c r="JF113" s="175"/>
      <c r="JG113" s="175"/>
      <c r="JH113" s="175"/>
      <c r="JI113" s="175"/>
      <c r="JJ113" s="175"/>
      <c r="JK113" s="175"/>
      <c r="JL113" s="175"/>
      <c r="JM113" s="175"/>
      <c r="JN113" s="175"/>
      <c r="JO113" s="175"/>
      <c r="JP113" s="175"/>
      <c r="JQ113" s="175"/>
      <c r="JR113" s="175"/>
      <c r="JS113" s="175"/>
      <c r="JT113" s="175"/>
      <c r="JU113" s="175"/>
      <c r="JV113" s="175"/>
      <c r="JW113" s="175"/>
      <c r="JX113" s="175"/>
      <c r="JY113" s="175"/>
      <c r="ON113" s="223" t="s">
        <v>267</v>
      </c>
      <c r="OO113" s="224" t="s">
        <v>268</v>
      </c>
      <c r="OP113" s="224">
        <v>1</v>
      </c>
      <c r="OQ113" s="224" t="s">
        <v>290</v>
      </c>
      <c r="OR113" s="224" t="e">
        <f ca="1">VLOOKUP($OP113,INDIRECT($ON113):INDIRECT($OO113),4,FALSE)</f>
        <v>#N/A</v>
      </c>
      <c r="OS113" s="224"/>
      <c r="OT113" s="224"/>
    </row>
    <row r="114" spans="2:410" x14ac:dyDescent="0.25">
      <c r="B114" s="175"/>
      <c r="F114" s="176"/>
      <c r="G114" s="176"/>
      <c r="H114" s="176"/>
      <c r="JB114" s="175"/>
      <c r="JC114" s="175"/>
      <c r="JD114" s="175"/>
      <c r="JE114" s="175"/>
      <c r="JF114" s="175"/>
      <c r="JG114" s="175"/>
      <c r="JH114" s="175"/>
      <c r="JI114" s="175"/>
      <c r="JJ114" s="175"/>
      <c r="JK114" s="175"/>
      <c r="JL114" s="175"/>
      <c r="JM114" s="175"/>
      <c r="JN114" s="175"/>
      <c r="JO114" s="175"/>
      <c r="JP114" s="175"/>
      <c r="JQ114" s="175"/>
      <c r="JR114" s="175"/>
      <c r="JS114" s="175"/>
      <c r="JT114" s="175"/>
      <c r="JU114" s="175"/>
      <c r="JV114" s="175"/>
      <c r="JW114" s="175"/>
      <c r="JX114" s="175"/>
      <c r="JY114" s="175"/>
      <c r="ON114" s="223" t="s">
        <v>267</v>
      </c>
      <c r="OO114" s="224" t="s">
        <v>268</v>
      </c>
      <c r="OP114" s="643">
        <v>2</v>
      </c>
      <c r="OQ114" s="224" t="s">
        <v>297</v>
      </c>
      <c r="OR114" s="224" t="e">
        <f ca="1">VLOOKUP($OP114,INDIRECT($ON114):INDIRECT($OO114),4,FALSE)</f>
        <v>#N/A</v>
      </c>
      <c r="OS114" s="224"/>
      <c r="OT114" s="224"/>
    </row>
    <row r="115" spans="2:410" x14ac:dyDescent="0.25">
      <c r="B115" s="175"/>
      <c r="F115" s="176"/>
      <c r="G115" s="176"/>
      <c r="H115" s="176"/>
      <c r="JB115" s="175"/>
      <c r="JC115" s="175"/>
      <c r="JD115" s="175"/>
      <c r="JE115" s="175"/>
      <c r="JF115" s="175"/>
      <c r="JG115" s="175"/>
      <c r="JH115" s="175"/>
      <c r="JI115" s="175"/>
      <c r="JJ115" s="175"/>
      <c r="JK115" s="175"/>
      <c r="JL115" s="175"/>
      <c r="JM115" s="175"/>
      <c r="JN115" s="175"/>
      <c r="JO115" s="175"/>
      <c r="JP115" s="175"/>
      <c r="JQ115" s="175"/>
      <c r="JR115" s="175"/>
      <c r="JS115" s="175"/>
      <c r="JT115" s="175"/>
      <c r="JU115" s="175"/>
      <c r="JV115" s="175"/>
      <c r="JW115" s="175"/>
      <c r="JX115" s="175"/>
      <c r="JY115" s="175"/>
      <c r="ON115" s="223" t="s">
        <v>267</v>
      </c>
      <c r="OO115" s="224" t="s">
        <v>268</v>
      </c>
      <c r="OP115" s="224">
        <v>3</v>
      </c>
      <c r="OQ115" s="224" t="s">
        <v>537</v>
      </c>
      <c r="OR115" s="224" t="e">
        <f ca="1">VLOOKUP($OP115,INDIRECT($ON115):INDIRECT($OO115),4,FALSE)</f>
        <v>#N/A</v>
      </c>
      <c r="OS115" s="224"/>
      <c r="OT115" s="224"/>
    </row>
    <row r="116" spans="2:410" x14ac:dyDescent="0.25">
      <c r="B116" s="175"/>
      <c r="F116" s="176"/>
      <c r="G116" s="176"/>
      <c r="H116" s="176"/>
      <c r="JB116" s="175"/>
      <c r="JC116" s="175"/>
      <c r="JD116" s="175"/>
      <c r="JE116" s="175"/>
      <c r="JF116" s="175"/>
      <c r="JG116" s="175"/>
      <c r="JH116" s="175"/>
      <c r="JI116" s="175"/>
      <c r="JJ116" s="175"/>
      <c r="JK116" s="175"/>
      <c r="JL116" s="175"/>
      <c r="JM116" s="175"/>
      <c r="JN116" s="175"/>
      <c r="JO116" s="175"/>
      <c r="JP116" s="175"/>
      <c r="JQ116" s="175"/>
      <c r="JR116" s="175"/>
      <c r="JS116" s="175"/>
      <c r="JT116" s="175"/>
      <c r="JU116" s="175"/>
      <c r="JV116" s="175"/>
      <c r="JW116" s="175"/>
      <c r="JX116" s="175"/>
      <c r="JY116" s="175"/>
      <c r="ON116" s="660"/>
      <c r="OO116" s="661"/>
      <c r="OP116" s="661"/>
      <c r="OQ116" s="661"/>
      <c r="OR116" s="224"/>
      <c r="OS116" s="224"/>
      <c r="OT116" s="224"/>
    </row>
    <row r="117" spans="2:410" x14ac:dyDescent="0.25">
      <c r="B117" s="175"/>
      <c r="F117" s="176"/>
      <c r="G117" s="176"/>
      <c r="H117" s="176"/>
      <c r="JB117" s="175"/>
      <c r="JC117" s="175"/>
      <c r="JD117" s="175"/>
      <c r="JE117" s="175"/>
      <c r="JF117" s="175"/>
      <c r="JG117" s="175"/>
      <c r="JH117" s="175"/>
      <c r="JI117" s="175"/>
      <c r="JJ117" s="175"/>
      <c r="JK117" s="175"/>
      <c r="JL117" s="175"/>
      <c r="JM117" s="175"/>
      <c r="JN117" s="175"/>
      <c r="JO117" s="175"/>
      <c r="JP117" s="175"/>
      <c r="JQ117" s="175"/>
      <c r="JR117" s="175"/>
      <c r="JS117" s="175"/>
      <c r="JT117" s="175"/>
      <c r="JU117" s="175"/>
      <c r="JV117" s="175"/>
      <c r="JW117" s="175"/>
      <c r="JX117" s="175"/>
      <c r="JY117" s="175"/>
      <c r="ON117" s="660"/>
      <c r="OO117" s="661"/>
      <c r="OP117" s="661"/>
      <c r="OQ117" s="661"/>
      <c r="OR117" s="224"/>
      <c r="OS117" s="224"/>
      <c r="OT117" s="224"/>
    </row>
    <row r="118" spans="2:410" x14ac:dyDescent="0.25">
      <c r="B118" s="175"/>
      <c r="F118" s="176"/>
      <c r="G118" s="176"/>
      <c r="H118" s="176"/>
      <c r="JB118" s="175"/>
      <c r="JC118" s="175"/>
      <c r="JD118" s="175"/>
      <c r="JE118" s="175"/>
      <c r="JF118" s="175"/>
      <c r="JG118" s="175"/>
      <c r="JH118" s="175"/>
      <c r="JI118" s="175"/>
      <c r="JJ118" s="175"/>
      <c r="JK118" s="175"/>
      <c r="JL118" s="175"/>
      <c r="JM118" s="175"/>
      <c r="JN118" s="175"/>
      <c r="JO118" s="175"/>
      <c r="JP118" s="175"/>
      <c r="JQ118" s="175"/>
      <c r="JR118" s="175"/>
      <c r="JS118" s="175"/>
      <c r="JT118" s="175"/>
      <c r="JU118" s="175"/>
      <c r="JV118" s="175"/>
      <c r="JW118" s="175"/>
      <c r="JX118" s="175"/>
      <c r="JY118" s="175"/>
      <c r="ON118" s="660"/>
      <c r="OO118" s="661"/>
      <c r="OP118" s="661"/>
      <c r="OQ118" s="661"/>
      <c r="OR118" s="224"/>
      <c r="OS118" s="224"/>
      <c r="OT118" s="224"/>
    </row>
    <row r="119" spans="2:410" x14ac:dyDescent="0.25">
      <c r="B119" s="175"/>
      <c r="F119" s="176"/>
      <c r="G119" s="176"/>
      <c r="H119" s="176"/>
      <c r="JB119" s="175"/>
      <c r="JC119" s="175"/>
      <c r="JD119" s="175"/>
      <c r="JE119" s="175"/>
      <c r="JF119" s="175"/>
      <c r="JG119" s="175"/>
      <c r="JH119" s="175"/>
      <c r="JI119" s="175"/>
      <c r="JJ119" s="175"/>
      <c r="JK119" s="175"/>
      <c r="JL119" s="175"/>
      <c r="JM119" s="175"/>
      <c r="JN119" s="175"/>
      <c r="JO119" s="175"/>
      <c r="JP119" s="175"/>
      <c r="JQ119" s="175"/>
      <c r="JR119" s="175"/>
      <c r="JS119" s="175"/>
      <c r="JT119" s="175"/>
      <c r="JU119" s="175"/>
      <c r="JV119" s="175"/>
      <c r="JW119" s="175"/>
      <c r="JX119" s="175"/>
      <c r="JY119" s="175"/>
      <c r="ON119" s="660" t="s">
        <v>538</v>
      </c>
      <c r="OO119" s="661" t="s">
        <v>539</v>
      </c>
      <c r="OP119" s="661">
        <v>7000</v>
      </c>
      <c r="OQ119" s="661" t="s">
        <v>540</v>
      </c>
      <c r="OR119" s="224" t="e">
        <f ca="1">VLOOKUP($OP119,INDIRECT($ON119):INDIRECT($OO119),3,FALSE)</f>
        <v>#N/A</v>
      </c>
      <c r="OS119" s="224" t="e">
        <f ca="1">VLOOKUP($OP119,INDIRECT($ON119):INDIRECT($OO119),4,FALSE)</f>
        <v>#N/A</v>
      </c>
      <c r="OT119" s="224" t="e">
        <f ca="1">VLOOKUP($OP119,INDIRECT($ON119):INDIRECT($OO119),5,FALSE)</f>
        <v>#N/A</v>
      </c>
    </row>
    <row r="120" spans="2:410" x14ac:dyDescent="0.25">
      <c r="B120" s="175"/>
      <c r="F120" s="176"/>
      <c r="G120" s="176"/>
      <c r="H120" s="176"/>
      <c r="JB120" s="175"/>
      <c r="JC120" s="175"/>
      <c r="JD120" s="175"/>
      <c r="JE120" s="175"/>
      <c r="JF120" s="175"/>
      <c r="JG120" s="175"/>
      <c r="JH120" s="175"/>
      <c r="JI120" s="175"/>
      <c r="JJ120" s="175"/>
      <c r="JK120" s="175"/>
      <c r="JL120" s="175"/>
      <c r="JM120" s="175"/>
      <c r="JN120" s="175"/>
      <c r="JO120" s="175"/>
      <c r="JP120" s="175"/>
      <c r="JQ120" s="175"/>
      <c r="JR120" s="175"/>
      <c r="JS120" s="175"/>
      <c r="JT120" s="175"/>
      <c r="JU120" s="175"/>
      <c r="JV120" s="175"/>
      <c r="JW120" s="175"/>
      <c r="JX120" s="175"/>
      <c r="JY120" s="175"/>
      <c r="ON120" s="660" t="s">
        <v>538</v>
      </c>
      <c r="OO120" s="661" t="s">
        <v>539</v>
      </c>
      <c r="OP120" s="224">
        <v>7001</v>
      </c>
      <c r="OQ120" s="224" t="s">
        <v>541</v>
      </c>
      <c r="OR120" s="224">
        <f ca="1">VLOOKUP($OP120,INDIRECT($ON120):INDIRECT($OO120),3,FALSE)</f>
        <v>302.14</v>
      </c>
      <c r="OS120" s="224">
        <f ca="1">VLOOKUP($OP120,INDIRECT($ON120):INDIRECT($OO120),4,FALSE)</f>
        <v>19.100000000000001</v>
      </c>
      <c r="OT120" s="224">
        <f ca="1">VLOOKUP($OP120,INDIRECT($ON120):INDIRECT($OO120),5,FALSE)</f>
        <v>11.3</v>
      </c>
    </row>
    <row r="121" spans="2:410" x14ac:dyDescent="0.25">
      <c r="B121" s="175"/>
      <c r="F121" s="176"/>
      <c r="G121" s="176"/>
      <c r="H121" s="176"/>
      <c r="JB121" s="175"/>
      <c r="JC121" s="175"/>
      <c r="JD121" s="175"/>
      <c r="JE121" s="175"/>
      <c r="JF121" s="175"/>
      <c r="JG121" s="175"/>
      <c r="JH121" s="175"/>
      <c r="JI121" s="175"/>
      <c r="JJ121" s="175"/>
      <c r="JK121" s="175"/>
      <c r="JL121" s="175"/>
      <c r="JM121" s="175"/>
      <c r="JN121" s="175"/>
      <c r="JO121" s="175"/>
      <c r="JP121" s="175"/>
      <c r="JQ121" s="175"/>
      <c r="JR121" s="175"/>
      <c r="JS121" s="175"/>
      <c r="JT121" s="175"/>
      <c r="JU121" s="175"/>
      <c r="JV121" s="175"/>
      <c r="JW121" s="175"/>
      <c r="JX121" s="175"/>
      <c r="JY121" s="175"/>
      <c r="ON121" s="660" t="s">
        <v>538</v>
      </c>
      <c r="OO121" s="661" t="s">
        <v>539</v>
      </c>
      <c r="OP121" s="661">
        <v>7002</v>
      </c>
      <c r="OQ121" s="224" t="s">
        <v>542</v>
      </c>
      <c r="OR121" s="224">
        <f ca="1">VLOOKUP($OP121,INDIRECT($ON121):INDIRECT($OO121),3,FALSE)</f>
        <v>805.11</v>
      </c>
      <c r="OS121" s="224">
        <f ca="1">VLOOKUP($OP121,INDIRECT($ON121):INDIRECT($OO121),4,FALSE)</f>
        <v>41</v>
      </c>
      <c r="OT121" s="224">
        <f ca="1">VLOOKUP($OP121,INDIRECT($ON121):INDIRECT($OO121),5,FALSE)</f>
        <v>41</v>
      </c>
    </row>
    <row r="122" spans="2:410" x14ac:dyDescent="0.25">
      <c r="B122" s="175"/>
      <c r="F122" s="176"/>
      <c r="G122" s="176"/>
      <c r="H122" s="176"/>
      <c r="JB122" s="175"/>
      <c r="JC122" s="175"/>
      <c r="JD122" s="175"/>
      <c r="JE122" s="175"/>
      <c r="JF122" s="175"/>
      <c r="JG122" s="175"/>
      <c r="JH122" s="175"/>
      <c r="JI122" s="175"/>
      <c r="JJ122" s="175"/>
      <c r="JK122" s="175"/>
      <c r="JL122" s="175"/>
      <c r="JM122" s="175"/>
      <c r="JN122" s="175"/>
      <c r="JO122" s="175"/>
      <c r="JP122" s="175"/>
      <c r="JQ122" s="175"/>
      <c r="JR122" s="175"/>
      <c r="JS122" s="175"/>
      <c r="JT122" s="175"/>
      <c r="JU122" s="175"/>
      <c r="JV122" s="175"/>
      <c r="JW122" s="175"/>
      <c r="JX122" s="175"/>
      <c r="JY122" s="175"/>
      <c r="ON122" s="660" t="s">
        <v>538</v>
      </c>
      <c r="OO122" s="661" t="s">
        <v>539</v>
      </c>
      <c r="OP122" s="224">
        <v>7003</v>
      </c>
      <c r="OQ122" s="224" t="s">
        <v>543</v>
      </c>
      <c r="OR122" s="224">
        <f ca="1">VLOOKUP($OP122,INDIRECT($ON122):INDIRECT($OO122),3,FALSE)</f>
        <v>2163.04</v>
      </c>
      <c r="OS122" s="224">
        <f ca="1">VLOOKUP($OP122,INDIRECT($ON122):INDIRECT($OO122),4,FALSE)</f>
        <v>335</v>
      </c>
      <c r="OT122" s="224">
        <f ca="1">VLOOKUP($OP122,INDIRECT($ON122):INDIRECT($OO122),5,FALSE)</f>
        <v>230</v>
      </c>
    </row>
    <row r="123" spans="2:410" x14ac:dyDescent="0.25">
      <c r="B123" s="175"/>
      <c r="F123" s="176"/>
      <c r="G123" s="176"/>
      <c r="H123" s="176"/>
      <c r="JB123" s="175"/>
      <c r="JC123" s="175"/>
      <c r="JD123" s="175"/>
      <c r="JE123" s="175"/>
      <c r="JF123" s="175"/>
      <c r="JG123" s="175"/>
      <c r="JH123" s="175"/>
      <c r="JI123" s="175"/>
      <c r="JJ123" s="175"/>
      <c r="JK123" s="175"/>
      <c r="JL123" s="175"/>
      <c r="JM123" s="175"/>
      <c r="JN123" s="175"/>
      <c r="JO123" s="175"/>
      <c r="JP123" s="175"/>
      <c r="JQ123" s="175"/>
      <c r="JR123" s="175"/>
      <c r="JS123" s="175"/>
      <c r="JT123" s="175"/>
      <c r="JU123" s="175"/>
      <c r="JV123" s="175"/>
      <c r="JW123" s="175"/>
      <c r="JX123" s="175"/>
      <c r="JY123" s="175"/>
      <c r="ON123" s="223"/>
      <c r="OO123" s="224"/>
      <c r="OP123" s="661"/>
      <c r="OQ123" s="224"/>
      <c r="OR123" s="224"/>
      <c r="OS123" s="224"/>
      <c r="OT123" s="224"/>
    </row>
    <row r="124" spans="2:410" x14ac:dyDescent="0.25">
      <c r="B124" s="175"/>
      <c r="F124" s="176"/>
      <c r="H124" s="176"/>
      <c r="JB124" s="175"/>
      <c r="JC124" s="175"/>
      <c r="JD124" s="175"/>
      <c r="JE124" s="175"/>
      <c r="JF124" s="175"/>
      <c r="JG124" s="175"/>
      <c r="JH124" s="175"/>
      <c r="JI124" s="175"/>
      <c r="JJ124" s="175"/>
      <c r="JK124" s="175"/>
      <c r="JL124" s="175"/>
      <c r="JM124" s="175"/>
      <c r="JN124" s="175"/>
      <c r="JO124" s="175"/>
      <c r="JP124" s="175"/>
      <c r="JQ124" s="175"/>
      <c r="JR124" s="175"/>
      <c r="JS124" s="175"/>
      <c r="JT124" s="175"/>
      <c r="JU124" s="175"/>
      <c r="JV124" s="175"/>
      <c r="JW124" s="175"/>
      <c r="JX124" s="175"/>
      <c r="JY124" s="175"/>
      <c r="ON124" s="223"/>
      <c r="OO124" s="224"/>
      <c r="OP124" s="224"/>
      <c r="OQ124" s="224"/>
      <c r="OR124" s="224"/>
      <c r="OS124" s="224"/>
      <c r="OT124" s="224"/>
    </row>
    <row r="125" spans="2:410" x14ac:dyDescent="0.25">
      <c r="B125" s="175"/>
      <c r="F125" s="176"/>
      <c r="H125" s="176"/>
      <c r="JB125" s="175"/>
      <c r="JC125" s="175"/>
      <c r="JD125" s="175"/>
      <c r="JE125" s="175"/>
      <c r="JF125" s="175"/>
      <c r="JG125" s="175"/>
      <c r="JH125" s="175"/>
      <c r="JI125" s="175"/>
      <c r="JJ125" s="175"/>
      <c r="JK125" s="175"/>
      <c r="JL125" s="175"/>
      <c r="JM125" s="175"/>
      <c r="JN125" s="175"/>
      <c r="JO125" s="175"/>
      <c r="JP125" s="175"/>
      <c r="JQ125" s="175"/>
      <c r="JR125" s="175"/>
      <c r="JS125" s="175"/>
      <c r="JT125" s="175"/>
      <c r="JU125" s="175"/>
      <c r="JV125" s="175"/>
      <c r="JW125" s="175"/>
      <c r="JX125" s="175"/>
      <c r="JY125" s="175"/>
      <c r="ON125" s="660" t="s">
        <v>544</v>
      </c>
      <c r="OO125" s="661" t="s">
        <v>545</v>
      </c>
      <c r="OP125" s="661">
        <v>8000</v>
      </c>
      <c r="OQ125" s="661" t="s">
        <v>546</v>
      </c>
      <c r="OR125" s="224" t="e">
        <f ca="1">VLOOKUP($OP125,INDIRECT($ON125):INDIRECT($OO125),3,FALSE)</f>
        <v>#N/A</v>
      </c>
      <c r="OS125" s="224" t="e">
        <f ca="1">VLOOKUP($OP125,INDIRECT($ON125):INDIRECT($OO125),4,FALSE)</f>
        <v>#N/A</v>
      </c>
      <c r="OT125" s="224" t="e">
        <f ca="1">VLOOKUP($OP125,INDIRECT($ON125):INDIRECT($OO125),5,FALSE)</f>
        <v>#N/A</v>
      </c>
    </row>
    <row r="126" spans="2:410" x14ac:dyDescent="0.25">
      <c r="B126" s="175"/>
      <c r="F126" s="176"/>
      <c r="H126" s="176"/>
      <c r="JB126" s="175"/>
      <c r="JC126" s="175"/>
      <c r="JD126" s="175"/>
      <c r="JE126" s="175"/>
      <c r="JF126" s="175"/>
      <c r="JG126" s="175"/>
      <c r="JH126" s="175"/>
      <c r="JI126" s="175"/>
      <c r="JJ126" s="175"/>
      <c r="JK126" s="175"/>
      <c r="JL126" s="175"/>
      <c r="JM126" s="175"/>
      <c r="JN126" s="175"/>
      <c r="JO126" s="175"/>
      <c r="JP126" s="175"/>
      <c r="JQ126" s="175"/>
      <c r="JR126" s="175"/>
      <c r="JS126" s="175"/>
      <c r="JT126" s="175"/>
      <c r="JU126" s="175"/>
      <c r="JV126" s="175"/>
      <c r="JW126" s="175"/>
      <c r="JX126" s="175"/>
      <c r="JY126" s="175"/>
      <c r="ON126" s="660" t="s">
        <v>544</v>
      </c>
      <c r="OO126" s="661" t="s">
        <v>545</v>
      </c>
      <c r="OP126" s="224">
        <v>8001</v>
      </c>
      <c r="OQ126" s="224" t="s">
        <v>547</v>
      </c>
      <c r="OR126" s="224">
        <f ca="1">VLOOKUP($OP126,INDIRECT($ON126):INDIRECT($OO126),3,FALSE)</f>
        <v>170.82</v>
      </c>
      <c r="OS126" s="224">
        <f ca="1">VLOOKUP($OP126,INDIRECT($ON126):INDIRECT($OO126),4,FALSE)</f>
        <v>7.1174999999999997</v>
      </c>
      <c r="OT126" s="224">
        <f ca="1">VLOOKUP($OP126,INDIRECT($ON126):INDIRECT($OO126),5,FALSE)</f>
        <v>7.1174999999999997</v>
      </c>
    </row>
    <row r="127" spans="2:410" x14ac:dyDescent="0.25">
      <c r="B127" s="175"/>
      <c r="F127" s="176"/>
      <c r="H127" s="176"/>
      <c r="JB127" s="175"/>
      <c r="JC127" s="175"/>
      <c r="JD127" s="175"/>
      <c r="JE127" s="175"/>
      <c r="JF127" s="175"/>
      <c r="JG127" s="175"/>
      <c r="JH127" s="175"/>
      <c r="JI127" s="175"/>
      <c r="JJ127" s="175"/>
      <c r="JK127" s="175"/>
      <c r="JL127" s="175"/>
      <c r="JM127" s="175"/>
      <c r="JN127" s="175"/>
      <c r="JO127" s="175"/>
      <c r="JP127" s="175"/>
      <c r="JQ127" s="175"/>
      <c r="JR127" s="175"/>
      <c r="JS127" s="175"/>
      <c r="JT127" s="175"/>
      <c r="JU127" s="175"/>
      <c r="JV127" s="175"/>
      <c r="JW127" s="175"/>
      <c r="JX127" s="175"/>
      <c r="JY127" s="175"/>
      <c r="ON127" s="660" t="s">
        <v>544</v>
      </c>
      <c r="OO127" s="661" t="s">
        <v>545</v>
      </c>
      <c r="OP127" s="661">
        <v>8002</v>
      </c>
      <c r="OQ127" s="224" t="s">
        <v>548</v>
      </c>
      <c r="OR127" s="224">
        <f ca="1">VLOOKUP($OP127,INDIRECT($ON127):INDIRECT($OO127),3,FALSE)</f>
        <v>57.48</v>
      </c>
      <c r="OS127" s="224">
        <f ca="1">VLOOKUP($OP127,INDIRECT($ON127):INDIRECT($OO127),4,FALSE)</f>
        <v>2.395</v>
      </c>
      <c r="OT127" s="224">
        <f ca="1">VLOOKUP($OP127,INDIRECT($ON127):INDIRECT($OO127),5,FALSE)</f>
        <v>2.395</v>
      </c>
    </row>
    <row r="128" spans="2:410" x14ac:dyDescent="0.25">
      <c r="B128" s="175"/>
      <c r="F128" s="176"/>
      <c r="H128" s="176"/>
      <c r="JB128" s="175"/>
      <c r="JC128" s="175"/>
      <c r="JD128" s="175"/>
      <c r="JE128" s="175"/>
      <c r="JF128" s="175"/>
      <c r="JG128" s="175"/>
      <c r="JH128" s="175"/>
      <c r="JI128" s="175"/>
      <c r="JJ128" s="175"/>
      <c r="JK128" s="175"/>
      <c r="JL128" s="175"/>
      <c r="JM128" s="175"/>
      <c r="JN128" s="175"/>
      <c r="JO128" s="175"/>
      <c r="JP128" s="175"/>
      <c r="JQ128" s="175"/>
      <c r="JR128" s="175"/>
      <c r="JS128" s="175"/>
      <c r="JT128" s="175"/>
      <c r="JU128" s="175"/>
      <c r="JV128" s="175"/>
      <c r="JW128" s="175"/>
      <c r="JX128" s="175"/>
      <c r="JY128" s="175"/>
      <c r="ON128" s="660" t="s">
        <v>544</v>
      </c>
      <c r="OO128" s="661" t="s">
        <v>545</v>
      </c>
      <c r="OP128" s="224">
        <v>8003</v>
      </c>
      <c r="OQ128" s="224" t="s">
        <v>549</v>
      </c>
      <c r="OR128" s="224">
        <f ca="1">VLOOKUP($OP128,INDIRECT($ON128):INDIRECT($OO128),3,FALSE)</f>
        <v>277.38</v>
      </c>
      <c r="OS128" s="224">
        <f ca="1">VLOOKUP($OP128,INDIRECT($ON128):INDIRECT($OO128),4,FALSE)</f>
        <v>9.4</v>
      </c>
      <c r="OT128" s="224">
        <f ca="1">VLOOKUP($OP128,INDIRECT($ON128):INDIRECT($OO128),5,FALSE)</f>
        <v>9.4</v>
      </c>
    </row>
    <row r="129" spans="2:410" x14ac:dyDescent="0.25">
      <c r="B129" s="175"/>
      <c r="F129" s="176"/>
      <c r="JB129" s="175"/>
      <c r="JC129" s="175"/>
      <c r="JD129" s="175"/>
      <c r="JE129" s="175"/>
      <c r="JF129" s="175"/>
      <c r="JG129" s="175"/>
      <c r="JH129" s="175"/>
      <c r="JI129" s="175"/>
      <c r="JJ129" s="175"/>
      <c r="JK129" s="175"/>
      <c r="JL129" s="175"/>
      <c r="JM129" s="175"/>
      <c r="JN129" s="175"/>
      <c r="JO129" s="175"/>
      <c r="JP129" s="175"/>
      <c r="JQ129" s="175"/>
      <c r="JR129" s="175"/>
      <c r="JS129" s="175"/>
      <c r="JT129" s="175"/>
      <c r="JU129" s="175"/>
      <c r="JV129" s="175"/>
      <c r="JW129" s="175"/>
      <c r="JX129" s="175"/>
      <c r="JY129" s="175"/>
      <c r="ON129" s="660" t="s">
        <v>544</v>
      </c>
      <c r="OO129" s="661" t="s">
        <v>545</v>
      </c>
      <c r="OP129" s="661">
        <v>8004</v>
      </c>
      <c r="OQ129" s="224" t="s">
        <v>550</v>
      </c>
      <c r="OR129" s="224">
        <f ca="1">VLOOKUP($OP129,INDIRECT($ON129):INDIRECT($OO129),3,FALSE)</f>
        <v>21.475000000000001</v>
      </c>
      <c r="OS129" s="224">
        <f ca="1">VLOOKUP($OP129,INDIRECT($ON129):INDIRECT($OO129),4,FALSE)</f>
        <v>0.89479166666666676</v>
      </c>
      <c r="OT129" s="224">
        <f ca="1">VLOOKUP($OP129,INDIRECT($ON129):INDIRECT($OO129),5,FALSE)</f>
        <v>0.89479166666666676</v>
      </c>
    </row>
    <row r="130" spans="2:410" x14ac:dyDescent="0.25">
      <c r="B130" s="175"/>
      <c r="F130" s="176"/>
      <c r="JB130" s="175"/>
      <c r="JC130" s="175"/>
      <c r="JD130" s="175"/>
      <c r="JE130" s="175"/>
      <c r="JF130" s="175"/>
      <c r="JG130" s="175"/>
      <c r="JH130" s="175"/>
      <c r="JI130" s="175"/>
      <c r="JJ130" s="175"/>
      <c r="JK130" s="175"/>
      <c r="JL130" s="175"/>
      <c r="JM130" s="175"/>
      <c r="JN130" s="175"/>
      <c r="JO130" s="175"/>
      <c r="JP130" s="175"/>
      <c r="JQ130" s="175"/>
      <c r="JR130" s="175"/>
      <c r="JS130" s="175"/>
      <c r="JT130" s="175"/>
      <c r="JU130" s="175"/>
      <c r="JV130" s="175"/>
      <c r="JW130" s="175"/>
      <c r="JX130" s="175"/>
      <c r="JY130" s="175"/>
      <c r="ON130" s="660" t="s">
        <v>544</v>
      </c>
      <c r="OO130" s="661" t="s">
        <v>545</v>
      </c>
      <c r="OP130" s="224">
        <v>8005</v>
      </c>
      <c r="OQ130" s="224" t="s">
        <v>551</v>
      </c>
      <c r="OR130" s="224">
        <f ca="1">VLOOKUP($OP130,INDIRECT($ON130):INDIRECT($OO130),3,FALSE)</f>
        <v>0</v>
      </c>
      <c r="OS130" s="224">
        <f ca="1">VLOOKUP($OP130,INDIRECT($ON130):INDIRECT($OO130),4,FALSE)</f>
        <v>0</v>
      </c>
      <c r="OT130" s="224">
        <f ca="1">VLOOKUP($OP130,INDIRECT($ON130):INDIRECT($OO130),5,FALSE)</f>
        <v>0</v>
      </c>
    </row>
    <row r="131" spans="2:410" x14ac:dyDescent="0.25">
      <c r="B131" s="175"/>
      <c r="F131" s="176"/>
      <c r="H131" s="176"/>
      <c r="JB131" s="175"/>
      <c r="JC131" s="175"/>
      <c r="JD131" s="175"/>
      <c r="JE131" s="175"/>
      <c r="JF131" s="175"/>
      <c r="JG131" s="175"/>
      <c r="JH131" s="175"/>
      <c r="JI131" s="175"/>
      <c r="JJ131" s="175"/>
      <c r="JK131" s="175"/>
      <c r="JL131" s="175"/>
      <c r="JM131" s="175"/>
      <c r="JN131" s="175"/>
      <c r="JO131" s="175"/>
      <c r="JP131" s="175"/>
      <c r="JQ131" s="175"/>
      <c r="JR131" s="175"/>
      <c r="JS131" s="175"/>
      <c r="JT131" s="175"/>
      <c r="JU131" s="175"/>
      <c r="JV131" s="175"/>
      <c r="JW131" s="175"/>
      <c r="JX131" s="175"/>
      <c r="JY131" s="175"/>
      <c r="ON131" s="660" t="s">
        <v>544</v>
      </c>
      <c r="OO131" s="661" t="s">
        <v>545</v>
      </c>
      <c r="OP131" s="661">
        <v>8006</v>
      </c>
      <c r="OQ131" s="224" t="s">
        <v>552</v>
      </c>
      <c r="OR131" s="224">
        <f ca="1">VLOOKUP($OP131,INDIRECT($ON131):INDIRECT($OO131),3,FALSE)</f>
        <v>0</v>
      </c>
      <c r="OS131" s="224">
        <f ca="1">VLOOKUP($OP131,INDIRECT($ON131):INDIRECT($OO131),4,FALSE)</f>
        <v>0</v>
      </c>
      <c r="OT131" s="224">
        <f ca="1">VLOOKUP($OP131,INDIRECT($ON131):INDIRECT($OO131),5,FALSE)</f>
        <v>0</v>
      </c>
    </row>
    <row r="132" spans="2:410" x14ac:dyDescent="0.25">
      <c r="B132" s="175"/>
      <c r="H132" s="176"/>
      <c r="JB132" s="175"/>
      <c r="JC132" s="175"/>
      <c r="JD132" s="175"/>
      <c r="JE132" s="175"/>
      <c r="JF132" s="175"/>
      <c r="JG132" s="175"/>
      <c r="JH132" s="175"/>
      <c r="JI132" s="175"/>
      <c r="JJ132" s="175"/>
      <c r="JK132" s="175"/>
      <c r="JL132" s="175"/>
      <c r="JM132" s="175"/>
      <c r="JN132" s="175"/>
      <c r="JO132" s="175"/>
      <c r="JP132" s="175"/>
      <c r="JQ132" s="175"/>
      <c r="JR132" s="175"/>
      <c r="JS132" s="175"/>
      <c r="JT132" s="175"/>
      <c r="JU132" s="175"/>
      <c r="JV132" s="175"/>
      <c r="JW132" s="175"/>
      <c r="JX132" s="175"/>
      <c r="JY132" s="175"/>
      <c r="ON132" s="660" t="s">
        <v>544</v>
      </c>
      <c r="OO132" s="661" t="s">
        <v>545</v>
      </c>
      <c r="OP132" s="224">
        <v>8007</v>
      </c>
      <c r="OQ132" s="224" t="s">
        <v>553</v>
      </c>
      <c r="OR132" s="224">
        <f ca="1">VLOOKUP($OP132,INDIRECT($ON132):INDIRECT($OO132),3,FALSE)</f>
        <v>0</v>
      </c>
      <c r="OS132" s="224">
        <f ca="1">VLOOKUP($OP132,INDIRECT($ON132):INDIRECT($OO132),4,FALSE)</f>
        <v>0</v>
      </c>
      <c r="OT132" s="224">
        <f ca="1">VLOOKUP($OP132,INDIRECT($ON132):INDIRECT($OO132),5,FALSE)</f>
        <v>0</v>
      </c>
    </row>
    <row r="133" spans="2:410" x14ac:dyDescent="0.25">
      <c r="B133" s="175"/>
      <c r="H133" s="176"/>
      <c r="JB133" s="175"/>
      <c r="JC133" s="175"/>
      <c r="JD133" s="175"/>
      <c r="JE133" s="175"/>
      <c r="JF133" s="175"/>
      <c r="JG133" s="175"/>
      <c r="JH133" s="175"/>
      <c r="JI133" s="175"/>
      <c r="JJ133" s="175"/>
      <c r="JK133" s="175"/>
      <c r="JL133" s="175"/>
      <c r="JM133" s="175"/>
      <c r="JN133" s="175"/>
      <c r="JO133" s="175"/>
      <c r="JP133" s="175"/>
      <c r="JQ133" s="175"/>
      <c r="JR133" s="175"/>
      <c r="JS133" s="175"/>
      <c r="JT133" s="175"/>
      <c r="JU133" s="175"/>
      <c r="JV133" s="175"/>
      <c r="JW133" s="175"/>
      <c r="JX133" s="175"/>
      <c r="JY133" s="175"/>
      <c r="ON133" s="660" t="s">
        <v>544</v>
      </c>
      <c r="OO133" s="661" t="s">
        <v>545</v>
      </c>
      <c r="OP133" s="661">
        <v>8008</v>
      </c>
      <c r="OQ133" s="224" t="s">
        <v>554</v>
      </c>
      <c r="OR133" s="224">
        <f ca="1">VLOOKUP($OP133,INDIRECT($ON133):INDIRECT($OO133),3,FALSE)</f>
        <v>57.383000000000003</v>
      </c>
      <c r="OS133" s="224">
        <f ca="1">VLOOKUP($OP133,INDIRECT($ON133):INDIRECT($OO133),4,FALSE)</f>
        <v>2.3909583333333333</v>
      </c>
      <c r="OT133" s="224">
        <f ca="1">VLOOKUP($OP133,INDIRECT($ON133):INDIRECT($OO133),5,FALSE)</f>
        <v>2.3909583333333333</v>
      </c>
    </row>
    <row r="134" spans="2:410" x14ac:dyDescent="0.25">
      <c r="B134" s="175"/>
      <c r="H134" s="176"/>
      <c r="JB134" s="175"/>
      <c r="JC134" s="175"/>
      <c r="JD134" s="175"/>
      <c r="JE134" s="175"/>
      <c r="JF134" s="175"/>
      <c r="JG134" s="175"/>
      <c r="JH134" s="175"/>
      <c r="JI134" s="175"/>
      <c r="JJ134" s="175"/>
      <c r="JK134" s="175"/>
      <c r="JL134" s="175"/>
      <c r="JM134" s="175"/>
      <c r="JN134" s="175"/>
      <c r="JO134" s="175"/>
      <c r="JP134" s="175"/>
      <c r="JQ134" s="175"/>
      <c r="JR134" s="175"/>
      <c r="JS134" s="175"/>
      <c r="JT134" s="175"/>
      <c r="JU134" s="175"/>
      <c r="JV134" s="175"/>
      <c r="JW134" s="175"/>
      <c r="JX134" s="175"/>
      <c r="JY134" s="175"/>
      <c r="ON134" s="660" t="s">
        <v>544</v>
      </c>
      <c r="OO134" s="661" t="s">
        <v>545</v>
      </c>
      <c r="OP134" s="224">
        <v>8009</v>
      </c>
      <c r="OQ134" s="224" t="s">
        <v>555</v>
      </c>
      <c r="OR134" s="224">
        <f ca="1">VLOOKUP($OP134,INDIRECT($ON134):INDIRECT($OO134),3,FALSE)</f>
        <v>0</v>
      </c>
      <c r="OS134" s="224">
        <f ca="1">VLOOKUP($OP134,INDIRECT($ON134):INDIRECT($OO134),4,FALSE)</f>
        <v>0</v>
      </c>
      <c r="OT134" s="224">
        <f ca="1">VLOOKUP($OP134,INDIRECT($ON134):INDIRECT($OO134),5,FALSE)</f>
        <v>0</v>
      </c>
    </row>
    <row r="135" spans="2:410" x14ac:dyDescent="0.25">
      <c r="B135" s="175"/>
      <c r="H135" s="176"/>
      <c r="JB135" s="175"/>
      <c r="JC135" s="175"/>
      <c r="JD135" s="175"/>
      <c r="JE135" s="175"/>
      <c r="JF135" s="175"/>
      <c r="JG135" s="175"/>
      <c r="JH135" s="175"/>
      <c r="JI135" s="175"/>
      <c r="JJ135" s="175"/>
      <c r="JK135" s="175"/>
      <c r="JL135" s="175"/>
      <c r="JM135" s="175"/>
      <c r="JN135" s="175"/>
      <c r="JO135" s="175"/>
      <c r="JP135" s="175"/>
      <c r="JQ135" s="175"/>
      <c r="JR135" s="175"/>
      <c r="JS135" s="175"/>
      <c r="JT135" s="175"/>
      <c r="JU135" s="175"/>
      <c r="JV135" s="175"/>
      <c r="JW135" s="175"/>
      <c r="JX135" s="175"/>
      <c r="JY135" s="175"/>
      <c r="ON135" s="660" t="s">
        <v>544</v>
      </c>
      <c r="OO135" s="661" t="s">
        <v>545</v>
      </c>
      <c r="OP135" s="661">
        <v>8010</v>
      </c>
      <c r="OQ135" s="224" t="s">
        <v>556</v>
      </c>
      <c r="OR135" s="224">
        <f ca="1">VLOOKUP($OP135,INDIRECT($ON135):INDIRECT($OO135),3,FALSE)</f>
        <v>0</v>
      </c>
      <c r="OS135" s="224">
        <f ca="1">VLOOKUP($OP135,INDIRECT($ON135):INDIRECT($OO135),4,FALSE)</f>
        <v>0</v>
      </c>
      <c r="OT135" s="224">
        <f ca="1">VLOOKUP($OP135,INDIRECT($ON135):INDIRECT($OO135),5,FALSE)</f>
        <v>0</v>
      </c>
    </row>
    <row r="136" spans="2:410" x14ac:dyDescent="0.25">
      <c r="B136" s="175"/>
      <c r="H136" s="176"/>
      <c r="JB136" s="175"/>
      <c r="JC136" s="175"/>
      <c r="JD136" s="175"/>
      <c r="JE136" s="175"/>
      <c r="JF136" s="175"/>
      <c r="JG136" s="175"/>
      <c r="JH136" s="175"/>
      <c r="JI136" s="175"/>
      <c r="JJ136" s="175"/>
      <c r="JK136" s="175"/>
      <c r="JL136" s="175"/>
      <c r="JM136" s="175"/>
      <c r="JN136" s="175"/>
      <c r="JO136" s="175"/>
      <c r="JP136" s="175"/>
      <c r="JQ136" s="175"/>
      <c r="JR136" s="175"/>
      <c r="JS136" s="175"/>
      <c r="JT136" s="175"/>
      <c r="JU136" s="175"/>
      <c r="JV136" s="175"/>
      <c r="JW136" s="175"/>
      <c r="JX136" s="175"/>
      <c r="JY136" s="175"/>
      <c r="ON136" s="660" t="s">
        <v>544</v>
      </c>
      <c r="OO136" s="661" t="s">
        <v>545</v>
      </c>
      <c r="OP136" s="224">
        <v>8011</v>
      </c>
      <c r="OQ136" s="224" t="s">
        <v>557</v>
      </c>
      <c r="OR136" s="224">
        <f ca="1">VLOOKUP($OP136,INDIRECT($ON136):INDIRECT($OO136),3,FALSE)</f>
        <v>0</v>
      </c>
      <c r="OS136" s="224">
        <f ca="1">VLOOKUP($OP136,INDIRECT($ON136):INDIRECT($OO136),4,FALSE)</f>
        <v>0</v>
      </c>
      <c r="OT136" s="224">
        <f ca="1">VLOOKUP($OP136,INDIRECT($ON136):INDIRECT($OO136),5,FALSE)</f>
        <v>0</v>
      </c>
    </row>
    <row r="137" spans="2:410" x14ac:dyDescent="0.25">
      <c r="B137" s="175"/>
      <c r="H137" s="176"/>
      <c r="JB137" s="175"/>
      <c r="JC137" s="175"/>
      <c r="JD137" s="175"/>
      <c r="JE137" s="175"/>
      <c r="JF137" s="175"/>
      <c r="JG137" s="175"/>
      <c r="JH137" s="175"/>
      <c r="JI137" s="175"/>
      <c r="JJ137" s="175"/>
      <c r="JK137" s="175"/>
      <c r="JL137" s="175"/>
      <c r="JM137" s="175"/>
      <c r="JN137" s="175"/>
      <c r="JO137" s="175"/>
      <c r="JP137" s="175"/>
      <c r="JQ137" s="175"/>
      <c r="JR137" s="175"/>
      <c r="JS137" s="175"/>
      <c r="JT137" s="175"/>
      <c r="JU137" s="175"/>
      <c r="JV137" s="175"/>
      <c r="JW137" s="175"/>
      <c r="JX137" s="175"/>
      <c r="JY137" s="175"/>
      <c r="ON137" s="660" t="s">
        <v>544</v>
      </c>
      <c r="OO137" s="661" t="s">
        <v>545</v>
      </c>
      <c r="OP137" s="661">
        <v>8012</v>
      </c>
      <c r="OQ137" s="224" t="s">
        <v>558</v>
      </c>
      <c r="OR137" s="224">
        <f ca="1">VLOOKUP($OP137,INDIRECT($ON137):INDIRECT($OO137),3,FALSE)</f>
        <v>30.35</v>
      </c>
      <c r="OS137" s="224">
        <f ca="1">VLOOKUP($OP137,INDIRECT($ON137):INDIRECT($OO137),4,FALSE)</f>
        <v>1.2645833333333334</v>
      </c>
      <c r="OT137" s="224">
        <f ca="1">VLOOKUP($OP137,INDIRECT($ON137):INDIRECT($OO137),5,FALSE)</f>
        <v>1.2645833333333334</v>
      </c>
    </row>
    <row r="138" spans="2:410" x14ac:dyDescent="0.25">
      <c r="B138" s="175"/>
      <c r="H138" s="176"/>
      <c r="JB138" s="175"/>
      <c r="JC138" s="175"/>
      <c r="JD138" s="175"/>
      <c r="JE138" s="175"/>
      <c r="JF138" s="175"/>
      <c r="JG138" s="175"/>
      <c r="JH138" s="175"/>
      <c r="JI138" s="175"/>
      <c r="JJ138" s="175"/>
      <c r="JK138" s="175"/>
      <c r="JL138" s="175"/>
      <c r="JM138" s="175"/>
      <c r="JN138" s="175"/>
      <c r="JO138" s="175"/>
      <c r="JP138" s="175"/>
      <c r="JQ138" s="175"/>
      <c r="JR138" s="175"/>
      <c r="JS138" s="175"/>
      <c r="JT138" s="175"/>
      <c r="JU138" s="175"/>
      <c r="JV138" s="175"/>
      <c r="JW138" s="175"/>
      <c r="JX138" s="175"/>
      <c r="JY138" s="175"/>
      <c r="ON138" s="660" t="s">
        <v>544</v>
      </c>
      <c r="OO138" s="661" t="s">
        <v>545</v>
      </c>
      <c r="OP138" s="224">
        <v>8013</v>
      </c>
      <c r="OQ138" s="224" t="s">
        <v>559</v>
      </c>
      <c r="OR138" s="224">
        <f ca="1">VLOOKUP($OP138,INDIRECT($ON138):INDIRECT($OO138),3,FALSE)</f>
        <v>0</v>
      </c>
      <c r="OS138" s="224">
        <f ca="1">VLOOKUP($OP138,INDIRECT($ON138):INDIRECT($OO138),4,FALSE)</f>
        <v>0</v>
      </c>
      <c r="OT138" s="224">
        <f ca="1">VLOOKUP($OP138,INDIRECT($ON138):INDIRECT($OO138),5,FALSE)</f>
        <v>0</v>
      </c>
    </row>
    <row r="139" spans="2:410" x14ac:dyDescent="0.25">
      <c r="B139" s="175"/>
      <c r="JB139" s="175"/>
      <c r="JC139" s="175"/>
      <c r="JD139" s="175"/>
      <c r="JE139" s="175"/>
      <c r="JF139" s="175"/>
      <c r="JG139" s="175"/>
      <c r="JH139" s="175"/>
      <c r="JI139" s="175"/>
      <c r="JJ139" s="175"/>
      <c r="JK139" s="175"/>
      <c r="JL139" s="175"/>
      <c r="JM139" s="175"/>
      <c r="JN139" s="175"/>
      <c r="JO139" s="175"/>
      <c r="JP139" s="175"/>
      <c r="JQ139" s="175"/>
      <c r="JR139" s="175"/>
      <c r="JS139" s="175"/>
      <c r="JT139" s="175"/>
      <c r="JU139" s="175"/>
      <c r="JV139" s="175"/>
      <c r="JW139" s="175"/>
      <c r="JX139" s="175"/>
      <c r="JY139" s="175"/>
      <c r="ON139" s="660" t="s">
        <v>544</v>
      </c>
      <c r="OO139" s="661" t="s">
        <v>545</v>
      </c>
      <c r="OP139" s="661">
        <v>8014</v>
      </c>
      <c r="OQ139" s="224" t="s">
        <v>560</v>
      </c>
      <c r="OR139" s="224">
        <f ca="1">VLOOKUP($OP139,INDIRECT($ON139):INDIRECT($OO139),3,FALSE)</f>
        <v>15.945</v>
      </c>
      <c r="OS139" s="224">
        <f ca="1">VLOOKUP($OP139,INDIRECT($ON139):INDIRECT($OO139),4,FALSE)</f>
        <v>0.66437500000000005</v>
      </c>
      <c r="OT139" s="224">
        <f ca="1">VLOOKUP($OP139,INDIRECT($ON139):INDIRECT($OO139),5,FALSE)</f>
        <v>0.66437500000000005</v>
      </c>
    </row>
    <row r="140" spans="2:410" x14ac:dyDescent="0.25">
      <c r="B140" s="175"/>
      <c r="JB140" s="175"/>
      <c r="JC140" s="175"/>
      <c r="JD140" s="175"/>
      <c r="JE140" s="175"/>
      <c r="JF140" s="175"/>
      <c r="JG140" s="175"/>
      <c r="JH140" s="175"/>
      <c r="JI140" s="175"/>
      <c r="JJ140" s="175"/>
      <c r="JK140" s="175"/>
      <c r="JL140" s="175"/>
      <c r="JM140" s="175"/>
      <c r="JN140" s="175"/>
      <c r="JO140" s="175"/>
      <c r="JP140" s="175"/>
      <c r="JQ140" s="175"/>
      <c r="JR140" s="175"/>
      <c r="JS140" s="175"/>
      <c r="JT140" s="175"/>
      <c r="JU140" s="175"/>
      <c r="JV140" s="175"/>
      <c r="JW140" s="175"/>
      <c r="JX140" s="175"/>
      <c r="JY140" s="175"/>
      <c r="ON140" s="660" t="s">
        <v>544</v>
      </c>
      <c r="OO140" s="661" t="s">
        <v>545</v>
      </c>
      <c r="OP140" s="224">
        <v>8015</v>
      </c>
      <c r="OQ140" s="224" t="s">
        <v>561</v>
      </c>
      <c r="OR140" s="224">
        <f ca="1">VLOOKUP($OP140,INDIRECT($ON140):INDIRECT($OO140),3,FALSE)</f>
        <v>0</v>
      </c>
      <c r="OS140" s="224">
        <f ca="1">VLOOKUP($OP140,INDIRECT($ON140):INDIRECT($OO140),4,FALSE)</f>
        <v>0</v>
      </c>
      <c r="OT140" s="224">
        <f ca="1">VLOOKUP($OP140,INDIRECT($ON140):INDIRECT($OO140),5,FALSE)</f>
        <v>0</v>
      </c>
    </row>
    <row r="141" spans="2:410" x14ac:dyDescent="0.25">
      <c r="B141" s="175"/>
      <c r="JB141" s="175"/>
      <c r="JC141" s="175"/>
      <c r="JD141" s="175"/>
      <c r="JE141" s="175"/>
      <c r="JF141" s="175"/>
      <c r="JG141" s="175"/>
      <c r="JH141" s="175"/>
      <c r="JI141" s="175"/>
      <c r="JJ141" s="175"/>
      <c r="JK141" s="175"/>
      <c r="JL141" s="175"/>
      <c r="JM141" s="175"/>
      <c r="JN141" s="175"/>
      <c r="JO141" s="175"/>
      <c r="JP141" s="175"/>
      <c r="JQ141" s="175"/>
      <c r="JR141" s="175"/>
      <c r="JS141" s="175"/>
      <c r="JT141" s="175"/>
      <c r="JU141" s="175"/>
      <c r="JV141" s="175"/>
      <c r="JW141" s="175"/>
      <c r="JX141" s="175"/>
      <c r="JY141" s="175"/>
      <c r="ON141" s="660" t="s">
        <v>544</v>
      </c>
      <c r="OO141" s="661" t="s">
        <v>545</v>
      </c>
      <c r="OP141" s="661">
        <v>8016</v>
      </c>
      <c r="OQ141" s="224" t="s">
        <v>562</v>
      </c>
      <c r="OR141" s="224">
        <f ca="1">VLOOKUP($OP141,INDIRECT($ON141):INDIRECT($OO141),3,FALSE)</f>
        <v>17.190000000000001</v>
      </c>
      <c r="OS141" s="224">
        <f ca="1">VLOOKUP($OP141,INDIRECT($ON141):INDIRECT($OO141),4,FALSE)</f>
        <v>0.71625000000000005</v>
      </c>
      <c r="OT141" s="224">
        <f ca="1">VLOOKUP($OP141,INDIRECT($ON141):INDIRECT($OO141),5,FALSE)</f>
        <v>0.71625000000000005</v>
      </c>
    </row>
    <row r="142" spans="2:410" x14ac:dyDescent="0.25">
      <c r="B142" s="175"/>
      <c r="JB142" s="175"/>
      <c r="JC142" s="175"/>
      <c r="JD142" s="175"/>
      <c r="JE142" s="175"/>
      <c r="JF142" s="175"/>
      <c r="JG142" s="175"/>
      <c r="JH142" s="175"/>
      <c r="JI142" s="175"/>
      <c r="JJ142" s="175"/>
      <c r="JK142" s="175"/>
      <c r="JL142" s="175"/>
      <c r="JM142" s="175"/>
      <c r="JN142" s="175"/>
      <c r="JO142" s="175"/>
      <c r="JP142" s="175"/>
      <c r="JQ142" s="175"/>
      <c r="JR142" s="175"/>
      <c r="JS142" s="175"/>
      <c r="JT142" s="175"/>
      <c r="JU142" s="175"/>
      <c r="JV142" s="175"/>
      <c r="JW142" s="175"/>
      <c r="JX142" s="175"/>
      <c r="JY142" s="175"/>
      <c r="ON142" s="660" t="s">
        <v>544</v>
      </c>
      <c r="OO142" s="661" t="s">
        <v>545</v>
      </c>
      <c r="OP142" s="224">
        <v>8017</v>
      </c>
      <c r="OQ142" s="224" t="s">
        <v>563</v>
      </c>
      <c r="OR142" s="224">
        <f ca="1">VLOOKUP($OP142,INDIRECT($ON142):INDIRECT($OO142),3,FALSE)</f>
        <v>0</v>
      </c>
      <c r="OS142" s="224">
        <f ca="1">VLOOKUP($OP142,INDIRECT($ON142):INDIRECT($OO142),4,FALSE)</f>
        <v>0</v>
      </c>
      <c r="OT142" s="224">
        <f ca="1">VLOOKUP($OP142,INDIRECT($ON142):INDIRECT($OO142),5,FALSE)</f>
        <v>0</v>
      </c>
    </row>
    <row r="143" spans="2:410" x14ac:dyDescent="0.25">
      <c r="B143" s="175"/>
      <c r="JB143" s="175"/>
      <c r="JC143" s="175"/>
      <c r="JD143" s="175"/>
      <c r="JE143" s="175"/>
      <c r="JF143" s="175"/>
      <c r="JG143" s="175"/>
      <c r="JH143" s="175"/>
      <c r="JI143" s="175"/>
      <c r="JJ143" s="175"/>
      <c r="JK143" s="175"/>
      <c r="JL143" s="175"/>
      <c r="JM143" s="175"/>
      <c r="JN143" s="175"/>
      <c r="JO143" s="175"/>
      <c r="JP143" s="175"/>
      <c r="JQ143" s="175"/>
      <c r="JR143" s="175"/>
      <c r="JS143" s="175"/>
      <c r="JT143" s="175"/>
      <c r="JU143" s="175"/>
      <c r="JV143" s="175"/>
      <c r="JW143" s="175"/>
      <c r="JX143" s="175"/>
      <c r="JY143" s="175"/>
      <c r="ON143" s="660" t="s">
        <v>544</v>
      </c>
      <c r="OO143" s="661" t="s">
        <v>545</v>
      </c>
      <c r="OP143" s="661">
        <v>8018</v>
      </c>
      <c r="OQ143" s="224" t="s">
        <v>564</v>
      </c>
      <c r="OR143" s="224">
        <f ca="1">VLOOKUP($OP143,INDIRECT($ON143):INDIRECT($OO143),3,FALSE)</f>
        <v>16.190000000000001</v>
      </c>
      <c r="OS143" s="224">
        <f ca="1">VLOOKUP($OP143,INDIRECT($ON143):INDIRECT($OO143),4,FALSE)</f>
        <v>0.67458333333333342</v>
      </c>
      <c r="OT143" s="224">
        <f ca="1">VLOOKUP($OP143,INDIRECT($ON143):INDIRECT($OO143),5,FALSE)</f>
        <v>0.67458333333333342</v>
      </c>
    </row>
    <row r="144" spans="2:410" x14ac:dyDescent="0.25">
      <c r="B144" s="175"/>
      <c r="JB144" s="175"/>
      <c r="JC144" s="175"/>
      <c r="JD144" s="175"/>
      <c r="JE144" s="175"/>
      <c r="JF144" s="175"/>
      <c r="JG144" s="175"/>
      <c r="JH144" s="175"/>
      <c r="JI144" s="175"/>
      <c r="JJ144" s="175"/>
      <c r="JK144" s="175"/>
      <c r="JL144" s="175"/>
      <c r="JM144" s="175"/>
      <c r="JN144" s="175"/>
      <c r="JO144" s="175"/>
      <c r="JP144" s="175"/>
      <c r="JQ144" s="175"/>
      <c r="JR144" s="175"/>
      <c r="JS144" s="175"/>
      <c r="JT144" s="175"/>
      <c r="JU144" s="175"/>
      <c r="JV144" s="175"/>
      <c r="JW144" s="175"/>
      <c r="JX144" s="175"/>
      <c r="JY144" s="175"/>
      <c r="ON144" s="660" t="s">
        <v>544</v>
      </c>
      <c r="OO144" s="661" t="s">
        <v>545</v>
      </c>
      <c r="OP144" s="224">
        <v>8019</v>
      </c>
      <c r="OQ144" s="224" t="s">
        <v>565</v>
      </c>
      <c r="OR144" s="224">
        <f ca="1">VLOOKUP($OP144,INDIRECT($ON144):INDIRECT($OO144),3,FALSE)</f>
        <v>54</v>
      </c>
      <c r="OS144" s="224">
        <f ca="1">VLOOKUP($OP144,INDIRECT($ON144):INDIRECT($OO144),4,FALSE)</f>
        <v>2.25</v>
      </c>
      <c r="OT144" s="224">
        <f ca="1">VLOOKUP($OP144,INDIRECT($ON144):INDIRECT($OO144),5,FALSE)</f>
        <v>2.25</v>
      </c>
    </row>
    <row r="145" spans="2:410" ht="14.45" customHeight="1" x14ac:dyDescent="0.25">
      <c r="B145" s="175"/>
      <c r="ES145" s="175"/>
      <c r="JB145" s="175"/>
      <c r="JC145" s="175"/>
      <c r="JD145" s="175"/>
      <c r="JE145" s="175"/>
      <c r="JF145" s="175"/>
      <c r="JG145" s="175"/>
      <c r="JH145" s="175"/>
      <c r="JI145" s="175"/>
      <c r="JJ145" s="175"/>
      <c r="JK145" s="175"/>
      <c r="JL145" s="175"/>
      <c r="JM145" s="175"/>
      <c r="JN145" s="175"/>
      <c r="JO145" s="175"/>
      <c r="JP145" s="175"/>
      <c r="JQ145" s="175"/>
      <c r="JR145" s="175"/>
      <c r="JS145" s="175"/>
      <c r="JT145" s="175"/>
      <c r="JU145" s="175"/>
      <c r="JV145" s="175"/>
      <c r="JW145" s="175"/>
      <c r="JX145" s="175"/>
      <c r="JY145" s="175"/>
      <c r="ON145" s="660" t="s">
        <v>544</v>
      </c>
      <c r="OO145" s="661" t="s">
        <v>545</v>
      </c>
      <c r="OP145" s="661">
        <v>8020</v>
      </c>
      <c r="OQ145" s="224" t="s">
        <v>566</v>
      </c>
      <c r="OR145" s="224">
        <f ca="1">VLOOKUP($OP145,INDIRECT($ON145):INDIRECT($OO145),3,FALSE)</f>
        <v>4.2469999999999999</v>
      </c>
      <c r="OS145" s="224">
        <f ca="1">VLOOKUP($OP145,INDIRECT($ON145):INDIRECT($OO145),4,FALSE)</f>
        <v>0.17695833333333333</v>
      </c>
      <c r="OT145" s="224">
        <f ca="1">VLOOKUP($OP145,INDIRECT($ON145):INDIRECT($OO145),5,FALSE)</f>
        <v>0.17695833333333333</v>
      </c>
    </row>
    <row r="146" spans="2:410" ht="14.45" customHeight="1" x14ac:dyDescent="0.25">
      <c r="B146" s="175"/>
      <c r="ES146" s="175"/>
      <c r="JB146" s="175"/>
      <c r="JC146" s="175"/>
      <c r="JD146" s="175"/>
      <c r="JE146" s="175"/>
      <c r="JF146" s="175"/>
      <c r="JG146" s="175"/>
      <c r="JH146" s="175"/>
      <c r="JI146" s="175"/>
      <c r="JJ146" s="175"/>
      <c r="JK146" s="175"/>
      <c r="JL146" s="175"/>
      <c r="JM146" s="175"/>
      <c r="JN146" s="175"/>
      <c r="JO146" s="175"/>
      <c r="JP146" s="175"/>
      <c r="JQ146" s="175"/>
      <c r="JR146" s="175"/>
      <c r="JS146" s="175"/>
      <c r="JT146" s="175"/>
      <c r="JU146" s="175"/>
      <c r="JV146" s="175"/>
      <c r="JW146" s="175"/>
      <c r="JX146" s="175"/>
      <c r="JY146" s="175"/>
      <c r="ON146" s="660" t="s">
        <v>544</v>
      </c>
      <c r="OO146" s="661" t="s">
        <v>545</v>
      </c>
      <c r="OP146" s="224">
        <v>8021</v>
      </c>
      <c r="OQ146" s="224" t="s">
        <v>567</v>
      </c>
      <c r="OR146" s="224">
        <f ca="1">VLOOKUP($OP146,INDIRECT($ON146):INDIRECT($OO146),3,FALSE)</f>
        <v>0</v>
      </c>
      <c r="OS146" s="224">
        <f ca="1">VLOOKUP($OP146,INDIRECT($ON146):INDIRECT($OO146),4,FALSE)</f>
        <v>0</v>
      </c>
      <c r="OT146" s="224">
        <f ca="1">VLOOKUP($OP146,INDIRECT($ON146):INDIRECT($OO146),5,FALSE)</f>
        <v>0</v>
      </c>
    </row>
    <row r="147" spans="2:410" ht="14.45" customHeight="1" x14ac:dyDescent="0.25">
      <c r="B147" s="175"/>
      <c r="ES147" s="175"/>
      <c r="JB147" s="175"/>
      <c r="JC147" s="175"/>
      <c r="JD147" s="175"/>
      <c r="JE147" s="175"/>
      <c r="JF147" s="175"/>
      <c r="JG147" s="175"/>
      <c r="JH147" s="175"/>
      <c r="JI147" s="175"/>
      <c r="JJ147" s="175"/>
      <c r="JK147" s="175"/>
      <c r="JL147" s="175"/>
      <c r="JM147" s="175"/>
      <c r="JN147" s="175"/>
      <c r="JO147" s="175"/>
      <c r="JP147" s="175"/>
      <c r="JQ147" s="175"/>
      <c r="JR147" s="175"/>
      <c r="JS147" s="175"/>
      <c r="JT147" s="175"/>
      <c r="JU147" s="175"/>
      <c r="JV147" s="175"/>
      <c r="JW147" s="175"/>
      <c r="JX147" s="175"/>
      <c r="JY147" s="175"/>
      <c r="ON147" s="660" t="s">
        <v>544</v>
      </c>
      <c r="OO147" s="661" t="s">
        <v>545</v>
      </c>
      <c r="OP147" s="661">
        <v>8022</v>
      </c>
      <c r="OQ147" s="224" t="s">
        <v>568</v>
      </c>
      <c r="OR147" s="224">
        <f ca="1">VLOOKUP($OP147,INDIRECT($ON147):INDIRECT($OO147),3,FALSE)</f>
        <v>0</v>
      </c>
      <c r="OS147" s="224">
        <f ca="1">VLOOKUP($OP147,INDIRECT($ON147):INDIRECT($OO147),4,FALSE)</f>
        <v>0</v>
      </c>
      <c r="OT147" s="224">
        <f ca="1">VLOOKUP($OP147,INDIRECT($ON147):INDIRECT($OO147),5,FALSE)</f>
        <v>0</v>
      </c>
    </row>
    <row r="148" spans="2:410" ht="14.45" customHeight="1" x14ac:dyDescent="0.25">
      <c r="B148" s="175"/>
      <c r="ES148" s="175"/>
      <c r="JB148" s="175"/>
      <c r="JC148" s="175"/>
      <c r="JD148" s="175"/>
      <c r="JE148" s="175"/>
      <c r="JF148" s="175"/>
      <c r="JG148" s="175"/>
      <c r="JH148" s="175"/>
      <c r="JI148" s="175"/>
      <c r="JJ148" s="175"/>
      <c r="JK148" s="175"/>
      <c r="JL148" s="175"/>
      <c r="JM148" s="175"/>
      <c r="JN148" s="175"/>
      <c r="JO148" s="175"/>
      <c r="JP148" s="175"/>
      <c r="JQ148" s="175"/>
      <c r="JR148" s="175"/>
      <c r="JS148" s="175"/>
      <c r="JT148" s="175"/>
      <c r="JU148" s="175"/>
      <c r="JV148" s="175"/>
      <c r="JW148" s="175"/>
      <c r="JX148" s="175"/>
      <c r="JY148" s="175"/>
      <c r="ON148" s="660" t="s">
        <v>544</v>
      </c>
      <c r="OO148" s="661" t="s">
        <v>545</v>
      </c>
      <c r="OP148" s="224">
        <v>8023</v>
      </c>
      <c r="OQ148" s="224" t="s">
        <v>569</v>
      </c>
      <c r="OR148" s="224">
        <f ca="1">VLOOKUP($OP148,INDIRECT($ON148):INDIRECT($OO148),3,FALSE)</f>
        <v>0</v>
      </c>
      <c r="OS148" s="224">
        <f ca="1">VLOOKUP($OP148,INDIRECT($ON148):INDIRECT($OO148),4,FALSE)</f>
        <v>0</v>
      </c>
      <c r="OT148" s="224">
        <f ca="1">VLOOKUP($OP148,INDIRECT($ON148):INDIRECT($OO148),5,FALSE)</f>
        <v>0</v>
      </c>
    </row>
    <row r="149" spans="2:410" ht="14.45" customHeight="1" x14ac:dyDescent="0.25">
      <c r="B149" s="175"/>
      <c r="ES149" s="175"/>
      <c r="JB149" s="175"/>
      <c r="JC149" s="175"/>
      <c r="JD149" s="175"/>
      <c r="JE149" s="175"/>
      <c r="JF149" s="175"/>
      <c r="JG149" s="175"/>
      <c r="JH149" s="175"/>
      <c r="JI149" s="175"/>
      <c r="JJ149" s="175"/>
      <c r="JK149" s="175"/>
      <c r="JL149" s="175"/>
      <c r="JM149" s="175"/>
      <c r="JN149" s="175"/>
      <c r="JO149" s="175"/>
      <c r="JP149" s="175"/>
      <c r="JQ149" s="175"/>
      <c r="JR149" s="175"/>
      <c r="JS149" s="175"/>
      <c r="JT149" s="175"/>
      <c r="JU149" s="175"/>
      <c r="JV149" s="175"/>
      <c r="JW149" s="175"/>
      <c r="JX149" s="175"/>
      <c r="JY149" s="175"/>
      <c r="ON149" s="660" t="s">
        <v>544</v>
      </c>
      <c r="OO149" s="661" t="s">
        <v>545</v>
      </c>
      <c r="OP149" s="661">
        <v>8024</v>
      </c>
      <c r="OQ149" s="224" t="s">
        <v>570</v>
      </c>
      <c r="OR149" s="224">
        <f ca="1">VLOOKUP($OP149,INDIRECT($ON149):INDIRECT($OO149),3,FALSE)</f>
        <v>0</v>
      </c>
      <c r="OS149" s="224">
        <f ca="1">VLOOKUP($OP149,INDIRECT($ON149):INDIRECT($OO149),4,FALSE)</f>
        <v>0</v>
      </c>
      <c r="OT149" s="224">
        <f ca="1">VLOOKUP($OP149,INDIRECT($ON149):INDIRECT($OO149),5,FALSE)</f>
        <v>0</v>
      </c>
    </row>
    <row r="150" spans="2:410" ht="14.45" customHeight="1" x14ac:dyDescent="0.25">
      <c r="B150" s="175"/>
      <c r="ES150" s="175"/>
      <c r="JB150" s="175"/>
      <c r="JC150" s="175"/>
      <c r="JD150" s="175"/>
      <c r="JE150" s="175"/>
      <c r="JF150" s="175"/>
      <c r="JG150" s="175"/>
      <c r="JH150" s="175"/>
      <c r="JI150" s="175"/>
      <c r="JJ150" s="175"/>
      <c r="JK150" s="175"/>
      <c r="JL150" s="175"/>
      <c r="JM150" s="175"/>
      <c r="JN150" s="175"/>
      <c r="JO150" s="175"/>
      <c r="JP150" s="175"/>
      <c r="JQ150" s="175"/>
      <c r="JR150" s="175"/>
      <c r="JS150" s="175"/>
      <c r="JT150" s="175"/>
      <c r="JU150" s="175"/>
      <c r="JV150" s="175"/>
      <c r="JW150" s="175"/>
      <c r="JX150" s="175"/>
      <c r="JY150" s="175"/>
      <c r="ON150" s="660" t="s">
        <v>544</v>
      </c>
      <c r="OO150" s="661" t="s">
        <v>545</v>
      </c>
      <c r="OP150" s="224">
        <v>8025</v>
      </c>
      <c r="OQ150" s="224" t="s">
        <v>571</v>
      </c>
      <c r="OR150" s="224">
        <f ca="1">VLOOKUP($OP150,INDIRECT($ON150):INDIRECT($OO150),3,FALSE)</f>
        <v>33.109000000000002</v>
      </c>
      <c r="OS150" s="224">
        <f ca="1">VLOOKUP($OP150,INDIRECT($ON150):INDIRECT($OO150),4,FALSE)</f>
        <v>1.3795416666666667</v>
      </c>
      <c r="OT150" s="224">
        <f ca="1">VLOOKUP($OP150,INDIRECT($ON150):INDIRECT($OO150),5,FALSE)</f>
        <v>1.3795416666666667</v>
      </c>
    </row>
    <row r="151" spans="2:410" ht="14.45" customHeight="1" x14ac:dyDescent="0.25">
      <c r="B151" s="175"/>
      <c r="ES151" s="175"/>
      <c r="JB151" s="175"/>
      <c r="JC151" s="175"/>
      <c r="JD151" s="175"/>
      <c r="JE151" s="175"/>
      <c r="JF151" s="175"/>
      <c r="JG151" s="175"/>
      <c r="JH151" s="175"/>
      <c r="JI151" s="175"/>
      <c r="JJ151" s="175"/>
      <c r="JK151" s="175"/>
      <c r="JL151" s="175"/>
      <c r="JM151" s="175"/>
      <c r="JN151" s="175"/>
      <c r="JO151" s="175"/>
      <c r="JP151" s="175"/>
      <c r="JQ151" s="175"/>
      <c r="JR151" s="175"/>
      <c r="JS151" s="175"/>
      <c r="JT151" s="175"/>
      <c r="JU151" s="175"/>
      <c r="JV151" s="175"/>
      <c r="JW151" s="175"/>
      <c r="JX151" s="175"/>
      <c r="JY151" s="175"/>
      <c r="ON151" s="660" t="s">
        <v>544</v>
      </c>
      <c r="OO151" s="661" t="s">
        <v>545</v>
      </c>
      <c r="OP151" s="661">
        <v>8026</v>
      </c>
      <c r="OQ151" s="224" t="s">
        <v>572</v>
      </c>
      <c r="OR151" s="224">
        <f ca="1">VLOOKUP($OP151,INDIRECT($ON151):INDIRECT($OO151),3,FALSE)</f>
        <v>0</v>
      </c>
      <c r="OS151" s="224">
        <f ca="1">VLOOKUP($OP151,INDIRECT($ON151):INDIRECT($OO151),4,FALSE)</f>
        <v>0</v>
      </c>
      <c r="OT151" s="224">
        <f ca="1">VLOOKUP($OP151,INDIRECT($ON151):INDIRECT($OO151),5,FALSE)</f>
        <v>0</v>
      </c>
    </row>
    <row r="152" spans="2:410" ht="14.45" customHeight="1" x14ac:dyDescent="0.25">
      <c r="B152" s="175"/>
      <c r="ES152" s="175"/>
      <c r="JB152" s="175"/>
      <c r="JC152" s="175"/>
      <c r="JD152" s="175"/>
      <c r="JE152" s="175"/>
      <c r="JF152" s="175"/>
      <c r="JG152" s="175"/>
      <c r="JH152" s="175"/>
      <c r="JI152" s="175"/>
      <c r="JJ152" s="175"/>
      <c r="JK152" s="175"/>
      <c r="JL152" s="175"/>
      <c r="JM152" s="175"/>
      <c r="JN152" s="175"/>
      <c r="JO152" s="175"/>
      <c r="JP152" s="175"/>
      <c r="JQ152" s="175"/>
      <c r="JR152" s="175"/>
      <c r="JS152" s="175"/>
      <c r="JT152" s="175"/>
      <c r="JU152" s="175"/>
      <c r="JV152" s="175"/>
      <c r="JW152" s="175"/>
      <c r="JX152" s="175"/>
      <c r="JY152" s="175"/>
      <c r="ON152" s="660" t="s">
        <v>544</v>
      </c>
      <c r="OO152" s="661" t="s">
        <v>545</v>
      </c>
      <c r="OP152" s="224">
        <v>8027</v>
      </c>
      <c r="OQ152" s="224" t="s">
        <v>573</v>
      </c>
      <c r="OR152" s="224">
        <f ca="1">VLOOKUP($OP152,INDIRECT($ON152):INDIRECT($OO152),3,FALSE)</f>
        <v>0</v>
      </c>
      <c r="OS152" s="224">
        <f ca="1">VLOOKUP($OP152,INDIRECT($ON152):INDIRECT($OO152),4,FALSE)</f>
        <v>0</v>
      </c>
      <c r="OT152" s="224">
        <f ca="1">VLOOKUP($OP152,INDIRECT($ON152):INDIRECT($OO152),5,FALSE)</f>
        <v>0</v>
      </c>
    </row>
    <row r="153" spans="2:410" ht="14.45" customHeight="1" x14ac:dyDescent="0.25">
      <c r="B153" s="175"/>
      <c r="ES153" s="175"/>
      <c r="JB153" s="175"/>
      <c r="JC153" s="175"/>
      <c r="JD153" s="175"/>
      <c r="JE153" s="175"/>
      <c r="JF153" s="175"/>
      <c r="JG153" s="175"/>
      <c r="JH153" s="175"/>
      <c r="JI153" s="175"/>
      <c r="JJ153" s="175"/>
      <c r="JK153" s="175"/>
      <c r="JL153" s="175"/>
      <c r="JM153" s="175"/>
      <c r="JN153" s="175"/>
      <c r="JO153" s="175"/>
      <c r="JP153" s="175"/>
      <c r="JQ153" s="175"/>
      <c r="JR153" s="175"/>
      <c r="JS153" s="175"/>
      <c r="JT153" s="175"/>
      <c r="JU153" s="175"/>
      <c r="JV153" s="175"/>
      <c r="JW153" s="175"/>
      <c r="JX153" s="175"/>
      <c r="JY153" s="175"/>
      <c r="ON153" s="660" t="s">
        <v>544</v>
      </c>
      <c r="OO153" s="661" t="s">
        <v>545</v>
      </c>
      <c r="OP153" s="661">
        <v>8028</v>
      </c>
      <c r="OQ153" s="224" t="s">
        <v>574</v>
      </c>
      <c r="OR153" s="224">
        <f ca="1">VLOOKUP($OP153,INDIRECT($ON153):INDIRECT($OO153),3,FALSE)</f>
        <v>0</v>
      </c>
      <c r="OS153" s="224">
        <f ca="1">VLOOKUP($OP153,INDIRECT($ON153):INDIRECT($OO153),4,FALSE)</f>
        <v>0</v>
      </c>
      <c r="OT153" s="224">
        <f ca="1">VLOOKUP($OP153,INDIRECT($ON153):INDIRECT($OO153),5,FALSE)</f>
        <v>0</v>
      </c>
    </row>
    <row r="154" spans="2:410" ht="14.45" customHeight="1" x14ac:dyDescent="0.25">
      <c r="B154" s="175"/>
      <c r="ES154" s="175"/>
      <c r="JB154" s="175"/>
      <c r="JC154" s="175"/>
      <c r="JD154" s="175"/>
      <c r="JE154" s="175"/>
      <c r="JF154" s="175"/>
      <c r="JG154" s="175"/>
      <c r="JH154" s="175"/>
      <c r="JI154" s="175"/>
      <c r="JJ154" s="175"/>
      <c r="JK154" s="175"/>
      <c r="JL154" s="175"/>
      <c r="JM154" s="175"/>
      <c r="JN154" s="175"/>
      <c r="JO154" s="175"/>
      <c r="JP154" s="175"/>
      <c r="JQ154" s="175"/>
      <c r="JR154" s="175"/>
      <c r="JS154" s="175"/>
      <c r="JT154" s="175"/>
      <c r="JU154" s="175"/>
      <c r="JV154" s="175"/>
      <c r="JW154" s="175"/>
      <c r="JX154" s="175"/>
      <c r="JY154" s="175"/>
      <c r="ON154" s="660" t="s">
        <v>544</v>
      </c>
      <c r="OO154" s="661" t="s">
        <v>545</v>
      </c>
      <c r="OP154" s="224">
        <v>8029</v>
      </c>
      <c r="OQ154" s="224" t="s">
        <v>575</v>
      </c>
      <c r="OR154" s="224">
        <f ca="1">VLOOKUP($OP154,INDIRECT($ON154):INDIRECT($OO154),3,FALSE)</f>
        <v>81.5</v>
      </c>
      <c r="OS154" s="224">
        <f ca="1">VLOOKUP($OP154,INDIRECT($ON154):INDIRECT($OO154),4,FALSE)</f>
        <v>6.2</v>
      </c>
      <c r="OT154" s="224">
        <f ca="1">VLOOKUP($OP154,INDIRECT($ON154):INDIRECT($OO154),5,FALSE)</f>
        <v>6.2</v>
      </c>
    </row>
    <row r="155" spans="2:410" ht="14.45" customHeight="1" x14ac:dyDescent="0.25">
      <c r="B155" s="175"/>
      <c r="ES155" s="175"/>
      <c r="JB155" s="175"/>
      <c r="JC155" s="175"/>
      <c r="JD155" s="175"/>
      <c r="JE155" s="175"/>
      <c r="JF155" s="175"/>
      <c r="JG155" s="175"/>
      <c r="JH155" s="175"/>
      <c r="JI155" s="175"/>
      <c r="JJ155" s="175"/>
      <c r="JK155" s="175"/>
      <c r="JL155" s="175"/>
      <c r="JM155" s="175"/>
      <c r="JN155" s="175"/>
      <c r="JO155" s="175"/>
      <c r="JP155" s="175"/>
      <c r="JQ155" s="175"/>
      <c r="JR155" s="175"/>
      <c r="JS155" s="175"/>
      <c r="JT155" s="175"/>
      <c r="JU155" s="175"/>
      <c r="JV155" s="175"/>
      <c r="JW155" s="175"/>
      <c r="JX155" s="175"/>
      <c r="JY155" s="175"/>
      <c r="ON155" s="660" t="s">
        <v>544</v>
      </c>
      <c r="OO155" s="661" t="s">
        <v>545</v>
      </c>
      <c r="OP155" s="661">
        <v>8030</v>
      </c>
      <c r="OQ155" s="224" t="s">
        <v>576</v>
      </c>
      <c r="OR155" s="224">
        <f ca="1">VLOOKUP($OP155,INDIRECT($ON155):INDIRECT($OO155),3,FALSE)</f>
        <v>93.37</v>
      </c>
      <c r="OS155" s="224">
        <f ca="1">VLOOKUP($OP155,INDIRECT($ON155):INDIRECT($OO155),4,FALSE)</f>
        <v>3.8904166666666669</v>
      </c>
      <c r="OT155" s="224">
        <f ca="1">VLOOKUP($OP155,INDIRECT($ON155):INDIRECT($OO155),5,FALSE)</f>
        <v>3.8904166666666669</v>
      </c>
    </row>
    <row r="156" spans="2:410" ht="14.45" customHeight="1" x14ac:dyDescent="0.25">
      <c r="B156" s="175"/>
      <c r="ES156" s="175"/>
      <c r="JB156" s="175"/>
      <c r="JC156" s="175"/>
      <c r="JD156" s="175"/>
      <c r="JE156" s="175"/>
      <c r="JF156" s="175"/>
      <c r="JG156" s="175"/>
      <c r="JH156" s="175"/>
      <c r="JI156" s="175"/>
      <c r="JJ156" s="175"/>
      <c r="JK156" s="175"/>
      <c r="JL156" s="175"/>
      <c r="JM156" s="175"/>
      <c r="JN156" s="175"/>
      <c r="JO156" s="175"/>
      <c r="JP156" s="175"/>
      <c r="JQ156" s="175"/>
      <c r="JR156" s="175"/>
      <c r="JS156" s="175"/>
      <c r="JT156" s="175"/>
      <c r="JU156" s="175"/>
      <c r="JV156" s="175"/>
      <c r="JW156" s="175"/>
      <c r="JX156" s="175"/>
      <c r="JY156" s="175"/>
      <c r="ON156" s="660" t="s">
        <v>544</v>
      </c>
      <c r="OO156" s="661" t="s">
        <v>545</v>
      </c>
      <c r="OP156" s="224">
        <v>8031</v>
      </c>
      <c r="OQ156" s="224" t="s">
        <v>577</v>
      </c>
      <c r="OR156" s="224">
        <f ca="1">VLOOKUP($OP156,INDIRECT($ON156):INDIRECT($OO156),3,FALSE)</f>
        <v>0</v>
      </c>
      <c r="OS156" s="224">
        <f ca="1">VLOOKUP($OP156,INDIRECT($ON156):INDIRECT($OO156),4,FALSE)</f>
        <v>0</v>
      </c>
      <c r="OT156" s="224">
        <f ca="1">VLOOKUP($OP156,INDIRECT($ON156):INDIRECT($OO156),5,FALSE)</f>
        <v>0</v>
      </c>
    </row>
    <row r="157" spans="2:410" ht="14.45" customHeight="1" x14ac:dyDescent="0.25">
      <c r="B157" s="175"/>
      <c r="ES157" s="175"/>
      <c r="JB157" s="175"/>
      <c r="JC157" s="175"/>
      <c r="JD157" s="175"/>
      <c r="JE157" s="175"/>
      <c r="JF157" s="175"/>
      <c r="JG157" s="175"/>
      <c r="JH157" s="175"/>
      <c r="JI157" s="175"/>
      <c r="JJ157" s="175"/>
      <c r="JK157" s="175"/>
      <c r="JL157" s="175"/>
      <c r="JM157" s="175"/>
      <c r="JN157" s="175"/>
      <c r="JO157" s="175"/>
      <c r="JP157" s="175"/>
      <c r="JQ157" s="175"/>
      <c r="JR157" s="175"/>
      <c r="JS157" s="175"/>
      <c r="JT157" s="175"/>
      <c r="JU157" s="175"/>
      <c r="JV157" s="175"/>
      <c r="JW157" s="175"/>
      <c r="JX157" s="175"/>
      <c r="JY157" s="175"/>
      <c r="ON157" s="660" t="s">
        <v>544</v>
      </c>
      <c r="OO157" s="661" t="s">
        <v>545</v>
      </c>
      <c r="OP157" s="661">
        <v>8032</v>
      </c>
      <c r="OQ157" s="224" t="s">
        <v>578</v>
      </c>
      <c r="OR157" s="224">
        <f ca="1">VLOOKUP($OP157,INDIRECT($ON157):INDIRECT($OO157),3,FALSE)</f>
        <v>49.9</v>
      </c>
      <c r="OS157" s="224">
        <f ca="1">VLOOKUP($OP157,INDIRECT($ON157):INDIRECT($OO157),4,FALSE)</f>
        <v>2.0791666666666666</v>
      </c>
      <c r="OT157" s="224">
        <f ca="1">VLOOKUP($OP157,INDIRECT($ON157):INDIRECT($OO157),5,FALSE)</f>
        <v>2.0791666666666666</v>
      </c>
    </row>
    <row r="158" spans="2:410" ht="14.45" customHeight="1" x14ac:dyDescent="0.25">
      <c r="B158" s="175"/>
      <c r="ES158" s="175"/>
      <c r="JB158" s="175"/>
      <c r="JC158" s="175"/>
      <c r="JD158" s="175"/>
      <c r="JE158" s="175"/>
      <c r="JF158" s="175"/>
      <c r="JG158" s="175"/>
      <c r="JH158" s="175"/>
      <c r="JI158" s="175"/>
      <c r="JJ158" s="175"/>
      <c r="JK158" s="175"/>
      <c r="JL158" s="175"/>
      <c r="JM158" s="175"/>
      <c r="JN158" s="175"/>
      <c r="JO158" s="175"/>
      <c r="JP158" s="175"/>
      <c r="JQ158" s="175"/>
      <c r="JR158" s="175"/>
      <c r="JS158" s="175"/>
      <c r="JT158" s="175"/>
      <c r="JU158" s="175"/>
      <c r="JV158" s="175"/>
      <c r="JW158" s="175"/>
      <c r="JX158" s="175"/>
      <c r="JY158" s="175"/>
      <c r="ON158" s="660" t="s">
        <v>544</v>
      </c>
      <c r="OO158" s="661" t="s">
        <v>545</v>
      </c>
      <c r="OP158" s="224">
        <v>8033</v>
      </c>
      <c r="OQ158" s="224" t="s">
        <v>579</v>
      </c>
      <c r="OR158" s="224">
        <f ca="1">VLOOKUP($OP158,INDIRECT($ON158):INDIRECT($OO158),3,FALSE)</f>
        <v>0</v>
      </c>
      <c r="OS158" s="224">
        <f ca="1">VLOOKUP($OP158,INDIRECT($ON158):INDIRECT($OO158),4,FALSE)</f>
        <v>0</v>
      </c>
      <c r="OT158" s="224">
        <f ca="1">VLOOKUP($OP158,INDIRECT($ON158):INDIRECT($OO158),5,FALSE)</f>
        <v>0</v>
      </c>
    </row>
    <row r="159" spans="2:410" ht="14.45" customHeight="1" x14ac:dyDescent="0.25">
      <c r="B159" s="175"/>
      <c r="ES159" s="175"/>
      <c r="JB159" s="175"/>
      <c r="JC159" s="175"/>
      <c r="JD159" s="175"/>
      <c r="JE159" s="175"/>
      <c r="JF159" s="175"/>
      <c r="JG159" s="175"/>
      <c r="JH159" s="175"/>
      <c r="JI159" s="175"/>
      <c r="JJ159" s="175"/>
      <c r="JK159" s="175"/>
      <c r="JL159" s="175"/>
      <c r="JM159" s="175"/>
      <c r="JN159" s="175"/>
      <c r="JO159" s="175"/>
      <c r="JP159" s="175"/>
      <c r="JQ159" s="175"/>
      <c r="JR159" s="175"/>
      <c r="JS159" s="175"/>
      <c r="JT159" s="175"/>
      <c r="JU159" s="175"/>
      <c r="JV159" s="175"/>
      <c r="JW159" s="175"/>
      <c r="JX159" s="175"/>
      <c r="JY159" s="175"/>
      <c r="ON159" s="660" t="s">
        <v>544</v>
      </c>
      <c r="OO159" s="661" t="s">
        <v>545</v>
      </c>
      <c r="OP159" s="661">
        <v>8034</v>
      </c>
      <c r="OQ159" s="224" t="s">
        <v>580</v>
      </c>
      <c r="OR159" s="224">
        <f ca="1">VLOOKUP($OP159,INDIRECT($ON159):INDIRECT($OO159),3,FALSE)</f>
        <v>250.45599999999999</v>
      </c>
      <c r="OS159" s="224">
        <f ca="1">VLOOKUP($OP159,INDIRECT($ON159):INDIRECT($OO159),4,FALSE)</f>
        <v>12</v>
      </c>
      <c r="OT159" s="224">
        <f ca="1">VLOOKUP($OP159,INDIRECT($ON159):INDIRECT($OO159),5,FALSE)</f>
        <v>12</v>
      </c>
    </row>
    <row r="160" spans="2:410" ht="14.45" customHeight="1" x14ac:dyDescent="0.25">
      <c r="B160" s="175"/>
      <c r="ES160" s="175"/>
      <c r="JB160" s="175"/>
      <c r="JC160" s="175"/>
      <c r="JD160" s="175"/>
      <c r="JE160" s="175"/>
      <c r="JF160" s="175"/>
      <c r="JG160" s="175"/>
      <c r="JH160" s="175"/>
      <c r="JI160" s="175"/>
      <c r="JJ160" s="175"/>
      <c r="JK160" s="175"/>
      <c r="JL160" s="175"/>
      <c r="JM160" s="175"/>
      <c r="JN160" s="175"/>
      <c r="JO160" s="175"/>
      <c r="JP160" s="175"/>
      <c r="JQ160" s="175"/>
      <c r="JR160" s="175"/>
      <c r="JS160" s="175"/>
      <c r="JT160" s="175"/>
      <c r="JU160" s="175"/>
      <c r="JV160" s="175"/>
      <c r="JW160" s="175"/>
      <c r="JX160" s="175"/>
      <c r="JY160" s="175"/>
      <c r="ON160" s="660" t="s">
        <v>544</v>
      </c>
      <c r="OO160" s="661" t="s">
        <v>545</v>
      </c>
      <c r="OP160" s="224">
        <v>8035</v>
      </c>
      <c r="OQ160" s="224" t="s">
        <v>581</v>
      </c>
      <c r="OR160" s="224">
        <f ca="1">VLOOKUP($OP160,INDIRECT($ON160):INDIRECT($OO160),3,FALSE)</f>
        <v>0</v>
      </c>
      <c r="OS160" s="224">
        <f ca="1">VLOOKUP($OP160,INDIRECT($ON160):INDIRECT($OO160),4,FALSE)</f>
        <v>0</v>
      </c>
      <c r="OT160" s="224">
        <f ca="1">VLOOKUP($OP160,INDIRECT($ON160):INDIRECT($OO160),5,FALSE)</f>
        <v>0</v>
      </c>
    </row>
    <row r="161" spans="2:410" ht="14.45" customHeight="1" x14ac:dyDescent="0.25">
      <c r="B161" s="175"/>
      <c r="ES161" s="175"/>
      <c r="JB161" s="175"/>
      <c r="JC161" s="175"/>
      <c r="JD161" s="175"/>
      <c r="JE161" s="175"/>
      <c r="JF161" s="175"/>
      <c r="JG161" s="175"/>
      <c r="JH161" s="175"/>
      <c r="JI161" s="175"/>
      <c r="JJ161" s="175"/>
      <c r="JK161" s="175"/>
      <c r="JL161" s="175"/>
      <c r="JM161" s="175"/>
      <c r="JN161" s="175"/>
      <c r="JO161" s="175"/>
      <c r="JP161" s="175"/>
      <c r="JQ161" s="175"/>
      <c r="JR161" s="175"/>
      <c r="JS161" s="175"/>
      <c r="JT161" s="175"/>
      <c r="JU161" s="175"/>
      <c r="JV161" s="175"/>
      <c r="JW161" s="175"/>
      <c r="JX161" s="175"/>
      <c r="JY161" s="175"/>
      <c r="ON161" s="660" t="s">
        <v>544</v>
      </c>
      <c r="OO161" s="661" t="s">
        <v>545</v>
      </c>
      <c r="OP161" s="661">
        <v>8036</v>
      </c>
      <c r="OQ161" s="224" t="s">
        <v>582</v>
      </c>
      <c r="OR161" s="224">
        <f ca="1">VLOOKUP($OP161,INDIRECT($ON161):INDIRECT($OO161),3,FALSE)</f>
        <v>0</v>
      </c>
      <c r="OS161" s="224">
        <f ca="1">VLOOKUP($OP161,INDIRECT($ON161):INDIRECT($OO161),4,FALSE)</f>
        <v>0</v>
      </c>
      <c r="OT161" s="224">
        <f ca="1">VLOOKUP($OP161,INDIRECT($ON161):INDIRECT($OO161),5,FALSE)</f>
        <v>0</v>
      </c>
    </row>
    <row r="162" spans="2:410" ht="14.45" customHeight="1" x14ac:dyDescent="0.25">
      <c r="B162" s="175"/>
      <c r="ES162" s="175"/>
      <c r="JB162" s="175"/>
      <c r="JC162" s="175"/>
      <c r="JD162" s="175"/>
      <c r="JE162" s="175"/>
      <c r="JF162" s="175"/>
      <c r="JG162" s="175"/>
      <c r="JH162" s="175"/>
      <c r="JI162" s="175"/>
      <c r="JJ162" s="175"/>
      <c r="JK162" s="175"/>
      <c r="JL162" s="175"/>
      <c r="JM162" s="175"/>
      <c r="JN162" s="175"/>
      <c r="JO162" s="175"/>
      <c r="JP162" s="175"/>
      <c r="JQ162" s="175"/>
      <c r="JR162" s="175"/>
      <c r="JS162" s="175"/>
      <c r="JT162" s="175"/>
      <c r="JU162" s="175"/>
      <c r="JV162" s="175"/>
      <c r="JW162" s="175"/>
      <c r="JX162" s="175"/>
      <c r="JY162" s="175"/>
      <c r="ON162" s="660" t="s">
        <v>544</v>
      </c>
      <c r="OO162" s="661" t="s">
        <v>545</v>
      </c>
      <c r="OP162" s="224">
        <v>8037</v>
      </c>
      <c r="OQ162" s="224" t="s">
        <v>583</v>
      </c>
      <c r="OR162" s="224">
        <f ca="1">VLOOKUP($OP162,INDIRECT($ON162):INDIRECT($OO162),3,FALSE)</f>
        <v>30.59</v>
      </c>
      <c r="OS162" s="224">
        <f ca="1">VLOOKUP($OP162,INDIRECT($ON162):INDIRECT($OO162),4,FALSE)</f>
        <v>1.2745833333333334</v>
      </c>
      <c r="OT162" s="224">
        <f ca="1">VLOOKUP($OP162,INDIRECT($ON162):INDIRECT($OO162),5,FALSE)</f>
        <v>1.2745833333333334</v>
      </c>
    </row>
    <row r="163" spans="2:410" ht="14.45" customHeight="1" x14ac:dyDescent="0.25">
      <c r="B163" s="175"/>
      <c r="ES163" s="175"/>
      <c r="JB163" s="175"/>
      <c r="JC163" s="175"/>
      <c r="JD163" s="175"/>
      <c r="JE163" s="175"/>
      <c r="JF163" s="175"/>
      <c r="JG163" s="175"/>
      <c r="JH163" s="175"/>
      <c r="JI163" s="175"/>
      <c r="JJ163" s="175"/>
      <c r="JK163" s="175"/>
      <c r="JL163" s="175"/>
      <c r="JM163" s="175"/>
      <c r="JN163" s="175"/>
      <c r="JO163" s="175"/>
      <c r="JP163" s="175"/>
      <c r="JQ163" s="175"/>
      <c r="JR163" s="175"/>
      <c r="JS163" s="175"/>
      <c r="JT163" s="175"/>
      <c r="JU163" s="175"/>
      <c r="JV163" s="175"/>
      <c r="JW163" s="175"/>
      <c r="JX163" s="175"/>
      <c r="JY163" s="175"/>
      <c r="ON163" s="660" t="s">
        <v>544</v>
      </c>
      <c r="OO163" s="661" t="s">
        <v>545</v>
      </c>
      <c r="OP163" s="661">
        <v>8038</v>
      </c>
      <c r="OQ163" s="224" t="s">
        <v>584</v>
      </c>
      <c r="OR163" s="224">
        <f ca="1">VLOOKUP($OP163,INDIRECT($ON163):INDIRECT($OO163),3,FALSE)</f>
        <v>185.7</v>
      </c>
      <c r="OS163" s="224">
        <f ca="1">VLOOKUP($OP163,INDIRECT($ON163):INDIRECT($OO163),4,FALSE)</f>
        <v>7.7374999999999998</v>
      </c>
      <c r="OT163" s="224">
        <f ca="1">VLOOKUP($OP163,INDIRECT($ON163):INDIRECT($OO163),5,FALSE)</f>
        <v>7.7374999999999998</v>
      </c>
    </row>
    <row r="164" spans="2:410" ht="14.45" customHeight="1" x14ac:dyDescent="0.25">
      <c r="B164" s="175"/>
      <c r="ES164" s="175"/>
      <c r="JB164" s="175"/>
      <c r="JC164" s="175"/>
      <c r="JD164" s="175"/>
      <c r="JE164" s="175"/>
      <c r="JF164" s="175"/>
      <c r="JG164" s="175"/>
      <c r="JH164" s="175"/>
      <c r="JI164" s="175"/>
      <c r="JJ164" s="175"/>
      <c r="JK164" s="175"/>
      <c r="JL164" s="175"/>
      <c r="JM164" s="175"/>
      <c r="JN164" s="175"/>
      <c r="JO164" s="175"/>
      <c r="JP164" s="175"/>
      <c r="JQ164" s="175"/>
      <c r="JR164" s="175"/>
      <c r="JS164" s="175"/>
      <c r="JT164" s="175"/>
      <c r="JU164" s="175"/>
      <c r="JV164" s="175"/>
      <c r="JW164" s="175"/>
      <c r="JX164" s="175"/>
      <c r="JY164" s="175"/>
      <c r="ON164" s="660" t="s">
        <v>544</v>
      </c>
      <c r="OO164" s="661" t="s">
        <v>545</v>
      </c>
      <c r="OP164" s="224">
        <v>8039</v>
      </c>
      <c r="OQ164" s="224" t="s">
        <v>585</v>
      </c>
      <c r="OR164" s="224">
        <f ca="1">VLOOKUP($OP164,INDIRECT($ON164):INDIRECT($OO164),3,FALSE)</f>
        <v>60</v>
      </c>
      <c r="OS164" s="224">
        <f ca="1">VLOOKUP($OP164,INDIRECT($ON164):INDIRECT($OO164),4,FALSE)</f>
        <v>2.5</v>
      </c>
      <c r="OT164" s="224">
        <f ca="1">VLOOKUP($OP164,INDIRECT($ON164):INDIRECT($OO164),5,FALSE)</f>
        <v>2.5</v>
      </c>
    </row>
    <row r="165" spans="2:410" ht="14.45" customHeight="1" x14ac:dyDescent="0.25">
      <c r="B165" s="175"/>
      <c r="ES165" s="175"/>
      <c r="JB165" s="175"/>
      <c r="JC165" s="175"/>
      <c r="JD165" s="175"/>
      <c r="JE165" s="175"/>
      <c r="JF165" s="175"/>
      <c r="JG165" s="175"/>
      <c r="JH165" s="175"/>
      <c r="JI165" s="175"/>
      <c r="JJ165" s="175"/>
      <c r="JK165" s="175"/>
      <c r="JL165" s="175"/>
      <c r="JM165" s="175"/>
      <c r="JN165" s="175"/>
      <c r="JO165" s="175"/>
      <c r="JP165" s="175"/>
      <c r="JQ165" s="175"/>
      <c r="JR165" s="175"/>
      <c r="JS165" s="175"/>
      <c r="JT165" s="175"/>
      <c r="JU165" s="175"/>
      <c r="JV165" s="175"/>
      <c r="JW165" s="175"/>
      <c r="JX165" s="175"/>
      <c r="JY165" s="175"/>
      <c r="ON165" s="660" t="s">
        <v>544</v>
      </c>
      <c r="OO165" s="661" t="s">
        <v>545</v>
      </c>
      <c r="OP165" s="661">
        <v>8040</v>
      </c>
      <c r="OQ165" s="224" t="s">
        <v>586</v>
      </c>
      <c r="OR165" s="224">
        <f ca="1">VLOOKUP($OP165,INDIRECT($ON165):INDIRECT($OO165),3,FALSE)</f>
        <v>0</v>
      </c>
      <c r="OS165" s="224">
        <f ca="1">VLOOKUP($OP165,INDIRECT($ON165):INDIRECT($OO165),4,FALSE)</f>
        <v>0</v>
      </c>
      <c r="OT165" s="224">
        <f ca="1">VLOOKUP($OP165,INDIRECT($ON165):INDIRECT($OO165),5,FALSE)</f>
        <v>0</v>
      </c>
    </row>
    <row r="166" spans="2:410" ht="14.45" customHeight="1" x14ac:dyDescent="0.25">
      <c r="B166" s="175"/>
      <c r="ES166" s="175"/>
      <c r="JB166" s="175"/>
      <c r="JC166" s="175"/>
      <c r="JD166" s="175"/>
      <c r="JE166" s="175"/>
      <c r="JF166" s="175"/>
      <c r="JG166" s="175"/>
      <c r="JH166" s="175"/>
      <c r="JI166" s="175"/>
      <c r="JJ166" s="175"/>
      <c r="JK166" s="175"/>
      <c r="JL166" s="175"/>
      <c r="JM166" s="175"/>
      <c r="JN166" s="175"/>
      <c r="JO166" s="175"/>
      <c r="JP166" s="175"/>
      <c r="JQ166" s="175"/>
      <c r="JR166" s="175"/>
      <c r="JS166" s="175"/>
      <c r="JT166" s="175"/>
      <c r="JU166" s="175"/>
      <c r="JV166" s="175"/>
      <c r="JW166" s="175"/>
      <c r="JX166" s="175"/>
      <c r="JY166" s="175"/>
      <c r="ON166" s="660" t="s">
        <v>544</v>
      </c>
      <c r="OO166" s="661" t="s">
        <v>545</v>
      </c>
      <c r="OP166" s="224">
        <v>8041</v>
      </c>
      <c r="OQ166" s="224" t="s">
        <v>587</v>
      </c>
      <c r="OR166" s="224">
        <f ca="1">VLOOKUP($OP166,INDIRECT($ON166):INDIRECT($OO166),3,FALSE)</f>
        <v>9.9450000000000003</v>
      </c>
      <c r="OS166" s="224">
        <f ca="1">VLOOKUP($OP166,INDIRECT($ON166):INDIRECT($OO166),4,FALSE)</f>
        <v>0.41437499999999999</v>
      </c>
      <c r="OT166" s="224">
        <f ca="1">VLOOKUP($OP166,INDIRECT($ON166):INDIRECT($OO166),5,FALSE)</f>
        <v>0.41437499999999999</v>
      </c>
    </row>
    <row r="167" spans="2:410" ht="14.45" customHeight="1" x14ac:dyDescent="0.25">
      <c r="B167" s="175"/>
      <c r="ES167" s="175"/>
      <c r="JB167" s="175"/>
      <c r="JC167" s="175"/>
      <c r="JD167" s="175"/>
      <c r="JE167" s="175"/>
      <c r="JF167" s="175"/>
      <c r="JG167" s="175"/>
      <c r="JH167" s="175"/>
      <c r="JI167" s="175"/>
      <c r="JJ167" s="175"/>
      <c r="JK167" s="175"/>
      <c r="JL167" s="175"/>
      <c r="JM167" s="175"/>
      <c r="JN167" s="175"/>
      <c r="JO167" s="175"/>
      <c r="JP167" s="175"/>
      <c r="JQ167" s="175"/>
      <c r="JR167" s="175"/>
      <c r="JS167" s="175"/>
      <c r="JT167" s="175"/>
      <c r="JU167" s="175"/>
      <c r="JV167" s="175"/>
      <c r="JW167" s="175"/>
      <c r="JX167" s="175"/>
      <c r="JY167" s="175"/>
      <c r="ON167" s="660" t="s">
        <v>544</v>
      </c>
      <c r="OO167" s="661" t="s">
        <v>545</v>
      </c>
      <c r="OP167" s="661">
        <v>8042</v>
      </c>
      <c r="OQ167" s="224" t="s">
        <v>588</v>
      </c>
      <c r="OR167" s="224">
        <f ca="1">VLOOKUP($OP167,INDIRECT($ON167):INDIRECT($OO167),3,FALSE)</f>
        <v>0</v>
      </c>
      <c r="OS167" s="224">
        <f ca="1">VLOOKUP($OP167,INDIRECT($ON167):INDIRECT($OO167),4,FALSE)</f>
        <v>0</v>
      </c>
      <c r="OT167" s="224">
        <f ca="1">VLOOKUP($OP167,INDIRECT($ON167):INDIRECT($OO167),5,FALSE)</f>
        <v>0</v>
      </c>
    </row>
    <row r="168" spans="2:410" ht="14.45" customHeight="1" x14ac:dyDescent="0.25">
      <c r="B168" s="175"/>
      <c r="ES168" s="175"/>
      <c r="JB168" s="175"/>
      <c r="JC168" s="175"/>
      <c r="JD168" s="175"/>
      <c r="JE168" s="175"/>
      <c r="JF168" s="175"/>
      <c r="JG168" s="175"/>
      <c r="JH168" s="175"/>
      <c r="JI168" s="175"/>
      <c r="JJ168" s="175"/>
      <c r="JK168" s="175"/>
      <c r="JL168" s="175"/>
      <c r="JM168" s="175"/>
      <c r="JN168" s="175"/>
      <c r="JO168" s="175"/>
      <c r="JP168" s="175"/>
      <c r="JQ168" s="175"/>
      <c r="JR168" s="175"/>
      <c r="JS168" s="175"/>
      <c r="JT168" s="175"/>
      <c r="JU168" s="175"/>
      <c r="JV168" s="175"/>
      <c r="JW168" s="175"/>
      <c r="JX168" s="175"/>
      <c r="JY168" s="175"/>
      <c r="ON168" s="660" t="s">
        <v>544</v>
      </c>
      <c r="OO168" s="661" t="s">
        <v>545</v>
      </c>
      <c r="OP168" s="224">
        <v>8043</v>
      </c>
      <c r="OQ168" s="224" t="s">
        <v>589</v>
      </c>
      <c r="OR168" s="224">
        <f ca="1">VLOOKUP($OP168,INDIRECT($ON168):INDIRECT($OO168),3,FALSE)</f>
        <v>12.69</v>
      </c>
      <c r="OS168" s="224">
        <f ca="1">VLOOKUP($OP168,INDIRECT($ON168):INDIRECT($OO168),4,FALSE)</f>
        <v>0.52874999999999994</v>
      </c>
      <c r="OT168" s="224">
        <f ca="1">VLOOKUP($OP168,INDIRECT($ON168):INDIRECT($OO168),5,FALSE)</f>
        <v>0.52874999999999994</v>
      </c>
    </row>
    <row r="169" spans="2:410" ht="14.45" customHeight="1" x14ac:dyDescent="0.25">
      <c r="B169" s="175"/>
      <c r="ES169" s="175"/>
      <c r="JB169" s="175"/>
      <c r="JC169" s="175"/>
      <c r="JD169" s="175"/>
      <c r="JE169" s="175"/>
      <c r="JF169" s="175"/>
      <c r="JG169" s="175"/>
      <c r="JH169" s="175"/>
      <c r="JI169" s="175"/>
      <c r="JJ169" s="175"/>
      <c r="JK169" s="175"/>
      <c r="JL169" s="175"/>
      <c r="JM169" s="175"/>
      <c r="JN169" s="175"/>
      <c r="JO169" s="175"/>
      <c r="JP169" s="175"/>
      <c r="JQ169" s="175"/>
      <c r="JR169" s="175"/>
      <c r="JS169" s="175"/>
      <c r="JT169" s="175"/>
      <c r="JU169" s="175"/>
      <c r="JV169" s="175"/>
      <c r="JW169" s="175"/>
      <c r="JX169" s="175"/>
      <c r="JY169" s="175"/>
      <c r="ON169" s="660" t="s">
        <v>544</v>
      </c>
      <c r="OO169" s="661" t="s">
        <v>545</v>
      </c>
      <c r="OP169" s="661">
        <v>8044</v>
      </c>
      <c r="OQ169" s="224" t="s">
        <v>590</v>
      </c>
      <c r="OR169" s="224">
        <f ca="1">VLOOKUP($OP169,INDIRECT($ON169):INDIRECT($OO169),3,FALSE)</f>
        <v>0</v>
      </c>
      <c r="OS169" s="224">
        <f ca="1">VLOOKUP($OP169,INDIRECT($ON169):INDIRECT($OO169),4,FALSE)</f>
        <v>0</v>
      </c>
      <c r="OT169" s="224">
        <f ca="1">VLOOKUP($OP169,INDIRECT($ON169):INDIRECT($OO169),5,FALSE)</f>
        <v>0</v>
      </c>
    </row>
    <row r="170" spans="2:410" ht="14.45" customHeight="1" x14ac:dyDescent="0.25">
      <c r="B170" s="175"/>
      <c r="ES170" s="175"/>
      <c r="JB170" s="175"/>
      <c r="JC170" s="175"/>
      <c r="JD170" s="175"/>
      <c r="JE170" s="175"/>
      <c r="JF170" s="175"/>
      <c r="JG170" s="175"/>
      <c r="JH170" s="175"/>
      <c r="JI170" s="175"/>
      <c r="JJ170" s="175"/>
      <c r="JK170" s="175"/>
      <c r="JL170" s="175"/>
      <c r="JM170" s="175"/>
      <c r="JN170" s="175"/>
      <c r="JO170" s="175"/>
      <c r="JP170" s="175"/>
      <c r="JQ170" s="175"/>
      <c r="JR170" s="175"/>
      <c r="JS170" s="175"/>
      <c r="JT170" s="175"/>
      <c r="JU170" s="175"/>
      <c r="JV170" s="175"/>
      <c r="JW170" s="175"/>
      <c r="JX170" s="175"/>
      <c r="JY170" s="175"/>
      <c r="ON170" s="660" t="s">
        <v>544</v>
      </c>
      <c r="OO170" s="661" t="s">
        <v>545</v>
      </c>
      <c r="OP170" s="224">
        <v>8045</v>
      </c>
      <c r="OQ170" s="224" t="s">
        <v>591</v>
      </c>
      <c r="OR170" s="224">
        <f ca="1">VLOOKUP($OP170,INDIRECT($ON170):INDIRECT($OO170),3,FALSE)</f>
        <v>210.42</v>
      </c>
      <c r="OS170" s="224">
        <f ca="1">VLOOKUP($OP170,INDIRECT($ON170):INDIRECT($OO170),4,FALSE)</f>
        <v>9.3000000000000007</v>
      </c>
      <c r="OT170" s="224">
        <f ca="1">VLOOKUP($OP170,INDIRECT($ON170):INDIRECT($OO170),5,FALSE)</f>
        <v>9.3000000000000007</v>
      </c>
    </row>
    <row r="171" spans="2:410" ht="14.45" customHeight="1" x14ac:dyDescent="0.25">
      <c r="B171" s="175"/>
      <c r="ES171" s="175"/>
      <c r="JB171" s="175"/>
      <c r="JC171" s="175"/>
      <c r="JD171" s="175"/>
      <c r="JE171" s="175"/>
      <c r="JF171" s="175"/>
      <c r="JG171" s="175"/>
      <c r="JH171" s="175"/>
      <c r="JI171" s="175"/>
      <c r="JJ171" s="175"/>
      <c r="JK171" s="175"/>
      <c r="JL171" s="175"/>
      <c r="JM171" s="175"/>
      <c r="JN171" s="175"/>
      <c r="JO171" s="175"/>
      <c r="JP171" s="175"/>
      <c r="JQ171" s="175"/>
      <c r="JR171" s="175"/>
      <c r="JS171" s="175"/>
      <c r="JT171" s="175"/>
      <c r="JU171" s="175"/>
      <c r="JV171" s="175"/>
      <c r="JW171" s="175"/>
      <c r="JX171" s="175"/>
      <c r="JY171" s="175"/>
      <c r="ON171" s="660" t="s">
        <v>544</v>
      </c>
      <c r="OO171" s="661" t="s">
        <v>545</v>
      </c>
      <c r="OP171" s="661">
        <v>8046</v>
      </c>
      <c r="OQ171" s="224" t="s">
        <v>592</v>
      </c>
      <c r="OR171" s="224">
        <f ca="1">VLOOKUP($OP171,INDIRECT($ON171):INDIRECT($OO171),3,FALSE)</f>
        <v>482.214</v>
      </c>
      <c r="OS171" s="224">
        <f ca="1">VLOOKUP($OP171,INDIRECT($ON171):INDIRECT($OO171),4,FALSE)</f>
        <v>20.9</v>
      </c>
      <c r="OT171" s="224">
        <f ca="1">VLOOKUP($OP171,INDIRECT($ON171):INDIRECT($OO171),5,FALSE)</f>
        <v>20.7</v>
      </c>
    </row>
    <row r="172" spans="2:410" ht="14.45" customHeight="1" x14ac:dyDescent="0.25">
      <c r="B172" s="175"/>
      <c r="ES172" s="175"/>
      <c r="JB172" s="175"/>
      <c r="JC172" s="175"/>
      <c r="JD172" s="175"/>
      <c r="JE172" s="175"/>
      <c r="JF172" s="175"/>
      <c r="JG172" s="175"/>
      <c r="JH172" s="175"/>
      <c r="JI172" s="175"/>
      <c r="JJ172" s="175"/>
      <c r="JK172" s="175"/>
      <c r="JL172" s="175"/>
      <c r="JM172" s="175"/>
      <c r="JN172" s="175"/>
      <c r="JO172" s="175"/>
      <c r="JP172" s="175"/>
      <c r="JQ172" s="175"/>
      <c r="JR172" s="175"/>
      <c r="JS172" s="175"/>
      <c r="JT172" s="175"/>
      <c r="JU172" s="175"/>
      <c r="JV172" s="175"/>
      <c r="JW172" s="175"/>
      <c r="JX172" s="175"/>
      <c r="JY172" s="175"/>
      <c r="ON172" s="660" t="s">
        <v>544</v>
      </c>
      <c r="OO172" s="661" t="s">
        <v>545</v>
      </c>
      <c r="OP172" s="224">
        <v>8047</v>
      </c>
      <c r="OQ172" s="224" t="s">
        <v>593</v>
      </c>
      <c r="OR172" s="224">
        <f ca="1">VLOOKUP($OP172,INDIRECT($ON172):INDIRECT($OO172),3,FALSE)</f>
        <v>0</v>
      </c>
      <c r="OS172" s="224">
        <f ca="1">VLOOKUP($OP172,INDIRECT($ON172):INDIRECT($OO172),4,FALSE)</f>
        <v>0</v>
      </c>
      <c r="OT172" s="224">
        <f ca="1">VLOOKUP($OP172,INDIRECT($ON172):INDIRECT($OO172),5,FALSE)</f>
        <v>0</v>
      </c>
    </row>
    <row r="173" spans="2:410" ht="14.45" customHeight="1" x14ac:dyDescent="0.25">
      <c r="B173" s="175"/>
      <c r="ES173" s="175"/>
      <c r="JB173" s="175"/>
      <c r="JC173" s="175"/>
      <c r="JD173" s="175"/>
      <c r="JE173" s="175"/>
      <c r="JF173" s="175"/>
      <c r="JG173" s="175"/>
      <c r="JH173" s="175"/>
      <c r="JI173" s="175"/>
      <c r="JJ173" s="175"/>
      <c r="JK173" s="175"/>
      <c r="JL173" s="175"/>
      <c r="JM173" s="175"/>
      <c r="JN173" s="175"/>
      <c r="JO173" s="175"/>
      <c r="JP173" s="175"/>
      <c r="JQ173" s="175"/>
      <c r="JR173" s="175"/>
      <c r="JS173" s="175"/>
      <c r="JT173" s="175"/>
      <c r="JU173" s="175"/>
      <c r="JV173" s="175"/>
      <c r="JW173" s="175"/>
      <c r="JX173" s="175"/>
      <c r="JY173" s="175"/>
      <c r="ON173" s="660" t="s">
        <v>544</v>
      </c>
      <c r="OO173" s="661" t="s">
        <v>545</v>
      </c>
      <c r="OP173" s="661">
        <v>8048</v>
      </c>
      <c r="OQ173" s="224" t="s">
        <v>594</v>
      </c>
      <c r="OR173" s="224">
        <f ca="1">VLOOKUP($OP173,INDIRECT($ON173):INDIRECT($OO173),3,FALSE)</f>
        <v>0</v>
      </c>
      <c r="OS173" s="224">
        <f ca="1">VLOOKUP($OP173,INDIRECT($ON173):INDIRECT($OO173),4,FALSE)</f>
        <v>0</v>
      </c>
      <c r="OT173" s="224">
        <f ca="1">VLOOKUP($OP173,INDIRECT($ON173):INDIRECT($OO173),5,FALSE)</f>
        <v>0</v>
      </c>
    </row>
    <row r="174" spans="2:410" ht="14.45" customHeight="1" x14ac:dyDescent="0.25">
      <c r="B174" s="175"/>
      <c r="ES174" s="175"/>
      <c r="JB174" s="175"/>
      <c r="JC174" s="175"/>
      <c r="JD174" s="175"/>
      <c r="JE174" s="175"/>
      <c r="JF174" s="175"/>
      <c r="JG174" s="175"/>
      <c r="JH174" s="175"/>
      <c r="JI174" s="175"/>
      <c r="JJ174" s="175"/>
      <c r="JK174" s="175"/>
      <c r="JL174" s="175"/>
      <c r="JM174" s="175"/>
      <c r="JN174" s="175"/>
      <c r="JO174" s="175"/>
      <c r="JP174" s="175"/>
      <c r="JQ174" s="175"/>
      <c r="JR174" s="175"/>
      <c r="JS174" s="175"/>
      <c r="JT174" s="175"/>
      <c r="JU174" s="175"/>
      <c r="JV174" s="175"/>
      <c r="JW174" s="175"/>
      <c r="JX174" s="175"/>
      <c r="JY174" s="175"/>
      <c r="ON174" s="660" t="s">
        <v>544</v>
      </c>
      <c r="OO174" s="661" t="s">
        <v>545</v>
      </c>
      <c r="OP174" s="224">
        <v>8049</v>
      </c>
      <c r="OQ174" s="224" t="s">
        <v>595</v>
      </c>
      <c r="OR174" s="224">
        <f ca="1">VLOOKUP($OP174,INDIRECT($ON174):INDIRECT($OO174),3,FALSE)</f>
        <v>28.361999999999998</v>
      </c>
      <c r="OS174" s="224">
        <f ca="1">VLOOKUP($OP174,INDIRECT($ON174):INDIRECT($OO174),4,FALSE)</f>
        <v>1.1817499999999999</v>
      </c>
      <c r="OT174" s="224">
        <f ca="1">VLOOKUP($OP174,INDIRECT($ON174):INDIRECT($OO174),5,FALSE)</f>
        <v>1.1817499999999999</v>
      </c>
    </row>
    <row r="175" spans="2:410" ht="14.45" customHeight="1" x14ac:dyDescent="0.25">
      <c r="B175" s="175"/>
      <c r="ES175" s="175"/>
      <c r="JB175" s="175"/>
      <c r="JC175" s="175"/>
      <c r="JD175" s="175"/>
      <c r="JE175" s="175"/>
      <c r="JF175" s="175"/>
      <c r="JG175" s="175"/>
      <c r="JH175" s="175"/>
      <c r="JI175" s="175"/>
      <c r="JJ175" s="175"/>
      <c r="JK175" s="175"/>
      <c r="JL175" s="175"/>
      <c r="JM175" s="175"/>
      <c r="JN175" s="175"/>
      <c r="JO175" s="175"/>
      <c r="JP175" s="175"/>
      <c r="JQ175" s="175"/>
      <c r="JR175" s="175"/>
      <c r="JS175" s="175"/>
      <c r="JT175" s="175"/>
      <c r="JU175" s="175"/>
      <c r="JV175" s="175"/>
      <c r="JW175" s="175"/>
      <c r="JX175" s="175"/>
      <c r="JY175" s="175"/>
      <c r="ON175" s="660" t="s">
        <v>544</v>
      </c>
      <c r="OO175" s="661" t="s">
        <v>545</v>
      </c>
      <c r="OP175" s="661">
        <v>8050</v>
      </c>
      <c r="OQ175" s="224" t="s">
        <v>596</v>
      </c>
      <c r="OR175" s="224">
        <f ca="1">VLOOKUP($OP175,INDIRECT($ON175):INDIRECT($OO175),3,FALSE)</f>
        <v>0</v>
      </c>
      <c r="OS175" s="224">
        <f ca="1">VLOOKUP($OP175,INDIRECT($ON175):INDIRECT($OO175),4,FALSE)</f>
        <v>8.5</v>
      </c>
      <c r="OT175" s="224">
        <f ca="1">VLOOKUP($OP175,INDIRECT($ON175):INDIRECT($OO175),5,FALSE)</f>
        <v>8.5</v>
      </c>
    </row>
    <row r="176" spans="2:410" ht="14.45" customHeight="1" x14ac:dyDescent="0.25">
      <c r="B176" s="175"/>
      <c r="ES176" s="175"/>
      <c r="JB176" s="175"/>
      <c r="JC176" s="175"/>
      <c r="JD176" s="175"/>
      <c r="JE176" s="175"/>
      <c r="JF176" s="175"/>
      <c r="JG176" s="175"/>
      <c r="JH176" s="175"/>
      <c r="JI176" s="175"/>
      <c r="JJ176" s="175"/>
      <c r="JK176" s="175"/>
      <c r="JL176" s="175"/>
      <c r="JM176" s="175"/>
      <c r="JN176" s="175"/>
      <c r="JO176" s="175"/>
      <c r="JP176" s="175"/>
      <c r="JQ176" s="175"/>
      <c r="JR176" s="175"/>
      <c r="JS176" s="175"/>
      <c r="JT176" s="175"/>
      <c r="JU176" s="175"/>
      <c r="JV176" s="175"/>
      <c r="JW176" s="175"/>
      <c r="JX176" s="175"/>
      <c r="JY176" s="175"/>
      <c r="ON176" s="660" t="s">
        <v>544</v>
      </c>
      <c r="OO176" s="661" t="s">
        <v>545</v>
      </c>
      <c r="OP176" s="224">
        <v>8051</v>
      </c>
      <c r="OQ176" s="224" t="s">
        <v>597</v>
      </c>
      <c r="OR176" s="224">
        <f ca="1">VLOOKUP($OP176,INDIRECT($ON176):INDIRECT($OO176),3,FALSE)</f>
        <v>145.94999999999999</v>
      </c>
      <c r="OS176" s="224">
        <f ca="1">VLOOKUP($OP176,INDIRECT($ON176):INDIRECT($OO176),4,FALSE)</f>
        <v>7</v>
      </c>
      <c r="OT176" s="224">
        <f ca="1">VLOOKUP($OP176,INDIRECT($ON176):INDIRECT($OO176),5,FALSE)</f>
        <v>7</v>
      </c>
    </row>
    <row r="177" spans="2:410" ht="14.45" customHeight="1" x14ac:dyDescent="0.25">
      <c r="B177" s="175"/>
      <c r="ES177" s="175"/>
      <c r="JB177" s="175"/>
      <c r="JC177" s="175"/>
      <c r="JD177" s="175"/>
      <c r="JE177" s="175"/>
      <c r="JF177" s="175"/>
      <c r="JG177" s="175"/>
      <c r="JH177" s="175"/>
      <c r="JI177" s="175"/>
      <c r="JJ177" s="175"/>
      <c r="JK177" s="175"/>
      <c r="JL177" s="175"/>
      <c r="JM177" s="175"/>
      <c r="JN177" s="175"/>
      <c r="JO177" s="175"/>
      <c r="JP177" s="175"/>
      <c r="JQ177" s="175"/>
      <c r="JR177" s="175"/>
      <c r="JS177" s="175"/>
      <c r="JT177" s="175"/>
      <c r="JU177" s="175"/>
      <c r="JV177" s="175"/>
      <c r="JW177" s="175"/>
      <c r="JX177" s="175"/>
      <c r="JY177" s="175"/>
      <c r="ON177" s="660" t="s">
        <v>544</v>
      </c>
      <c r="OO177" s="661" t="s">
        <v>545</v>
      </c>
      <c r="OP177" s="661">
        <v>8052</v>
      </c>
      <c r="OQ177" s="224" t="s">
        <v>598</v>
      </c>
      <c r="OR177" s="224">
        <f ca="1">VLOOKUP($OP177,INDIRECT($ON177):INDIRECT($OO177),3,FALSE)</f>
        <v>92.84</v>
      </c>
      <c r="OS177" s="224">
        <f ca="1">VLOOKUP($OP177,INDIRECT($ON177):INDIRECT($OO177),4,FALSE)</f>
        <v>4</v>
      </c>
      <c r="OT177" s="224">
        <f ca="1">VLOOKUP($OP177,INDIRECT($ON177):INDIRECT($OO177),5,FALSE)</f>
        <v>4</v>
      </c>
    </row>
    <row r="178" spans="2:410" ht="14.45" customHeight="1" x14ac:dyDescent="0.25">
      <c r="B178" s="175"/>
      <c r="ES178" s="175"/>
      <c r="JB178" s="175"/>
      <c r="JC178" s="175"/>
      <c r="JD178" s="175"/>
      <c r="JE178" s="175"/>
      <c r="JF178" s="175"/>
      <c r="JG178" s="175"/>
      <c r="JH178" s="175"/>
      <c r="JI178" s="175"/>
      <c r="JJ178" s="175"/>
      <c r="JK178" s="175"/>
      <c r="JL178" s="175"/>
      <c r="JM178" s="175"/>
      <c r="JN178" s="175"/>
      <c r="JO178" s="175"/>
      <c r="JP178" s="175"/>
      <c r="JQ178" s="175"/>
      <c r="JR178" s="175"/>
      <c r="JS178" s="175"/>
      <c r="JT178" s="175"/>
      <c r="JU178" s="175"/>
      <c r="JV178" s="175"/>
      <c r="JW178" s="175"/>
      <c r="JX178" s="175"/>
      <c r="JY178" s="175"/>
      <c r="ON178" s="660" t="s">
        <v>544</v>
      </c>
      <c r="OO178" s="661" t="s">
        <v>545</v>
      </c>
      <c r="OP178" s="224">
        <v>8053</v>
      </c>
      <c r="OQ178" s="224" t="s">
        <v>599</v>
      </c>
      <c r="OR178" s="224">
        <f ca="1">VLOOKUP($OP178,INDIRECT($ON178):INDIRECT($OO178),3,FALSE)</f>
        <v>0</v>
      </c>
      <c r="OS178" s="224">
        <f ca="1">VLOOKUP($OP178,INDIRECT($ON178):INDIRECT($OO178),4,FALSE)</f>
        <v>0</v>
      </c>
      <c r="OT178" s="224">
        <f ca="1">VLOOKUP($OP178,INDIRECT($ON178):INDIRECT($OO178),5,FALSE)</f>
        <v>0</v>
      </c>
    </row>
    <row r="179" spans="2:410" ht="14.45" customHeight="1" x14ac:dyDescent="0.25">
      <c r="B179" s="175"/>
      <c r="ES179" s="175"/>
      <c r="JB179" s="175"/>
      <c r="JC179" s="175"/>
      <c r="JD179" s="175"/>
      <c r="JE179" s="175"/>
      <c r="JF179" s="175"/>
      <c r="JG179" s="175"/>
      <c r="JH179" s="175"/>
      <c r="JI179" s="175"/>
      <c r="JJ179" s="175"/>
      <c r="JK179" s="175"/>
      <c r="JL179" s="175"/>
      <c r="JM179" s="175"/>
      <c r="JN179" s="175"/>
      <c r="JO179" s="175"/>
      <c r="JP179" s="175"/>
      <c r="JQ179" s="175"/>
      <c r="JR179" s="175"/>
      <c r="JS179" s="175"/>
      <c r="JT179" s="175"/>
      <c r="JU179" s="175"/>
      <c r="JV179" s="175"/>
      <c r="JW179" s="175"/>
      <c r="JX179" s="175"/>
      <c r="JY179" s="175"/>
      <c r="ON179" s="660" t="s">
        <v>544</v>
      </c>
      <c r="OO179" s="661" t="s">
        <v>545</v>
      </c>
      <c r="OP179" s="661">
        <v>8054</v>
      </c>
      <c r="OQ179" s="224" t="s">
        <v>600</v>
      </c>
      <c r="OR179" s="224">
        <f ca="1">VLOOKUP($OP179,INDIRECT($ON179):INDIRECT($OO179),3,FALSE)</f>
        <v>62.4</v>
      </c>
      <c r="OS179" s="224">
        <f ca="1">VLOOKUP($OP179,INDIRECT($ON179):INDIRECT($OO179),4,FALSE)</f>
        <v>2.6</v>
      </c>
      <c r="OT179" s="224">
        <f ca="1">VLOOKUP($OP179,INDIRECT($ON179):INDIRECT($OO179),5,FALSE)</f>
        <v>2.6</v>
      </c>
    </row>
    <row r="180" spans="2:410" ht="14.45" customHeight="1" x14ac:dyDescent="0.25">
      <c r="B180" s="175"/>
      <c r="ES180" s="175"/>
      <c r="JB180" s="175"/>
      <c r="JC180" s="175"/>
      <c r="JD180" s="175"/>
      <c r="JE180" s="175"/>
      <c r="JF180" s="175"/>
      <c r="JG180" s="175"/>
      <c r="JH180" s="175"/>
      <c r="JI180" s="175"/>
      <c r="JJ180" s="175"/>
      <c r="JK180" s="175"/>
      <c r="JL180" s="175"/>
      <c r="JM180" s="175"/>
      <c r="JN180" s="175"/>
      <c r="JO180" s="175"/>
      <c r="JP180" s="175"/>
      <c r="JQ180" s="175"/>
      <c r="JR180" s="175"/>
      <c r="JS180" s="175"/>
      <c r="JT180" s="175"/>
      <c r="JU180" s="175"/>
      <c r="JV180" s="175"/>
      <c r="JW180" s="175"/>
      <c r="JX180" s="175"/>
      <c r="JY180" s="175"/>
      <c r="ON180" s="660" t="s">
        <v>544</v>
      </c>
      <c r="OO180" s="661" t="s">
        <v>545</v>
      </c>
      <c r="OP180" s="224">
        <v>8055</v>
      </c>
      <c r="OQ180" s="224" t="s">
        <v>601</v>
      </c>
      <c r="OR180" s="224">
        <f ca="1">VLOOKUP($OP180,INDIRECT($ON180):INDIRECT($OO180),3,FALSE)</f>
        <v>72.69</v>
      </c>
      <c r="OS180" s="224">
        <f ca="1">VLOOKUP($OP180,INDIRECT($ON180):INDIRECT($OO180),4,FALSE)</f>
        <v>3.0287500000000001</v>
      </c>
      <c r="OT180" s="224">
        <f ca="1">VLOOKUP($OP180,INDIRECT($ON180):INDIRECT($OO180),5,FALSE)</f>
        <v>3.0287500000000001</v>
      </c>
    </row>
    <row r="181" spans="2:410" ht="14.45" customHeight="1" x14ac:dyDescent="0.25">
      <c r="B181" s="175"/>
      <c r="ES181" s="175"/>
      <c r="JB181" s="175"/>
      <c r="JC181" s="175"/>
      <c r="JD181" s="175"/>
      <c r="JE181" s="175"/>
      <c r="JF181" s="175"/>
      <c r="JG181" s="175"/>
      <c r="JH181" s="175"/>
      <c r="JI181" s="175"/>
      <c r="JJ181" s="175"/>
      <c r="JK181" s="175"/>
      <c r="JL181" s="175"/>
      <c r="JM181" s="175"/>
      <c r="JN181" s="175"/>
      <c r="JO181" s="175"/>
      <c r="JP181" s="175"/>
      <c r="JQ181" s="175"/>
      <c r="JR181" s="175"/>
      <c r="JS181" s="175"/>
      <c r="JT181" s="175"/>
      <c r="JU181" s="175"/>
      <c r="JV181" s="175"/>
      <c r="JW181" s="175"/>
      <c r="JX181" s="175"/>
      <c r="JY181" s="175"/>
      <c r="ON181" s="660" t="s">
        <v>544</v>
      </c>
      <c r="OO181" s="661" t="s">
        <v>545</v>
      </c>
      <c r="OP181" s="661">
        <v>8056</v>
      </c>
      <c r="OQ181" s="224" t="s">
        <v>602</v>
      </c>
      <c r="OR181" s="224">
        <f ca="1">VLOOKUP($OP181,INDIRECT($ON181):INDIRECT($OO181),3,FALSE)</f>
        <v>0</v>
      </c>
      <c r="OS181" s="224">
        <f ca="1">VLOOKUP($OP181,INDIRECT($ON181):INDIRECT($OO181),4,FALSE)</f>
        <v>0</v>
      </c>
      <c r="OT181" s="224">
        <f ca="1">VLOOKUP($OP181,INDIRECT($ON181):INDIRECT($OO181),5,FALSE)</f>
        <v>0</v>
      </c>
    </row>
    <row r="182" spans="2:410" ht="14.45" customHeight="1" x14ac:dyDescent="0.25">
      <c r="B182" s="175"/>
      <c r="ES182" s="175"/>
      <c r="JB182" s="175"/>
      <c r="JC182" s="175"/>
      <c r="JD182" s="175"/>
      <c r="JE182" s="175"/>
      <c r="JF182" s="175"/>
      <c r="JG182" s="175"/>
      <c r="JH182" s="175"/>
      <c r="JI182" s="175"/>
      <c r="JJ182" s="175"/>
      <c r="JK182" s="175"/>
      <c r="JL182" s="175"/>
      <c r="JM182" s="175"/>
      <c r="JN182" s="175"/>
      <c r="JO182" s="175"/>
      <c r="JP182" s="175"/>
      <c r="JQ182" s="175"/>
      <c r="JR182" s="175"/>
      <c r="JS182" s="175"/>
      <c r="JT182" s="175"/>
      <c r="JU182" s="175"/>
      <c r="JV182" s="175"/>
      <c r="JW182" s="175"/>
      <c r="JX182" s="175"/>
      <c r="JY182" s="175"/>
      <c r="ON182" s="660" t="s">
        <v>544</v>
      </c>
      <c r="OO182" s="661" t="s">
        <v>545</v>
      </c>
      <c r="OP182" s="224">
        <v>8057</v>
      </c>
      <c r="OQ182" s="224" t="s">
        <v>603</v>
      </c>
      <c r="OR182" s="224">
        <f ca="1">VLOOKUP($OP182,INDIRECT($ON182):INDIRECT($OO182),3,FALSE)</f>
        <v>0</v>
      </c>
      <c r="OS182" s="224">
        <f ca="1">VLOOKUP($OP182,INDIRECT($ON182):INDIRECT($OO182),4,FALSE)</f>
        <v>0</v>
      </c>
      <c r="OT182" s="224">
        <f ca="1">VLOOKUP($OP182,INDIRECT($ON182):INDIRECT($OO182),5,FALSE)</f>
        <v>0</v>
      </c>
    </row>
    <row r="183" spans="2:410" ht="14.45" customHeight="1" x14ac:dyDescent="0.25">
      <c r="B183" s="175"/>
      <c r="ES183" s="175"/>
      <c r="JB183" s="175"/>
      <c r="JC183" s="175"/>
      <c r="JD183" s="175"/>
      <c r="JE183" s="175"/>
      <c r="JF183" s="175"/>
      <c r="JG183" s="175"/>
      <c r="JH183" s="175"/>
      <c r="JI183" s="175"/>
      <c r="JJ183" s="175"/>
      <c r="JK183" s="175"/>
      <c r="JL183" s="175"/>
      <c r="JM183" s="175"/>
      <c r="JN183" s="175"/>
      <c r="JO183" s="175"/>
      <c r="JP183" s="175"/>
      <c r="JQ183" s="175"/>
      <c r="JR183" s="175"/>
      <c r="JS183" s="175"/>
      <c r="JT183" s="175"/>
      <c r="JU183" s="175"/>
      <c r="JV183" s="175"/>
      <c r="JW183" s="175"/>
      <c r="JX183" s="175"/>
      <c r="JY183" s="175"/>
      <c r="ON183" s="660" t="s">
        <v>544</v>
      </c>
      <c r="OO183" s="661" t="s">
        <v>545</v>
      </c>
      <c r="OP183" s="661">
        <v>8058</v>
      </c>
      <c r="OQ183" s="224" t="s">
        <v>604</v>
      </c>
      <c r="OR183" s="224">
        <f ca="1">VLOOKUP($OP183,INDIRECT($ON183):INDIRECT($OO183),3,FALSE)</f>
        <v>43.48</v>
      </c>
      <c r="OS183" s="224">
        <f ca="1">VLOOKUP($OP183,INDIRECT($ON183):INDIRECT($OO183),4,FALSE)</f>
        <v>1.8116666666666665</v>
      </c>
      <c r="OT183" s="224">
        <f ca="1">VLOOKUP($OP183,INDIRECT($ON183):INDIRECT($OO183),5,FALSE)</f>
        <v>1.8116666666666665</v>
      </c>
    </row>
    <row r="184" spans="2:410" ht="14.45" customHeight="1" x14ac:dyDescent="0.25">
      <c r="B184" s="175"/>
      <c r="ES184" s="175"/>
      <c r="JB184" s="175"/>
      <c r="JC184" s="175"/>
      <c r="JD184" s="175"/>
      <c r="JE184" s="175"/>
      <c r="JF184" s="175"/>
      <c r="JG184" s="175"/>
      <c r="JH184" s="175"/>
      <c r="JI184" s="175"/>
      <c r="JJ184" s="175"/>
      <c r="JK184" s="175"/>
      <c r="JL184" s="175"/>
      <c r="JM184" s="175"/>
      <c r="JN184" s="175"/>
      <c r="JO184" s="175"/>
      <c r="JP184" s="175"/>
      <c r="JQ184" s="175"/>
      <c r="JR184" s="175"/>
      <c r="JS184" s="175"/>
      <c r="JT184" s="175"/>
      <c r="JU184" s="175"/>
      <c r="JV184" s="175"/>
      <c r="JW184" s="175"/>
      <c r="JX184" s="175"/>
      <c r="JY184" s="175"/>
      <c r="ON184" s="660" t="s">
        <v>544</v>
      </c>
      <c r="OO184" s="661" t="s">
        <v>545</v>
      </c>
      <c r="OP184" s="224">
        <v>8059</v>
      </c>
      <c r="OQ184" s="224" t="s">
        <v>605</v>
      </c>
      <c r="OR184" s="224">
        <f ca="1">VLOOKUP($OP184,INDIRECT($ON184):INDIRECT($OO184),3,FALSE)</f>
        <v>29.99</v>
      </c>
      <c r="OS184" s="224">
        <f ca="1">VLOOKUP($OP184,INDIRECT($ON184):INDIRECT($OO184),4,FALSE)</f>
        <v>1.2495833333333333</v>
      </c>
      <c r="OT184" s="224">
        <f ca="1">VLOOKUP($OP184,INDIRECT($ON184):INDIRECT($OO184),5,FALSE)</f>
        <v>1.2495833333333333</v>
      </c>
    </row>
    <row r="185" spans="2:410" ht="14.45" customHeight="1" x14ac:dyDescent="0.25">
      <c r="B185" s="175"/>
      <c r="ES185" s="175"/>
      <c r="JB185" s="175"/>
      <c r="JC185" s="175"/>
      <c r="JD185" s="175"/>
      <c r="JE185" s="175"/>
      <c r="JF185" s="175"/>
      <c r="JG185" s="175"/>
      <c r="JH185" s="175"/>
      <c r="JI185" s="175"/>
      <c r="JJ185" s="175"/>
      <c r="JK185" s="175"/>
      <c r="JL185" s="175"/>
      <c r="JM185" s="175"/>
      <c r="JN185" s="175"/>
      <c r="JO185" s="175"/>
      <c r="JP185" s="175"/>
      <c r="JQ185" s="175"/>
      <c r="JR185" s="175"/>
      <c r="JS185" s="175"/>
      <c r="JT185" s="175"/>
      <c r="JU185" s="175"/>
      <c r="JV185" s="175"/>
      <c r="JW185" s="175"/>
      <c r="JX185" s="175"/>
      <c r="JY185" s="175"/>
      <c r="ON185" s="660" t="s">
        <v>544</v>
      </c>
      <c r="OO185" s="661" t="s">
        <v>545</v>
      </c>
      <c r="OP185" s="661">
        <v>8060</v>
      </c>
      <c r="OQ185" s="224" t="s">
        <v>606</v>
      </c>
      <c r="OR185" s="224">
        <f ca="1">VLOOKUP($OP185,INDIRECT($ON185):INDIRECT($OO185),3,FALSE)</f>
        <v>0</v>
      </c>
      <c r="OS185" s="224">
        <f ca="1">VLOOKUP($OP185,INDIRECT($ON185):INDIRECT($OO185),4,FALSE)</f>
        <v>0</v>
      </c>
      <c r="OT185" s="224">
        <f ca="1">VLOOKUP($OP185,INDIRECT($ON185):INDIRECT($OO185),5,FALSE)</f>
        <v>0</v>
      </c>
    </row>
    <row r="186" spans="2:410" ht="14.45" customHeight="1" x14ac:dyDescent="0.25">
      <c r="B186" s="175"/>
      <c r="ES186" s="175"/>
      <c r="JB186" s="175"/>
      <c r="JC186" s="175"/>
      <c r="JD186" s="175"/>
      <c r="JE186" s="175"/>
      <c r="JF186" s="175"/>
      <c r="JG186" s="175"/>
      <c r="JH186" s="175"/>
      <c r="JI186" s="175"/>
      <c r="JJ186" s="175"/>
      <c r="JK186" s="175"/>
      <c r="JL186" s="175"/>
      <c r="JM186" s="175"/>
      <c r="JN186" s="175"/>
      <c r="JO186" s="175"/>
      <c r="JP186" s="175"/>
      <c r="JQ186" s="175"/>
      <c r="JR186" s="175"/>
      <c r="JS186" s="175"/>
      <c r="JT186" s="175"/>
      <c r="JU186" s="175"/>
      <c r="JV186" s="175"/>
      <c r="JW186" s="175"/>
      <c r="JX186" s="175"/>
      <c r="JY186" s="175"/>
      <c r="ON186" s="660" t="s">
        <v>544</v>
      </c>
      <c r="OO186" s="661" t="s">
        <v>545</v>
      </c>
      <c r="OP186" s="224">
        <v>8061</v>
      </c>
      <c r="OQ186" s="224" t="s">
        <v>607</v>
      </c>
      <c r="OR186" s="224">
        <f ca="1">VLOOKUP($OP186,INDIRECT($ON186):INDIRECT($OO186),3,FALSE)</f>
        <v>0</v>
      </c>
      <c r="OS186" s="224">
        <f ca="1">VLOOKUP($OP186,INDIRECT($ON186):INDIRECT($OO186),4,FALSE)</f>
        <v>0</v>
      </c>
      <c r="OT186" s="224">
        <f ca="1">VLOOKUP($OP186,INDIRECT($ON186):INDIRECT($OO186),5,FALSE)</f>
        <v>0</v>
      </c>
    </row>
    <row r="187" spans="2:410" ht="14.45" customHeight="1" x14ac:dyDescent="0.25">
      <c r="B187" s="175"/>
      <c r="ES187" s="175"/>
      <c r="JB187" s="175"/>
      <c r="JC187" s="175"/>
      <c r="JD187" s="175"/>
      <c r="JE187" s="175"/>
      <c r="JF187" s="175"/>
      <c r="JG187" s="175"/>
      <c r="JH187" s="175"/>
      <c r="JI187" s="175"/>
      <c r="JJ187" s="175"/>
      <c r="JK187" s="175"/>
      <c r="JL187" s="175"/>
      <c r="JM187" s="175"/>
      <c r="JN187" s="175"/>
      <c r="JO187" s="175"/>
      <c r="JP187" s="175"/>
      <c r="JQ187" s="175"/>
      <c r="JR187" s="175"/>
      <c r="JS187" s="175"/>
      <c r="JT187" s="175"/>
      <c r="JU187" s="175"/>
      <c r="JV187" s="175"/>
      <c r="JW187" s="175"/>
      <c r="JX187" s="175"/>
      <c r="JY187" s="175"/>
      <c r="ON187" s="660" t="s">
        <v>544</v>
      </c>
      <c r="OO187" s="661" t="s">
        <v>545</v>
      </c>
      <c r="OP187" s="661">
        <v>8062</v>
      </c>
      <c r="OQ187" s="224" t="s">
        <v>608</v>
      </c>
      <c r="OR187" s="224">
        <f ca="1">VLOOKUP($OP187,INDIRECT($ON187):INDIRECT($OO187),3,FALSE)</f>
        <v>0</v>
      </c>
      <c r="OS187" s="224">
        <f ca="1">VLOOKUP($OP187,INDIRECT($ON187):INDIRECT($OO187),4,FALSE)</f>
        <v>0</v>
      </c>
      <c r="OT187" s="224">
        <f ca="1">VLOOKUP($OP187,INDIRECT($ON187):INDIRECT($OO187),5,FALSE)</f>
        <v>0</v>
      </c>
    </row>
    <row r="188" spans="2:410" ht="14.45" customHeight="1" x14ac:dyDescent="0.25">
      <c r="B188" s="175"/>
      <c r="ES188" s="175"/>
      <c r="JB188" s="175"/>
      <c r="JC188" s="175"/>
      <c r="JD188" s="175"/>
      <c r="JE188" s="175"/>
      <c r="JF188" s="175"/>
      <c r="JG188" s="175"/>
      <c r="JH188" s="175"/>
      <c r="JI188" s="175"/>
      <c r="JJ188" s="175"/>
      <c r="JK188" s="175"/>
      <c r="JL188" s="175"/>
      <c r="JM188" s="175"/>
      <c r="JN188" s="175"/>
      <c r="JO188" s="175"/>
      <c r="JP188" s="175"/>
      <c r="JQ188" s="175"/>
      <c r="JR188" s="175"/>
      <c r="JS188" s="175"/>
      <c r="JT188" s="175"/>
      <c r="JU188" s="175"/>
      <c r="JV188" s="175"/>
      <c r="JW188" s="175"/>
      <c r="JX188" s="175"/>
      <c r="JY188" s="175"/>
      <c r="ON188" s="660" t="s">
        <v>544</v>
      </c>
      <c r="OO188" s="661" t="s">
        <v>545</v>
      </c>
      <c r="OP188" s="224">
        <v>8063</v>
      </c>
      <c r="OQ188" s="224" t="s">
        <v>609</v>
      </c>
      <c r="OR188" s="224">
        <f ca="1">VLOOKUP($OP188,INDIRECT($ON188):INDIRECT($OO188),3,FALSE)</f>
        <v>244.70099999999999</v>
      </c>
      <c r="OS188" s="224">
        <f ca="1">VLOOKUP($OP188,INDIRECT($ON188):INDIRECT($OO188),4,FALSE)</f>
        <v>11</v>
      </c>
      <c r="OT188" s="224">
        <f ca="1">VLOOKUP($OP188,INDIRECT($ON188):INDIRECT($OO188),5,FALSE)</f>
        <v>11</v>
      </c>
    </row>
    <row r="189" spans="2:410" ht="14.45" customHeight="1" x14ac:dyDescent="0.25">
      <c r="B189" s="175"/>
      <c r="ES189" s="175"/>
      <c r="JB189" s="175"/>
      <c r="JC189" s="175"/>
      <c r="JD189" s="175"/>
      <c r="JE189" s="175"/>
      <c r="JF189" s="175"/>
      <c r="JG189" s="175"/>
      <c r="JH189" s="175"/>
      <c r="JI189" s="175"/>
      <c r="JJ189" s="175"/>
      <c r="JK189" s="175"/>
      <c r="JL189" s="175"/>
      <c r="JM189" s="175"/>
      <c r="JN189" s="175"/>
      <c r="JO189" s="175"/>
      <c r="JP189" s="175"/>
      <c r="JQ189" s="175"/>
      <c r="JR189" s="175"/>
      <c r="JS189" s="175"/>
      <c r="JT189" s="175"/>
      <c r="JU189" s="175"/>
      <c r="JV189" s="175"/>
      <c r="JW189" s="175"/>
      <c r="JX189" s="175"/>
      <c r="JY189" s="175"/>
      <c r="ON189" s="660" t="s">
        <v>544</v>
      </c>
      <c r="OO189" s="661" t="s">
        <v>545</v>
      </c>
      <c r="OP189" s="661">
        <v>8064</v>
      </c>
      <c r="OQ189" s="224" t="s">
        <v>610</v>
      </c>
      <c r="OR189" s="224">
        <f ca="1">VLOOKUP($OP189,INDIRECT($ON189):INDIRECT($OO189),3,FALSE)</f>
        <v>0</v>
      </c>
      <c r="OS189" s="224">
        <f ca="1">VLOOKUP($OP189,INDIRECT($ON189):INDIRECT($OO189),4,FALSE)</f>
        <v>0</v>
      </c>
      <c r="OT189" s="224">
        <f ca="1">VLOOKUP($OP189,INDIRECT($ON189):INDIRECT($OO189),5,FALSE)</f>
        <v>0</v>
      </c>
    </row>
    <row r="190" spans="2:410" ht="14.45" customHeight="1" x14ac:dyDescent="0.25">
      <c r="B190" s="175"/>
      <c r="ES190" s="175"/>
      <c r="JB190" s="175"/>
      <c r="JC190" s="175"/>
      <c r="JD190" s="175"/>
      <c r="JE190" s="175"/>
      <c r="JF190" s="175"/>
      <c r="JG190" s="175"/>
      <c r="JH190" s="175"/>
      <c r="JI190" s="175"/>
      <c r="JJ190" s="175"/>
      <c r="JK190" s="175"/>
      <c r="JL190" s="175"/>
      <c r="JM190" s="175"/>
      <c r="JN190" s="175"/>
      <c r="JO190" s="175"/>
      <c r="JP190" s="175"/>
      <c r="JQ190" s="175"/>
      <c r="JR190" s="175"/>
      <c r="JS190" s="175"/>
      <c r="JT190" s="175"/>
      <c r="JU190" s="175"/>
      <c r="JV190" s="175"/>
      <c r="JW190" s="175"/>
      <c r="JX190" s="175"/>
      <c r="JY190" s="175"/>
      <c r="ON190" s="660" t="s">
        <v>544</v>
      </c>
      <c r="OO190" s="661" t="s">
        <v>545</v>
      </c>
      <c r="OP190" s="224">
        <v>8065</v>
      </c>
      <c r="OQ190" s="224" t="s">
        <v>611</v>
      </c>
      <c r="OR190" s="224">
        <f ca="1">VLOOKUP($OP190,INDIRECT($ON190):INDIRECT($OO190),3,FALSE)</f>
        <v>0</v>
      </c>
      <c r="OS190" s="224">
        <f ca="1">VLOOKUP($OP190,INDIRECT($ON190):INDIRECT($OO190),4,FALSE)</f>
        <v>0</v>
      </c>
      <c r="OT190" s="224">
        <f ca="1">VLOOKUP($OP190,INDIRECT($ON190):INDIRECT($OO190),5,FALSE)</f>
        <v>0</v>
      </c>
    </row>
    <row r="191" spans="2:410" ht="14.45" customHeight="1" x14ac:dyDescent="0.25">
      <c r="B191" s="175"/>
      <c r="ES191" s="175"/>
      <c r="JB191" s="175"/>
      <c r="JC191" s="175"/>
      <c r="JD191" s="175"/>
      <c r="JE191" s="175"/>
      <c r="JF191" s="175"/>
      <c r="JG191" s="175"/>
      <c r="JH191" s="175"/>
      <c r="JI191" s="175"/>
      <c r="JJ191" s="175"/>
      <c r="JK191" s="175"/>
      <c r="JL191" s="175"/>
      <c r="JM191" s="175"/>
      <c r="JN191" s="175"/>
      <c r="JO191" s="175"/>
      <c r="JP191" s="175"/>
      <c r="JQ191" s="175"/>
      <c r="JR191" s="175"/>
      <c r="JS191" s="175"/>
      <c r="JT191" s="175"/>
      <c r="JU191" s="175"/>
      <c r="JV191" s="175"/>
      <c r="JW191" s="175"/>
      <c r="JX191" s="175"/>
      <c r="JY191" s="175"/>
      <c r="ON191" s="660" t="s">
        <v>544</v>
      </c>
      <c r="OO191" s="661" t="s">
        <v>545</v>
      </c>
      <c r="OP191" s="661">
        <v>8066</v>
      </c>
      <c r="OQ191" s="224" t="s">
        <v>612</v>
      </c>
      <c r="OR191" s="224">
        <f ca="1">VLOOKUP($OP191,INDIRECT($ON191):INDIRECT($OO191),3,FALSE)</f>
        <v>0</v>
      </c>
      <c r="OS191" s="224">
        <f ca="1">VLOOKUP($OP191,INDIRECT($ON191):INDIRECT($OO191),4,FALSE)</f>
        <v>0</v>
      </c>
      <c r="OT191" s="224">
        <f ca="1">VLOOKUP($OP191,INDIRECT($ON191):INDIRECT($OO191),5,FALSE)</f>
        <v>0</v>
      </c>
    </row>
    <row r="192" spans="2:410" ht="14.45" customHeight="1" x14ac:dyDescent="0.25">
      <c r="B192" s="175"/>
      <c r="ES192" s="175"/>
      <c r="JB192" s="175"/>
      <c r="JC192" s="175"/>
      <c r="JD192" s="175"/>
      <c r="JE192" s="175"/>
      <c r="JF192" s="175"/>
      <c r="JG192" s="175"/>
      <c r="JH192" s="175"/>
      <c r="JI192" s="175"/>
      <c r="JJ192" s="175"/>
      <c r="JK192" s="175"/>
      <c r="JL192" s="175"/>
      <c r="JM192" s="175"/>
      <c r="JN192" s="175"/>
      <c r="JO192" s="175"/>
      <c r="JP192" s="175"/>
      <c r="JQ192" s="175"/>
      <c r="JR192" s="175"/>
      <c r="JS192" s="175"/>
      <c r="JT192" s="175"/>
      <c r="JU192" s="175"/>
      <c r="JV192" s="175"/>
      <c r="JW192" s="175"/>
      <c r="JX192" s="175"/>
      <c r="JY192" s="175"/>
      <c r="ON192" s="223" t="s">
        <v>613</v>
      </c>
      <c r="OO192" s="224" t="s">
        <v>614</v>
      </c>
      <c r="OP192" s="224">
        <v>8067</v>
      </c>
      <c r="OQ192" s="224" t="s">
        <v>615</v>
      </c>
      <c r="OR192" s="224">
        <f ca="1">VLOOKUP($OP192,INDIRECT($ON192):INDIRECT($OO192),3,FALSE)</f>
        <v>87.51</v>
      </c>
      <c r="OS192" s="224">
        <f ca="1">VLOOKUP($OP192,INDIRECT($ON192):INDIRECT($OO192),4,FALSE)</f>
        <v>5.2</v>
      </c>
      <c r="OT192" s="224">
        <f ca="1">VLOOKUP($OP192,INDIRECT($ON192):INDIRECT($OO192),5,FALSE)</f>
        <v>5.2</v>
      </c>
    </row>
    <row r="193" spans="2:410" ht="14.45" customHeight="1" x14ac:dyDescent="0.25">
      <c r="B193" s="175"/>
      <c r="ES193" s="175"/>
      <c r="JB193" s="175"/>
      <c r="JC193" s="175"/>
      <c r="JD193" s="175"/>
      <c r="JE193" s="175"/>
      <c r="JF193" s="175"/>
      <c r="JG193" s="175"/>
      <c r="JH193" s="175"/>
      <c r="JI193" s="175"/>
      <c r="JJ193" s="175"/>
      <c r="JK193" s="175"/>
      <c r="JL193" s="175"/>
      <c r="JM193" s="175"/>
      <c r="JN193" s="175"/>
      <c r="JO193" s="175"/>
      <c r="JP193" s="175"/>
      <c r="JQ193" s="175"/>
      <c r="JR193" s="175"/>
      <c r="JS193" s="175"/>
      <c r="JT193" s="175"/>
      <c r="JU193" s="175"/>
      <c r="JV193" s="175"/>
      <c r="JW193" s="175"/>
      <c r="JX193" s="175"/>
      <c r="JY193" s="175"/>
      <c r="ON193" s="223" t="s">
        <v>613</v>
      </c>
      <c r="OO193" s="224" t="s">
        <v>614</v>
      </c>
      <c r="OP193" s="661">
        <v>8068</v>
      </c>
      <c r="OQ193" s="224" t="s">
        <v>616</v>
      </c>
      <c r="OR193" s="224">
        <f ca="1">VLOOKUP($OP193,INDIRECT($ON193):INDIRECT($OO193),3,FALSE)</f>
        <v>88</v>
      </c>
      <c r="OS193" s="224">
        <f ca="1">VLOOKUP($OP193,INDIRECT($ON193):INDIRECT($OO193),4,FALSE)</f>
        <v>3.6666666666666665</v>
      </c>
      <c r="OT193" s="224">
        <f ca="1">VLOOKUP($OP193,INDIRECT($ON193):INDIRECT($OO193),5,FALSE)</f>
        <v>3.6666666666666665</v>
      </c>
    </row>
    <row r="194" spans="2:410" ht="14.45" customHeight="1" x14ac:dyDescent="0.25">
      <c r="B194" s="175"/>
      <c r="ES194" s="175"/>
      <c r="JB194" s="175"/>
      <c r="JC194" s="175"/>
      <c r="JD194" s="175"/>
      <c r="JE194" s="175"/>
      <c r="JF194" s="175"/>
      <c r="JG194" s="175"/>
      <c r="JH194" s="175"/>
      <c r="JI194" s="175"/>
      <c r="JJ194" s="175"/>
      <c r="JK194" s="175"/>
      <c r="JL194" s="175"/>
      <c r="JM194" s="175"/>
      <c r="JN194" s="175"/>
      <c r="JO194" s="175"/>
      <c r="JP194" s="175"/>
      <c r="JQ194" s="175"/>
      <c r="JR194" s="175"/>
      <c r="JS194" s="175"/>
      <c r="JT194" s="175"/>
      <c r="JU194" s="175"/>
      <c r="JV194" s="175"/>
      <c r="JW194" s="175"/>
      <c r="JX194" s="175"/>
      <c r="JY194" s="175"/>
      <c r="ON194" s="223" t="s">
        <v>613</v>
      </c>
      <c r="OO194" s="224" t="s">
        <v>614</v>
      </c>
      <c r="OP194" s="224">
        <v>8069</v>
      </c>
      <c r="OQ194" s="224" t="s">
        <v>617</v>
      </c>
      <c r="OR194" s="224">
        <f ca="1">VLOOKUP($OP194,INDIRECT($ON194):INDIRECT($OO194),3,FALSE)</f>
        <v>232.57</v>
      </c>
      <c r="OS194" s="224">
        <f ca="1">VLOOKUP($OP194,INDIRECT($ON194):INDIRECT($OO194),4,FALSE)</f>
        <v>9.8000000000000007</v>
      </c>
      <c r="OT194" s="224">
        <f ca="1">VLOOKUP($OP194,INDIRECT($ON194):INDIRECT($OO194),5,FALSE)</f>
        <v>9.1</v>
      </c>
    </row>
    <row r="195" spans="2:410" ht="14.45" customHeight="1" x14ac:dyDescent="0.25">
      <c r="B195" s="175"/>
      <c r="ES195" s="175"/>
      <c r="JB195" s="175"/>
      <c r="JC195" s="175"/>
      <c r="JD195" s="175"/>
      <c r="JE195" s="175"/>
      <c r="JF195" s="175"/>
      <c r="JG195" s="175"/>
      <c r="JH195" s="175"/>
      <c r="JI195" s="175"/>
      <c r="JJ195" s="175"/>
      <c r="JK195" s="175"/>
      <c r="JL195" s="175"/>
      <c r="JM195" s="175"/>
      <c r="JN195" s="175"/>
      <c r="JO195" s="175"/>
      <c r="JP195" s="175"/>
      <c r="JQ195" s="175"/>
      <c r="JR195" s="175"/>
      <c r="JS195" s="175"/>
      <c r="JT195" s="175"/>
      <c r="JU195" s="175"/>
      <c r="JV195" s="175"/>
      <c r="JW195" s="175"/>
      <c r="JX195" s="175"/>
      <c r="JY195" s="175"/>
      <c r="ON195" s="223" t="s">
        <v>613</v>
      </c>
      <c r="OO195" s="224" t="s">
        <v>614</v>
      </c>
      <c r="OP195" s="661">
        <v>8070</v>
      </c>
      <c r="OQ195" s="224" t="s">
        <v>618</v>
      </c>
      <c r="OR195" s="224">
        <f ca="1">VLOOKUP($OP195,INDIRECT($ON195):INDIRECT($OO195),3,FALSE)</f>
        <v>0</v>
      </c>
      <c r="OS195" s="224">
        <f ca="1">VLOOKUP($OP195,INDIRECT($ON195):INDIRECT($OO195),4,FALSE)</f>
        <v>0</v>
      </c>
      <c r="OT195" s="224">
        <f ca="1">VLOOKUP($OP195,INDIRECT($ON195):INDIRECT($OO195),5,FALSE)</f>
        <v>0</v>
      </c>
    </row>
    <row r="196" spans="2:410" ht="14.45" customHeight="1" x14ac:dyDescent="0.25">
      <c r="B196" s="175"/>
      <c r="ES196" s="175"/>
      <c r="JB196" s="175"/>
      <c r="JC196" s="175"/>
      <c r="JD196" s="175"/>
      <c r="JE196" s="175"/>
      <c r="JF196" s="175"/>
      <c r="JG196" s="175"/>
      <c r="JH196" s="175"/>
      <c r="JI196" s="175"/>
      <c r="JJ196" s="175"/>
      <c r="JK196" s="175"/>
      <c r="JL196" s="175"/>
      <c r="JM196" s="175"/>
      <c r="JN196" s="175"/>
      <c r="JO196" s="175"/>
      <c r="JP196" s="175"/>
      <c r="JQ196" s="175"/>
      <c r="JR196" s="175"/>
      <c r="JS196" s="175"/>
      <c r="JT196" s="175"/>
      <c r="JU196" s="175"/>
      <c r="JV196" s="175"/>
      <c r="JW196" s="175"/>
      <c r="JX196" s="175"/>
      <c r="JY196" s="175"/>
      <c r="ON196" s="223" t="s">
        <v>613</v>
      </c>
      <c r="OO196" s="224" t="s">
        <v>614</v>
      </c>
      <c r="OP196" s="224">
        <v>8071</v>
      </c>
      <c r="OQ196" s="224" t="s">
        <v>619</v>
      </c>
      <c r="OR196" s="224">
        <f ca="1">VLOOKUP($OP196,INDIRECT($ON196):INDIRECT($OO196),3,FALSE)</f>
        <v>0</v>
      </c>
      <c r="OS196" s="224">
        <f ca="1">VLOOKUP($OP196,INDIRECT($ON196):INDIRECT($OO196),4,FALSE)</f>
        <v>0</v>
      </c>
      <c r="OT196" s="224">
        <f ca="1">VLOOKUP($OP196,INDIRECT($ON196):INDIRECT($OO196),5,FALSE)</f>
        <v>0</v>
      </c>
    </row>
    <row r="197" spans="2:410" ht="14.45" customHeight="1" x14ac:dyDescent="0.25">
      <c r="B197" s="175"/>
      <c r="ES197" s="175"/>
      <c r="JB197" s="175"/>
      <c r="JC197" s="175"/>
      <c r="JD197" s="175"/>
      <c r="JE197" s="175"/>
      <c r="JF197" s="175"/>
      <c r="JG197" s="175"/>
      <c r="JH197" s="175"/>
      <c r="JI197" s="175"/>
      <c r="JJ197" s="175"/>
      <c r="JK197" s="175"/>
      <c r="JL197" s="175"/>
      <c r="JM197" s="175"/>
      <c r="JN197" s="175"/>
      <c r="JO197" s="175"/>
      <c r="JP197" s="175"/>
      <c r="JQ197" s="175"/>
      <c r="JR197" s="175"/>
      <c r="JS197" s="175"/>
      <c r="JT197" s="175"/>
      <c r="JU197" s="175"/>
      <c r="JV197" s="175"/>
      <c r="JW197" s="175"/>
      <c r="JX197" s="175"/>
      <c r="JY197" s="175"/>
      <c r="ON197" s="223" t="s">
        <v>613</v>
      </c>
      <c r="OO197" s="224" t="s">
        <v>614</v>
      </c>
      <c r="OP197" s="661">
        <v>8072</v>
      </c>
      <c r="OQ197" s="224" t="s">
        <v>620</v>
      </c>
      <c r="OR197" s="224">
        <f ca="1">VLOOKUP($OP197,INDIRECT($ON197):INDIRECT($OO197),3,FALSE)</f>
        <v>0</v>
      </c>
      <c r="OS197" s="224">
        <f ca="1">VLOOKUP($OP197,INDIRECT($ON197):INDIRECT($OO197),4,FALSE)</f>
        <v>0</v>
      </c>
      <c r="OT197" s="224">
        <f ca="1">VLOOKUP($OP197,INDIRECT($ON197):INDIRECT($OO197),5,FALSE)</f>
        <v>0</v>
      </c>
    </row>
    <row r="198" spans="2:410" ht="14.45" customHeight="1" x14ac:dyDescent="0.25">
      <c r="B198" s="175"/>
      <c r="ES198" s="175"/>
      <c r="JB198" s="175"/>
      <c r="JC198" s="175"/>
      <c r="JD198" s="175"/>
      <c r="JE198" s="175"/>
      <c r="JF198" s="175"/>
      <c r="JG198" s="175"/>
      <c r="JH198" s="175"/>
      <c r="JI198" s="175"/>
      <c r="JJ198" s="175"/>
      <c r="JK198" s="175"/>
      <c r="JL198" s="175"/>
      <c r="JM198" s="175"/>
      <c r="JN198" s="175"/>
      <c r="JO198" s="175"/>
      <c r="JP198" s="175"/>
      <c r="JQ198" s="175"/>
      <c r="JR198" s="175"/>
      <c r="JS198" s="175"/>
      <c r="JT198" s="175"/>
      <c r="JU198" s="175"/>
      <c r="JV198" s="175"/>
      <c r="JW198" s="175"/>
      <c r="JX198" s="175"/>
      <c r="JY198" s="175"/>
      <c r="ON198" s="223" t="s">
        <v>613</v>
      </c>
      <c r="OO198" s="224" t="s">
        <v>614</v>
      </c>
      <c r="OP198" s="224">
        <v>8073</v>
      </c>
      <c r="OQ198" s="224" t="s">
        <v>621</v>
      </c>
      <c r="OR198" s="224">
        <f ca="1">VLOOKUP($OP198,INDIRECT($ON198):INDIRECT($OO198),3,FALSE)</f>
        <v>0</v>
      </c>
      <c r="OS198" s="224">
        <f ca="1">VLOOKUP($OP198,INDIRECT($ON198):INDIRECT($OO198),4,FALSE)</f>
        <v>0</v>
      </c>
      <c r="OT198" s="224">
        <f ca="1">VLOOKUP($OP198,INDIRECT($ON198):INDIRECT($OO198),5,FALSE)</f>
        <v>0</v>
      </c>
    </row>
    <row r="199" spans="2:410" ht="14.45" customHeight="1" x14ac:dyDescent="0.25">
      <c r="B199" s="175"/>
      <c r="ES199" s="175"/>
      <c r="JB199" s="175"/>
      <c r="JC199" s="175"/>
      <c r="JD199" s="175"/>
      <c r="JE199" s="175"/>
      <c r="JF199" s="175"/>
      <c r="JG199" s="175"/>
      <c r="JH199" s="175"/>
      <c r="JI199" s="175"/>
      <c r="JJ199" s="175"/>
      <c r="JK199" s="175"/>
      <c r="JL199" s="175"/>
      <c r="JM199" s="175"/>
      <c r="JN199" s="175"/>
      <c r="JO199" s="175"/>
      <c r="JP199" s="175"/>
      <c r="JQ199" s="175"/>
      <c r="JR199" s="175"/>
      <c r="JS199" s="175"/>
      <c r="JT199" s="175"/>
      <c r="JU199" s="175"/>
      <c r="JV199" s="175"/>
      <c r="JW199" s="175"/>
      <c r="JX199" s="175"/>
      <c r="JY199" s="175"/>
      <c r="ON199" s="223" t="s">
        <v>613</v>
      </c>
      <c r="OO199" s="224" t="s">
        <v>614</v>
      </c>
      <c r="OP199" s="661">
        <v>8074</v>
      </c>
      <c r="OQ199" s="224" t="s">
        <v>622</v>
      </c>
      <c r="OR199" s="224">
        <f ca="1">VLOOKUP($OP199,INDIRECT($ON199):INDIRECT($OO199),3,FALSE)</f>
        <v>0</v>
      </c>
      <c r="OS199" s="224">
        <f ca="1">VLOOKUP($OP199,INDIRECT($ON199):INDIRECT($OO199),4,FALSE)</f>
        <v>0</v>
      </c>
      <c r="OT199" s="224">
        <f ca="1">VLOOKUP($OP199,INDIRECT($ON199):INDIRECT($OO199),5,FALSE)</f>
        <v>0</v>
      </c>
    </row>
    <row r="200" spans="2:410" ht="14.45" customHeight="1" x14ac:dyDescent="0.25">
      <c r="B200" s="175"/>
      <c r="ES200" s="175"/>
      <c r="JB200" s="175"/>
      <c r="JC200" s="175"/>
      <c r="JD200" s="175"/>
      <c r="JE200" s="175"/>
      <c r="JF200" s="175"/>
      <c r="JG200" s="175"/>
      <c r="JH200" s="175"/>
      <c r="JI200" s="175"/>
      <c r="JJ200" s="175"/>
      <c r="JK200" s="175"/>
      <c r="JL200" s="175"/>
      <c r="JM200" s="175"/>
      <c r="JN200" s="175"/>
      <c r="JO200" s="175"/>
      <c r="JP200" s="175"/>
      <c r="JQ200" s="175"/>
      <c r="JR200" s="175"/>
      <c r="JS200" s="175"/>
      <c r="JT200" s="175"/>
      <c r="JU200" s="175"/>
      <c r="JV200" s="175"/>
      <c r="JW200" s="175"/>
      <c r="JX200" s="175"/>
      <c r="JY200" s="175"/>
      <c r="ON200" s="223" t="s">
        <v>613</v>
      </c>
      <c r="OO200" s="224" t="s">
        <v>614</v>
      </c>
      <c r="OP200" s="224">
        <v>8075</v>
      </c>
      <c r="OQ200" s="224" t="s">
        <v>623</v>
      </c>
      <c r="OR200" s="224">
        <f ca="1">VLOOKUP($OP200,INDIRECT($ON200):INDIRECT($OO200),3,FALSE)</f>
        <v>0</v>
      </c>
      <c r="OS200" s="224">
        <f ca="1">VLOOKUP($OP200,INDIRECT($ON200):INDIRECT($OO200),4,FALSE)</f>
        <v>0</v>
      </c>
      <c r="OT200" s="224">
        <f ca="1">VLOOKUP($OP200,INDIRECT($ON200):INDIRECT($OO200),5,FALSE)</f>
        <v>0</v>
      </c>
    </row>
    <row r="201" spans="2:410" ht="14.45" customHeight="1" x14ac:dyDescent="0.25">
      <c r="B201" s="175"/>
      <c r="ES201" s="175"/>
      <c r="JB201" s="175"/>
      <c r="JC201" s="175"/>
      <c r="JD201" s="175"/>
      <c r="JE201" s="175"/>
      <c r="JF201" s="175"/>
      <c r="JG201" s="175"/>
      <c r="JH201" s="175"/>
      <c r="JI201" s="175"/>
      <c r="JJ201" s="175"/>
      <c r="JK201" s="175"/>
      <c r="JL201" s="175"/>
      <c r="JM201" s="175"/>
      <c r="JN201" s="175"/>
      <c r="JO201" s="175"/>
      <c r="JP201" s="175"/>
      <c r="JQ201" s="175"/>
      <c r="JR201" s="175"/>
      <c r="JS201" s="175"/>
      <c r="JT201" s="175"/>
      <c r="JU201" s="175"/>
      <c r="JV201" s="175"/>
      <c r="JW201" s="175"/>
      <c r="JX201" s="175"/>
      <c r="JY201" s="175"/>
      <c r="ON201" s="223" t="s">
        <v>613</v>
      </c>
      <c r="OO201" s="224" t="s">
        <v>614</v>
      </c>
      <c r="OP201" s="661">
        <v>8076</v>
      </c>
      <c r="OQ201" s="224" t="s">
        <v>624</v>
      </c>
      <c r="OR201" s="224">
        <f ca="1">VLOOKUP($OP201,INDIRECT($ON201):INDIRECT($OO201),3,FALSE)</f>
        <v>0</v>
      </c>
      <c r="OS201" s="224">
        <f ca="1">VLOOKUP($OP201,INDIRECT($ON201):INDIRECT($OO201),4,FALSE)</f>
        <v>0</v>
      </c>
      <c r="OT201" s="224">
        <f ca="1">VLOOKUP($OP201,INDIRECT($ON201):INDIRECT($OO201),5,FALSE)</f>
        <v>0</v>
      </c>
    </row>
    <row r="202" spans="2:410" ht="14.45" customHeight="1" x14ac:dyDescent="0.25">
      <c r="B202" s="175"/>
      <c r="ES202" s="175"/>
      <c r="JB202" s="175"/>
      <c r="JC202" s="175"/>
      <c r="JD202" s="175"/>
      <c r="JE202" s="175"/>
      <c r="JF202" s="175"/>
      <c r="JG202" s="175"/>
      <c r="JH202" s="175"/>
      <c r="JI202" s="175"/>
      <c r="JJ202" s="175"/>
      <c r="JK202" s="175"/>
      <c r="JL202" s="175"/>
      <c r="JM202" s="175"/>
      <c r="JN202" s="175"/>
      <c r="JO202" s="175"/>
      <c r="JP202" s="175"/>
      <c r="JQ202" s="175"/>
      <c r="JR202" s="175"/>
      <c r="JS202" s="175"/>
      <c r="JT202" s="175"/>
      <c r="JU202" s="175"/>
      <c r="JV202" s="175"/>
      <c r="JW202" s="175"/>
      <c r="JX202" s="175"/>
      <c r="JY202" s="175"/>
      <c r="ON202" s="223" t="s">
        <v>613</v>
      </c>
      <c r="OO202" s="224" t="s">
        <v>614</v>
      </c>
      <c r="OP202" s="224">
        <v>8077</v>
      </c>
      <c r="OQ202" s="224" t="s">
        <v>625</v>
      </c>
      <c r="OR202" s="224">
        <f ca="1">VLOOKUP($OP202,INDIRECT($ON202):INDIRECT($OO202),3,FALSE)</f>
        <v>55.515999999999998</v>
      </c>
      <c r="OS202" s="224">
        <f ca="1">VLOOKUP($OP202,INDIRECT($ON202):INDIRECT($OO202),4,FALSE)</f>
        <v>2.3131666666666666</v>
      </c>
      <c r="OT202" s="224">
        <f ca="1">VLOOKUP($OP202,INDIRECT($ON202):INDIRECT($OO202),5,FALSE)</f>
        <v>2.3131666666666666</v>
      </c>
    </row>
    <row r="203" spans="2:410" ht="14.45" customHeight="1" x14ac:dyDescent="0.25">
      <c r="B203" s="175"/>
      <c r="ES203" s="175"/>
      <c r="JB203" s="175"/>
      <c r="JC203" s="175"/>
      <c r="JD203" s="175"/>
      <c r="JE203" s="175"/>
      <c r="JF203" s="175"/>
      <c r="JG203" s="175"/>
      <c r="JH203" s="175"/>
      <c r="JI203" s="175"/>
      <c r="JJ203" s="175"/>
      <c r="JK203" s="175"/>
      <c r="JL203" s="175"/>
      <c r="JM203" s="175"/>
      <c r="JN203" s="175"/>
      <c r="JO203" s="175"/>
      <c r="JP203" s="175"/>
      <c r="JQ203" s="175"/>
      <c r="JR203" s="175"/>
      <c r="JS203" s="175"/>
      <c r="JT203" s="175"/>
      <c r="JU203" s="175"/>
      <c r="JV203" s="175"/>
      <c r="JW203" s="175"/>
      <c r="JX203" s="175"/>
      <c r="JY203" s="175"/>
      <c r="ON203" s="223" t="s">
        <v>613</v>
      </c>
      <c r="OO203" s="224" t="s">
        <v>614</v>
      </c>
      <c r="OP203" s="661">
        <v>8078</v>
      </c>
      <c r="OQ203" s="224" t="s">
        <v>626</v>
      </c>
      <c r="OR203" s="224">
        <f ca="1">VLOOKUP($OP203,INDIRECT($ON203):INDIRECT($OO203),3,FALSE)</f>
        <v>0</v>
      </c>
      <c r="OS203" s="224">
        <f ca="1">VLOOKUP($OP203,INDIRECT($ON203):INDIRECT($OO203),4,FALSE)</f>
        <v>0</v>
      </c>
      <c r="OT203" s="224">
        <f ca="1">VLOOKUP($OP203,INDIRECT($ON203):INDIRECT($OO203),5,FALSE)</f>
        <v>0</v>
      </c>
    </row>
    <row r="204" spans="2:410" ht="14.45" customHeight="1" x14ac:dyDescent="0.25">
      <c r="B204" s="175"/>
      <c r="ES204" s="175"/>
      <c r="JB204" s="175"/>
      <c r="JC204" s="175"/>
      <c r="JD204" s="175"/>
      <c r="JE204" s="175"/>
      <c r="JF204" s="175"/>
      <c r="JG204" s="175"/>
      <c r="JH204" s="175"/>
      <c r="JI204" s="175"/>
      <c r="JJ204" s="175"/>
      <c r="JK204" s="175"/>
      <c r="JL204" s="175"/>
      <c r="JM204" s="175"/>
      <c r="JN204" s="175"/>
      <c r="JO204" s="175"/>
      <c r="JP204" s="175"/>
      <c r="JQ204" s="175"/>
      <c r="JR204" s="175"/>
      <c r="JS204" s="175"/>
      <c r="JT204" s="175"/>
      <c r="JU204" s="175"/>
      <c r="JV204" s="175"/>
      <c r="JW204" s="175"/>
      <c r="JX204" s="175"/>
      <c r="JY204" s="175"/>
      <c r="ON204" s="223" t="s">
        <v>613</v>
      </c>
      <c r="OO204" s="224" t="s">
        <v>614</v>
      </c>
      <c r="OP204" s="224">
        <v>8079</v>
      </c>
      <c r="OQ204" s="224" t="s">
        <v>627</v>
      </c>
      <c r="OR204" s="224">
        <f ca="1">VLOOKUP($OP204,INDIRECT($ON204):INDIRECT($OO204),3,FALSE)</f>
        <v>0</v>
      </c>
      <c r="OS204" s="224">
        <f ca="1">VLOOKUP($OP204,INDIRECT($ON204):INDIRECT($OO204),4,FALSE)</f>
        <v>0</v>
      </c>
      <c r="OT204" s="224">
        <f ca="1">VLOOKUP($OP204,INDIRECT($ON204):INDIRECT($OO204),5,FALSE)</f>
        <v>0</v>
      </c>
    </row>
    <row r="205" spans="2:410" ht="14.45" customHeight="1" x14ac:dyDescent="0.25">
      <c r="B205" s="175"/>
      <c r="ES205" s="175"/>
      <c r="JB205" s="175"/>
      <c r="JC205" s="175"/>
      <c r="JD205" s="175"/>
      <c r="JE205" s="175"/>
      <c r="JF205" s="175"/>
      <c r="JG205" s="175"/>
      <c r="JH205" s="175"/>
      <c r="JI205" s="175"/>
      <c r="JJ205" s="175"/>
      <c r="JK205" s="175"/>
      <c r="JL205" s="175"/>
      <c r="JM205" s="175"/>
      <c r="JN205" s="175"/>
      <c r="JO205" s="175"/>
      <c r="JP205" s="175"/>
      <c r="JQ205" s="175"/>
      <c r="JR205" s="175"/>
      <c r="JS205" s="175"/>
      <c r="JT205" s="175"/>
      <c r="JU205" s="175"/>
      <c r="JV205" s="175"/>
      <c r="JW205" s="175"/>
      <c r="JX205" s="175"/>
      <c r="JY205" s="175"/>
      <c r="ON205" s="223" t="s">
        <v>613</v>
      </c>
      <c r="OO205" s="224" t="s">
        <v>614</v>
      </c>
      <c r="OP205" s="661">
        <v>8080</v>
      </c>
      <c r="OQ205" s="224" t="s">
        <v>628</v>
      </c>
      <c r="OR205" s="224">
        <f ca="1">VLOOKUP($OP205,INDIRECT($ON205):INDIRECT($OO205),3,FALSE)</f>
        <v>0</v>
      </c>
      <c r="OS205" s="224">
        <f ca="1">VLOOKUP($OP205,INDIRECT($ON205):INDIRECT($OO205),4,FALSE)</f>
        <v>0</v>
      </c>
      <c r="OT205" s="224">
        <f ca="1">VLOOKUP($OP205,INDIRECT($ON205):INDIRECT($OO205),5,FALSE)</f>
        <v>0</v>
      </c>
    </row>
    <row r="206" spans="2:410" ht="14.45" customHeight="1" x14ac:dyDescent="0.25">
      <c r="B206" s="175"/>
      <c r="ES206" s="175"/>
      <c r="JB206" s="175"/>
      <c r="JC206" s="175"/>
      <c r="JD206" s="175"/>
      <c r="JE206" s="175"/>
      <c r="JF206" s="175"/>
      <c r="JG206" s="175"/>
      <c r="JH206" s="175"/>
      <c r="JI206" s="175"/>
      <c r="JJ206" s="175"/>
      <c r="JK206" s="175"/>
      <c r="JL206" s="175"/>
      <c r="JM206" s="175"/>
      <c r="JN206" s="175"/>
      <c r="JO206" s="175"/>
      <c r="JP206" s="175"/>
      <c r="JQ206" s="175"/>
      <c r="JR206" s="175"/>
      <c r="JS206" s="175"/>
      <c r="JT206" s="175"/>
      <c r="JU206" s="175"/>
      <c r="JV206" s="175"/>
      <c r="JW206" s="175"/>
      <c r="JX206" s="175"/>
      <c r="JY206" s="175"/>
      <c r="ON206" s="223" t="s">
        <v>613</v>
      </c>
      <c r="OO206" s="224" t="s">
        <v>614</v>
      </c>
      <c r="OP206" s="224">
        <v>8081</v>
      </c>
      <c r="OQ206" s="224" t="s">
        <v>629</v>
      </c>
      <c r="OR206" s="224">
        <f ca="1">VLOOKUP($OP206,INDIRECT($ON206):INDIRECT($OO206),3,FALSE)</f>
        <v>66.81</v>
      </c>
      <c r="OS206" s="224">
        <f ca="1">VLOOKUP($OP206,INDIRECT($ON206):INDIRECT($OO206),4,FALSE)</f>
        <v>2.7837499999999999</v>
      </c>
      <c r="OT206" s="224">
        <f ca="1">VLOOKUP($OP206,INDIRECT($ON206):INDIRECT($OO206),5,FALSE)</f>
        <v>2.7837499999999999</v>
      </c>
    </row>
    <row r="207" spans="2:410" x14ac:dyDescent="0.25">
      <c r="B207" s="175"/>
      <c r="JB207" s="175"/>
      <c r="JC207" s="175"/>
      <c r="JD207" s="175"/>
      <c r="JE207" s="175"/>
      <c r="JF207" s="175"/>
      <c r="JG207" s="175"/>
      <c r="JH207" s="175"/>
      <c r="JI207" s="175"/>
      <c r="JJ207" s="175"/>
      <c r="JK207" s="175"/>
      <c r="JL207" s="175"/>
      <c r="JM207" s="175"/>
      <c r="JN207" s="175"/>
      <c r="JO207" s="175"/>
      <c r="JP207" s="175"/>
      <c r="JQ207" s="175"/>
      <c r="JR207" s="175"/>
      <c r="JS207" s="175"/>
      <c r="JT207" s="175"/>
      <c r="JU207" s="175"/>
      <c r="JV207" s="175"/>
      <c r="JW207" s="175"/>
      <c r="JX207" s="175"/>
      <c r="JY207" s="175"/>
      <c r="ON207" s="223" t="s">
        <v>613</v>
      </c>
      <c r="OO207" s="224" t="s">
        <v>614</v>
      </c>
      <c r="OP207" s="661">
        <v>8082</v>
      </c>
      <c r="OQ207" s="224" t="s">
        <v>630</v>
      </c>
      <c r="OR207" s="224">
        <f ca="1">VLOOKUP($OP207,INDIRECT($ON207):INDIRECT($OO207),3,FALSE)</f>
        <v>0</v>
      </c>
      <c r="OS207" s="224">
        <f ca="1">VLOOKUP($OP207,INDIRECT($ON207):INDIRECT($OO207),4,FALSE)</f>
        <v>0</v>
      </c>
      <c r="OT207" s="224">
        <f ca="1">VLOOKUP($OP207,INDIRECT($ON207):INDIRECT($OO207),5,FALSE)</f>
        <v>0</v>
      </c>
    </row>
    <row r="208" spans="2:410" x14ac:dyDescent="0.25">
      <c r="JB208" s="175"/>
      <c r="JC208" s="175"/>
      <c r="JD208" s="175"/>
      <c r="JE208" s="175"/>
      <c r="JF208" s="175"/>
      <c r="JG208" s="175"/>
      <c r="JH208" s="175"/>
      <c r="JI208" s="175"/>
      <c r="JJ208" s="175"/>
      <c r="JK208" s="175"/>
      <c r="JL208" s="175"/>
      <c r="JM208" s="175"/>
      <c r="JN208" s="175"/>
      <c r="JO208" s="175"/>
      <c r="JP208" s="175"/>
      <c r="JQ208" s="175"/>
      <c r="JR208" s="175"/>
      <c r="JS208" s="175"/>
      <c r="JT208" s="175"/>
      <c r="JU208" s="175"/>
      <c r="JV208" s="175"/>
      <c r="JW208" s="175"/>
      <c r="JX208" s="175"/>
      <c r="JY208" s="175"/>
      <c r="ON208" s="223" t="s">
        <v>613</v>
      </c>
      <c r="OO208" s="224" t="s">
        <v>614</v>
      </c>
      <c r="OP208" s="224">
        <v>8083</v>
      </c>
      <c r="OQ208" s="224" t="s">
        <v>631</v>
      </c>
      <c r="OR208" s="224">
        <f ca="1">VLOOKUP($OP208,INDIRECT($ON208):INDIRECT($OO208),3,FALSE)</f>
        <v>17.88</v>
      </c>
      <c r="OS208" s="224">
        <f ca="1">VLOOKUP($OP208,INDIRECT($ON208):INDIRECT($OO208),4,FALSE)</f>
        <v>0.745</v>
      </c>
      <c r="OT208" s="224">
        <f ca="1">VLOOKUP($OP208,INDIRECT($ON208):INDIRECT($OO208),5,FALSE)</f>
        <v>0.745</v>
      </c>
    </row>
    <row r="209" spans="404:410" s="175" customFormat="1" ht="12.75" x14ac:dyDescent="0.25">
      <c r="ON209" s="223" t="s">
        <v>613</v>
      </c>
      <c r="OO209" s="224" t="s">
        <v>614</v>
      </c>
      <c r="OP209" s="661">
        <v>8084</v>
      </c>
      <c r="OQ209" s="224" t="s">
        <v>632</v>
      </c>
      <c r="OR209" s="224">
        <f ca="1">VLOOKUP($OP209,INDIRECT($ON209):INDIRECT($OO209),3,FALSE)</f>
        <v>0</v>
      </c>
      <c r="OS209" s="224">
        <f ca="1">VLOOKUP($OP209,INDIRECT($ON209):INDIRECT($OO209),4,FALSE)</f>
        <v>0</v>
      </c>
      <c r="OT209" s="224">
        <f ca="1">VLOOKUP($OP209,INDIRECT($ON209):INDIRECT($OO209),5,FALSE)</f>
        <v>0</v>
      </c>
    </row>
    <row r="210" spans="404:410" s="175" customFormat="1" ht="12.75" x14ac:dyDescent="0.25">
      <c r="ON210" s="223" t="s">
        <v>613</v>
      </c>
      <c r="OO210" s="224" t="s">
        <v>614</v>
      </c>
      <c r="OP210" s="224">
        <v>8085</v>
      </c>
      <c r="OQ210" s="224" t="s">
        <v>633</v>
      </c>
      <c r="OR210" s="224">
        <f ca="1">VLOOKUP($OP210,INDIRECT($ON210):INDIRECT($OO210),3,FALSE)</f>
        <v>45.09</v>
      </c>
      <c r="OS210" s="224">
        <f ca="1">VLOOKUP($OP210,INDIRECT($ON210):INDIRECT($OO210),4,FALSE)</f>
        <v>1.8787500000000001</v>
      </c>
      <c r="OT210" s="224">
        <f ca="1">VLOOKUP($OP210,INDIRECT($ON210):INDIRECT($OO210),5,FALSE)</f>
        <v>1.8787500000000001</v>
      </c>
    </row>
    <row r="211" spans="404:410" s="175" customFormat="1" ht="12.75" x14ac:dyDescent="0.25">
      <c r="ON211" s="223" t="s">
        <v>613</v>
      </c>
      <c r="OO211" s="224" t="s">
        <v>614</v>
      </c>
      <c r="OP211" s="661">
        <v>8086</v>
      </c>
      <c r="OQ211" s="224" t="s">
        <v>634</v>
      </c>
      <c r="OR211" s="224">
        <f ca="1">VLOOKUP($OP211,INDIRECT($ON211):INDIRECT($OO211),3,FALSE)</f>
        <v>144.09399999999999</v>
      </c>
      <c r="OS211" s="224">
        <f ca="1">VLOOKUP($OP211,INDIRECT($ON211):INDIRECT($OO211),4,FALSE)</f>
        <v>8</v>
      </c>
      <c r="OT211" s="224">
        <f ca="1">VLOOKUP($OP211,INDIRECT($ON211):INDIRECT($OO211),5,FALSE)</f>
        <v>8</v>
      </c>
    </row>
    <row r="212" spans="404:410" s="175" customFormat="1" ht="12.75" x14ac:dyDescent="0.25">
      <c r="ON212" s="223" t="s">
        <v>613</v>
      </c>
      <c r="OO212" s="224" t="s">
        <v>614</v>
      </c>
      <c r="OP212" s="224">
        <v>8087</v>
      </c>
      <c r="OQ212" s="224" t="s">
        <v>635</v>
      </c>
      <c r="OR212" s="224">
        <f ca="1">VLOOKUP($OP212,INDIRECT($ON212):INDIRECT($OO212),3,FALSE)</f>
        <v>0</v>
      </c>
      <c r="OS212" s="224">
        <f ca="1">VLOOKUP($OP212,INDIRECT($ON212):INDIRECT($OO212),4,FALSE)</f>
        <v>0</v>
      </c>
      <c r="OT212" s="224">
        <f ca="1">VLOOKUP($OP212,INDIRECT($ON212):INDIRECT($OO212),5,FALSE)</f>
        <v>0</v>
      </c>
    </row>
    <row r="213" spans="404:410" s="175" customFormat="1" ht="12.75" x14ac:dyDescent="0.25">
      <c r="ON213" s="223" t="s">
        <v>613</v>
      </c>
      <c r="OO213" s="224" t="s">
        <v>614</v>
      </c>
      <c r="OP213" s="661">
        <v>8088</v>
      </c>
      <c r="OQ213" s="224" t="s">
        <v>636</v>
      </c>
      <c r="OR213" s="224">
        <f ca="1">VLOOKUP($OP213,INDIRECT($ON213):INDIRECT($OO213),3,FALSE)</f>
        <v>0</v>
      </c>
      <c r="OS213" s="224">
        <f ca="1">VLOOKUP($OP213,INDIRECT($ON213):INDIRECT($OO213),4,FALSE)</f>
        <v>0</v>
      </c>
      <c r="OT213" s="224">
        <f ca="1">VLOOKUP($OP213,INDIRECT($ON213):INDIRECT($OO213),5,FALSE)</f>
        <v>0</v>
      </c>
    </row>
    <row r="214" spans="404:410" s="175" customFormat="1" ht="12.75" x14ac:dyDescent="0.25">
      <c r="ON214" s="223" t="s">
        <v>613</v>
      </c>
      <c r="OO214" s="224" t="s">
        <v>614</v>
      </c>
      <c r="OP214" s="224">
        <v>8089</v>
      </c>
      <c r="OQ214" s="224" t="s">
        <v>637</v>
      </c>
      <c r="OR214" s="224">
        <f ca="1">VLOOKUP($OP214,INDIRECT($ON214):INDIRECT($OO214),3,FALSE)</f>
        <v>0</v>
      </c>
      <c r="OS214" s="224">
        <f ca="1">VLOOKUP($OP214,INDIRECT($ON214):INDIRECT($OO214),4,FALSE)</f>
        <v>0</v>
      </c>
      <c r="OT214" s="224">
        <f ca="1">VLOOKUP($OP214,INDIRECT($ON214):INDIRECT($OO214),5,FALSE)</f>
        <v>0</v>
      </c>
    </row>
    <row r="215" spans="404:410" s="175" customFormat="1" ht="12.75" x14ac:dyDescent="0.25">
      <c r="ON215" s="223" t="s">
        <v>613</v>
      </c>
      <c r="OO215" s="224" t="s">
        <v>614</v>
      </c>
      <c r="OP215" s="661">
        <v>8090</v>
      </c>
      <c r="OQ215" s="224" t="s">
        <v>638</v>
      </c>
      <c r="OR215" s="224">
        <f ca="1">VLOOKUP($OP215,INDIRECT($ON215):INDIRECT($OO215),3,FALSE)</f>
        <v>76.58</v>
      </c>
      <c r="OS215" s="224">
        <f ca="1">VLOOKUP($OP215,INDIRECT($ON215):INDIRECT($OO215),4,FALSE)</f>
        <v>5</v>
      </c>
      <c r="OT215" s="224">
        <f ca="1">VLOOKUP($OP215,INDIRECT($ON215):INDIRECT($OO215),5,FALSE)</f>
        <v>5</v>
      </c>
    </row>
    <row r="216" spans="404:410" s="175" customFormat="1" ht="12.75" x14ac:dyDescent="0.25">
      <c r="ON216" s="223" t="s">
        <v>613</v>
      </c>
      <c r="OO216" s="224" t="s">
        <v>614</v>
      </c>
      <c r="OP216" s="224">
        <v>8091</v>
      </c>
      <c r="OQ216" s="224" t="s">
        <v>639</v>
      </c>
      <c r="OR216" s="224">
        <f ca="1">VLOOKUP($OP216,INDIRECT($ON216):INDIRECT($OO216),3,FALSE)</f>
        <v>173.92</v>
      </c>
      <c r="OS216" s="224">
        <f ca="1">VLOOKUP($OP216,INDIRECT($ON216):INDIRECT($OO216),4,FALSE)</f>
        <v>11</v>
      </c>
      <c r="OT216" s="224">
        <f ca="1">VLOOKUP($OP216,INDIRECT($ON216):INDIRECT($OO216),5,FALSE)</f>
        <v>11</v>
      </c>
    </row>
    <row r="217" spans="404:410" s="175" customFormat="1" ht="12.75" x14ac:dyDescent="0.25">
      <c r="ON217" s="223" t="s">
        <v>613</v>
      </c>
      <c r="OO217" s="224" t="s">
        <v>614</v>
      </c>
      <c r="OP217" s="661">
        <v>8092</v>
      </c>
      <c r="OQ217" s="224" t="s">
        <v>640</v>
      </c>
      <c r="OR217" s="224">
        <f ca="1">VLOOKUP($OP217,INDIRECT($ON217):INDIRECT($OO217),3,FALSE)</f>
        <v>37.159999999999997</v>
      </c>
      <c r="OS217" s="224">
        <f ca="1">VLOOKUP($OP217,INDIRECT($ON217):INDIRECT($OO217),4,FALSE)</f>
        <v>1.5483333333333331</v>
      </c>
      <c r="OT217" s="224">
        <f ca="1">VLOOKUP($OP217,INDIRECT($ON217):INDIRECT($OO217),5,FALSE)</f>
        <v>1.5483333333333331</v>
      </c>
    </row>
    <row r="218" spans="404:410" s="175" customFormat="1" ht="12.75" x14ac:dyDescent="0.25">
      <c r="ON218" s="223" t="s">
        <v>613</v>
      </c>
      <c r="OO218" s="224" t="s">
        <v>614</v>
      </c>
      <c r="OP218" s="224">
        <v>8093</v>
      </c>
      <c r="OQ218" s="224" t="s">
        <v>641</v>
      </c>
      <c r="OR218" s="224">
        <f ca="1">VLOOKUP($OP218,INDIRECT($ON218):INDIRECT($OO218),3,FALSE)</f>
        <v>0</v>
      </c>
      <c r="OS218" s="224">
        <f ca="1">VLOOKUP($OP218,INDIRECT($ON218):INDIRECT($OO218),4,FALSE)</f>
        <v>0</v>
      </c>
      <c r="OT218" s="224">
        <f ca="1">VLOOKUP($OP218,INDIRECT($ON218):INDIRECT($OO218),5,FALSE)</f>
        <v>0</v>
      </c>
    </row>
    <row r="219" spans="404:410" s="175" customFormat="1" ht="12.75" x14ac:dyDescent="0.25">
      <c r="ON219" s="223" t="s">
        <v>613</v>
      </c>
      <c r="OO219" s="224" t="s">
        <v>614</v>
      </c>
      <c r="OP219" s="661">
        <v>8094</v>
      </c>
      <c r="OQ219" s="224" t="s">
        <v>642</v>
      </c>
      <c r="OR219" s="224">
        <f ca="1">VLOOKUP($OP219,INDIRECT($ON219):INDIRECT($OO219),3,FALSE)</f>
        <v>0</v>
      </c>
      <c r="OS219" s="224">
        <f ca="1">VLOOKUP($OP219,INDIRECT($ON219):INDIRECT($OO219),4,FALSE)</f>
        <v>0</v>
      </c>
      <c r="OT219" s="224">
        <f ca="1">VLOOKUP($OP219,INDIRECT($ON219):INDIRECT($OO219),5,FALSE)</f>
        <v>0</v>
      </c>
    </row>
    <row r="220" spans="404:410" s="175" customFormat="1" ht="12.75" x14ac:dyDescent="0.25">
      <c r="ON220" s="223" t="s">
        <v>613</v>
      </c>
      <c r="OO220" s="224" t="s">
        <v>614</v>
      </c>
      <c r="OP220" s="224">
        <v>8095</v>
      </c>
      <c r="OQ220" s="224" t="s">
        <v>643</v>
      </c>
      <c r="OR220" s="224">
        <f ca="1">VLOOKUP($OP220,INDIRECT($ON220):INDIRECT($OO220),3,FALSE)</f>
        <v>0</v>
      </c>
      <c r="OS220" s="224">
        <f ca="1">VLOOKUP($OP220,INDIRECT($ON220):INDIRECT($OO220),4,FALSE)</f>
        <v>0</v>
      </c>
      <c r="OT220" s="224">
        <f ca="1">VLOOKUP($OP220,INDIRECT($ON220):INDIRECT($OO220),5,FALSE)</f>
        <v>0</v>
      </c>
    </row>
    <row r="221" spans="404:410" s="175" customFormat="1" ht="12.75" x14ac:dyDescent="0.25">
      <c r="ON221" s="223" t="s">
        <v>613</v>
      </c>
      <c r="OO221" s="224" t="s">
        <v>614</v>
      </c>
      <c r="OP221" s="661">
        <v>8096</v>
      </c>
      <c r="OQ221" s="224" t="s">
        <v>644</v>
      </c>
      <c r="OR221" s="224">
        <f ca="1">VLOOKUP($OP221,INDIRECT($ON221):INDIRECT($OO221),3,FALSE)</f>
        <v>0</v>
      </c>
      <c r="OS221" s="224">
        <f ca="1">VLOOKUP($OP221,INDIRECT($ON221):INDIRECT($OO221),4,FALSE)</f>
        <v>0</v>
      </c>
      <c r="OT221" s="224">
        <f ca="1">VLOOKUP($OP221,INDIRECT($ON221):INDIRECT($OO221),5,FALSE)</f>
        <v>0</v>
      </c>
    </row>
    <row r="222" spans="404:410" s="175" customFormat="1" ht="12.75" x14ac:dyDescent="0.25">
      <c r="ON222" s="223" t="s">
        <v>613</v>
      </c>
      <c r="OO222" s="224" t="s">
        <v>614</v>
      </c>
      <c r="OP222" s="224">
        <v>8097</v>
      </c>
      <c r="OQ222" s="224" t="s">
        <v>645</v>
      </c>
      <c r="OR222" s="224">
        <f ca="1">VLOOKUP($OP222,INDIRECT($ON222):INDIRECT($OO222),3,FALSE)</f>
        <v>215.4</v>
      </c>
      <c r="OS222" s="224">
        <f ca="1">VLOOKUP($OP222,INDIRECT($ON222):INDIRECT($OO222),4,FALSE)</f>
        <v>9</v>
      </c>
      <c r="OT222" s="224">
        <f ca="1">VLOOKUP($OP222,INDIRECT($ON222):INDIRECT($OO222),5,FALSE)</f>
        <v>9</v>
      </c>
    </row>
    <row r="223" spans="404:410" s="175" customFormat="1" ht="12.75" x14ac:dyDescent="0.25">
      <c r="ON223" s="223" t="s">
        <v>613</v>
      </c>
      <c r="OO223" s="224" t="s">
        <v>614</v>
      </c>
      <c r="OP223" s="661">
        <v>8098</v>
      </c>
      <c r="OQ223" s="224" t="s">
        <v>646</v>
      </c>
      <c r="OR223" s="224">
        <f ca="1">VLOOKUP($OP223,INDIRECT($ON223):INDIRECT($OO223),3,FALSE)</f>
        <v>0</v>
      </c>
      <c r="OS223" s="224">
        <f ca="1">VLOOKUP($OP223,INDIRECT($ON223):INDIRECT($OO223),4,FALSE)</f>
        <v>0</v>
      </c>
      <c r="OT223" s="224">
        <f ca="1">VLOOKUP($OP223,INDIRECT($ON223):INDIRECT($OO223),5,FALSE)</f>
        <v>0</v>
      </c>
    </row>
    <row r="224" spans="404:410" s="175" customFormat="1" ht="12.75" x14ac:dyDescent="0.25">
      <c r="ON224" s="223" t="s">
        <v>613</v>
      </c>
      <c r="OO224" s="224" t="s">
        <v>614</v>
      </c>
      <c r="OP224" s="224">
        <v>8099</v>
      </c>
      <c r="OQ224" s="224" t="s">
        <v>647</v>
      </c>
      <c r="OR224" s="224">
        <f ca="1">VLOOKUP($OP224,INDIRECT($ON224):INDIRECT($OO224),3,FALSE)</f>
        <v>51.48</v>
      </c>
      <c r="OS224" s="224">
        <f ca="1">VLOOKUP($OP224,INDIRECT($ON224):INDIRECT($OO224),4,FALSE)</f>
        <v>2.145</v>
      </c>
      <c r="OT224" s="224">
        <f ca="1">VLOOKUP($OP224,INDIRECT($ON224):INDIRECT($OO224),5,FALSE)</f>
        <v>2.145</v>
      </c>
    </row>
    <row r="225" spans="404:410" s="175" customFormat="1" ht="12.75" x14ac:dyDescent="0.25">
      <c r="ON225" s="223" t="s">
        <v>613</v>
      </c>
      <c r="OO225" s="224" t="s">
        <v>614</v>
      </c>
      <c r="OP225" s="661">
        <v>8100</v>
      </c>
      <c r="OQ225" s="224" t="s">
        <v>648</v>
      </c>
      <c r="OR225" s="224">
        <f ca="1">VLOOKUP($OP225,INDIRECT($ON225):INDIRECT($OO225),3,FALSE)</f>
        <v>62.17</v>
      </c>
      <c r="OS225" s="224">
        <f ca="1">VLOOKUP($OP225,INDIRECT($ON225):INDIRECT($OO225),4,FALSE)</f>
        <v>2.5904166666666666</v>
      </c>
      <c r="OT225" s="224">
        <f ca="1">VLOOKUP($OP225,INDIRECT($ON225):INDIRECT($OO225),5,FALSE)</f>
        <v>2.5904166666666666</v>
      </c>
    </row>
    <row r="226" spans="404:410" s="175" customFormat="1" ht="12.75" x14ac:dyDescent="0.25">
      <c r="ON226" s="223" t="s">
        <v>613</v>
      </c>
      <c r="OO226" s="224" t="s">
        <v>614</v>
      </c>
      <c r="OP226" s="224">
        <v>8101</v>
      </c>
      <c r="OQ226" s="224" t="s">
        <v>649</v>
      </c>
      <c r="OR226" s="224">
        <f ca="1">VLOOKUP($OP226,INDIRECT($ON226):INDIRECT($OO226),3,FALSE)</f>
        <v>19.86</v>
      </c>
      <c r="OS226" s="224">
        <f ca="1">VLOOKUP($OP226,INDIRECT($ON226):INDIRECT($OO226),4,FALSE)</f>
        <v>0.82750000000000001</v>
      </c>
      <c r="OT226" s="224">
        <f ca="1">VLOOKUP($OP226,INDIRECT($ON226):INDIRECT($OO226),5,FALSE)</f>
        <v>0.82750000000000001</v>
      </c>
    </row>
    <row r="227" spans="404:410" s="175" customFormat="1" ht="12.75" x14ac:dyDescent="0.25">
      <c r="ON227" s="223" t="s">
        <v>613</v>
      </c>
      <c r="OO227" s="224" t="s">
        <v>614</v>
      </c>
      <c r="OP227" s="661">
        <v>8102</v>
      </c>
      <c r="OQ227" s="224" t="s">
        <v>650</v>
      </c>
      <c r="OR227" s="224">
        <f ca="1">VLOOKUP($OP227,INDIRECT($ON227):INDIRECT($OO227),3,FALSE)</f>
        <v>54.4</v>
      </c>
      <c r="OS227" s="224">
        <f ca="1">VLOOKUP($OP227,INDIRECT($ON227):INDIRECT($OO227),4,FALSE)</f>
        <v>2.2666666666666666</v>
      </c>
      <c r="OT227" s="224">
        <f ca="1">VLOOKUP($OP227,INDIRECT($ON227):INDIRECT($OO227),5,FALSE)</f>
        <v>2.2666666666666666</v>
      </c>
    </row>
    <row r="228" spans="404:410" s="175" customFormat="1" ht="12.75" x14ac:dyDescent="0.25">
      <c r="ON228" s="223" t="s">
        <v>613</v>
      </c>
      <c r="OO228" s="224" t="s">
        <v>614</v>
      </c>
      <c r="OP228" s="224">
        <v>8103</v>
      </c>
      <c r="OQ228" s="224" t="s">
        <v>651</v>
      </c>
      <c r="OR228" s="224">
        <f ca="1">VLOOKUP($OP228,INDIRECT($ON228):INDIRECT($OO228),3,FALSE)</f>
        <v>2.6779999999999999</v>
      </c>
      <c r="OS228" s="224">
        <f ca="1">VLOOKUP($OP228,INDIRECT($ON228):INDIRECT($OO228),4,FALSE)</f>
        <v>0.11158333333333333</v>
      </c>
      <c r="OT228" s="224">
        <f ca="1">VLOOKUP($OP228,INDIRECT($ON228):INDIRECT($OO228),5,FALSE)</f>
        <v>0.11158333333333333</v>
      </c>
    </row>
    <row r="229" spans="404:410" s="175" customFormat="1" ht="12.75" x14ac:dyDescent="0.25">
      <c r="ON229" s="223" t="s">
        <v>613</v>
      </c>
      <c r="OO229" s="224" t="s">
        <v>614</v>
      </c>
      <c r="OP229" s="661">
        <v>8104</v>
      </c>
      <c r="OQ229" s="224" t="s">
        <v>652</v>
      </c>
      <c r="OR229" s="224">
        <f ca="1">VLOOKUP($OP229,INDIRECT($ON229):INDIRECT($OO229),3,FALSE)</f>
        <v>0</v>
      </c>
      <c r="OS229" s="224">
        <f ca="1">VLOOKUP($OP229,INDIRECT($ON229):INDIRECT($OO229),4,FALSE)</f>
        <v>0</v>
      </c>
      <c r="OT229" s="224">
        <f ca="1">VLOOKUP($OP229,INDIRECT($ON229):INDIRECT($OO229),5,FALSE)</f>
        <v>0</v>
      </c>
    </row>
    <row r="230" spans="404:410" s="175" customFormat="1" ht="12.75" x14ac:dyDescent="0.25">
      <c r="ON230" s="223" t="s">
        <v>613</v>
      </c>
      <c r="OO230" s="224" t="s">
        <v>614</v>
      </c>
      <c r="OP230" s="224">
        <v>8105</v>
      </c>
      <c r="OQ230" s="224" t="s">
        <v>653</v>
      </c>
      <c r="OR230" s="224">
        <f ca="1">VLOOKUP($OP230,INDIRECT($ON230):INDIRECT($OO230),3,FALSE)</f>
        <v>29.254999999999999</v>
      </c>
      <c r="OS230" s="224">
        <f ca="1">VLOOKUP($OP230,INDIRECT($ON230):INDIRECT($OO230),4,FALSE)</f>
        <v>1.2189583333333334</v>
      </c>
      <c r="OT230" s="224">
        <f ca="1">VLOOKUP($OP230,INDIRECT($ON230):INDIRECT($OO230),5,FALSE)</f>
        <v>1.2189583333333334</v>
      </c>
    </row>
    <row r="231" spans="404:410" s="175" customFormat="1" ht="12.75" x14ac:dyDescent="0.25">
      <c r="ON231" s="223" t="s">
        <v>613</v>
      </c>
      <c r="OO231" s="224" t="s">
        <v>614</v>
      </c>
      <c r="OP231" s="661">
        <v>8106</v>
      </c>
      <c r="OQ231" s="224" t="s">
        <v>654</v>
      </c>
      <c r="OR231" s="224">
        <f ca="1">VLOOKUP($OP231,INDIRECT($ON231):INDIRECT($OO231),3,FALSE)</f>
        <v>65.709999999999994</v>
      </c>
      <c r="OS231" s="224">
        <f ca="1">VLOOKUP($OP231,INDIRECT($ON231):INDIRECT($OO231),4,FALSE)</f>
        <v>2.7379166666666666</v>
      </c>
      <c r="OT231" s="224">
        <f ca="1">VLOOKUP($OP231,INDIRECT($ON231):INDIRECT($OO231),5,FALSE)</f>
        <v>2.7379166666666666</v>
      </c>
    </row>
    <row r="232" spans="404:410" s="175" customFormat="1" ht="12.75" x14ac:dyDescent="0.25">
      <c r="ON232" s="223" t="s">
        <v>613</v>
      </c>
      <c r="OO232" s="224" t="s">
        <v>614</v>
      </c>
      <c r="OP232" s="224">
        <v>8107</v>
      </c>
      <c r="OQ232" s="224" t="s">
        <v>655</v>
      </c>
      <c r="OR232" s="224">
        <f ca="1">VLOOKUP($OP232,INDIRECT($ON232):INDIRECT($OO232),3,FALSE)</f>
        <v>126.85899999999999</v>
      </c>
      <c r="OS232" s="224">
        <f ca="1">VLOOKUP($OP232,INDIRECT($ON232):INDIRECT($OO232),4,FALSE)</f>
        <v>7</v>
      </c>
      <c r="OT232" s="224">
        <f ca="1">VLOOKUP($OP232,INDIRECT($ON232):INDIRECT($OO232),5,FALSE)</f>
        <v>7</v>
      </c>
    </row>
    <row r="233" spans="404:410" s="175" customFormat="1" ht="12.75" x14ac:dyDescent="0.25">
      <c r="ON233" s="223" t="s">
        <v>613</v>
      </c>
      <c r="OO233" s="224" t="s">
        <v>614</v>
      </c>
      <c r="OP233" s="661">
        <v>8108</v>
      </c>
      <c r="OQ233" s="224" t="s">
        <v>656</v>
      </c>
      <c r="OR233" s="224">
        <f ca="1">VLOOKUP($OP233,INDIRECT($ON233):INDIRECT($OO233),3,FALSE)</f>
        <v>0</v>
      </c>
      <c r="OS233" s="224">
        <f ca="1">VLOOKUP($OP233,INDIRECT($ON233):INDIRECT($OO233),4,FALSE)</f>
        <v>1.2</v>
      </c>
      <c r="OT233" s="224">
        <f ca="1">VLOOKUP($OP233,INDIRECT($ON233):INDIRECT($OO233),5,FALSE)</f>
        <v>1.2</v>
      </c>
    </row>
    <row r="234" spans="404:410" s="175" customFormat="1" ht="12.75" x14ac:dyDescent="0.25">
      <c r="ON234" s="223" t="s">
        <v>613</v>
      </c>
      <c r="OO234" s="224" t="s">
        <v>614</v>
      </c>
      <c r="OP234" s="224">
        <v>8109</v>
      </c>
      <c r="OQ234" s="224" t="s">
        <v>657</v>
      </c>
      <c r="OR234" s="224">
        <f ca="1">VLOOKUP($OP234,INDIRECT($ON234):INDIRECT($OO234),3,FALSE)</f>
        <v>0</v>
      </c>
      <c r="OS234" s="224">
        <f ca="1">VLOOKUP($OP234,INDIRECT($ON234):INDIRECT($OO234),4,FALSE)</f>
        <v>0</v>
      </c>
      <c r="OT234" s="224">
        <f ca="1">VLOOKUP($OP234,INDIRECT($ON234):INDIRECT($OO234),5,FALSE)</f>
        <v>0</v>
      </c>
    </row>
    <row r="235" spans="404:410" s="175" customFormat="1" ht="12.75" x14ac:dyDescent="0.25">
      <c r="ON235" s="223" t="s">
        <v>613</v>
      </c>
      <c r="OO235" s="224" t="s">
        <v>614</v>
      </c>
      <c r="OP235" s="661">
        <v>8110</v>
      </c>
      <c r="OQ235" s="224" t="s">
        <v>658</v>
      </c>
      <c r="OR235" s="224">
        <f ca="1">VLOOKUP($OP235,INDIRECT($ON235):INDIRECT($OO235),3,FALSE)</f>
        <v>0</v>
      </c>
      <c r="OS235" s="224">
        <f ca="1">VLOOKUP($OP235,INDIRECT($ON235):INDIRECT($OO235),4,FALSE)</f>
        <v>0</v>
      </c>
      <c r="OT235" s="224">
        <f ca="1">VLOOKUP($OP235,INDIRECT($ON235):INDIRECT($OO235),5,FALSE)</f>
        <v>0</v>
      </c>
    </row>
    <row r="236" spans="404:410" s="175" customFormat="1" ht="12.75" x14ac:dyDescent="0.25">
      <c r="ON236" s="223" t="s">
        <v>613</v>
      </c>
      <c r="OO236" s="224" t="s">
        <v>614</v>
      </c>
      <c r="OP236" s="224">
        <v>8111</v>
      </c>
      <c r="OQ236" s="224" t="s">
        <v>659</v>
      </c>
      <c r="OR236" s="224">
        <f ca="1">VLOOKUP($OP236,INDIRECT($ON236):INDIRECT($OO236),3,FALSE)</f>
        <v>23.67</v>
      </c>
      <c r="OS236" s="224">
        <f ca="1">VLOOKUP($OP236,INDIRECT($ON236):INDIRECT($OO236),4,FALSE)</f>
        <v>0.98625000000000007</v>
      </c>
      <c r="OT236" s="224">
        <f ca="1">VLOOKUP($OP236,INDIRECT($ON236):INDIRECT($OO236),5,FALSE)</f>
        <v>0.98625000000000007</v>
      </c>
    </row>
    <row r="237" spans="404:410" s="175" customFormat="1" ht="12.75" x14ac:dyDescent="0.25">
      <c r="ON237" s="223" t="s">
        <v>613</v>
      </c>
      <c r="OO237" s="224" t="s">
        <v>614</v>
      </c>
      <c r="OP237" s="661">
        <v>8112</v>
      </c>
      <c r="OQ237" s="643" t="s">
        <v>660</v>
      </c>
      <c r="OR237" s="224">
        <f ca="1">VLOOKUP($OP237,INDIRECT($ON237):INDIRECT($OO237),3,FALSE)</f>
        <v>480.11700000000002</v>
      </c>
      <c r="OS237" s="224">
        <f ca="1">VLOOKUP($OP237,INDIRECT($ON237):INDIRECT($OO237),4,FALSE)</f>
        <v>23.4</v>
      </c>
      <c r="OT237" s="224">
        <f ca="1">VLOOKUP($OP237,INDIRECT($ON237):INDIRECT($OO237),5,FALSE)</f>
        <v>21</v>
      </c>
    </row>
    <row r="238" spans="404:410" s="175" customFormat="1" ht="12.75" x14ac:dyDescent="0.25">
      <c r="ON238" s="223" t="s">
        <v>613</v>
      </c>
      <c r="OO238" s="224" t="s">
        <v>614</v>
      </c>
      <c r="OP238" s="224">
        <v>8113</v>
      </c>
      <c r="OQ238" s="224" t="s">
        <v>661</v>
      </c>
      <c r="OR238" s="224">
        <f ca="1">VLOOKUP($OP238,INDIRECT($ON238):INDIRECT($OO238),3,FALSE)</f>
        <v>115.83199999999999</v>
      </c>
      <c r="OS238" s="224">
        <f ca="1">VLOOKUP($OP238,INDIRECT($ON238):INDIRECT($OO238),4,FALSE)</f>
        <v>7</v>
      </c>
      <c r="OT238" s="224">
        <f ca="1">VLOOKUP($OP238,INDIRECT($ON238):INDIRECT($OO238),5,FALSE)</f>
        <v>7</v>
      </c>
    </row>
    <row r="239" spans="404:410" s="175" customFormat="1" ht="12.75" x14ac:dyDescent="0.25">
      <c r="ON239" s="223" t="s">
        <v>613</v>
      </c>
      <c r="OO239" s="224" t="s">
        <v>614</v>
      </c>
      <c r="OP239" s="661">
        <v>8114</v>
      </c>
      <c r="OQ239" s="224" t="s">
        <v>662</v>
      </c>
      <c r="OR239" s="224">
        <f ca="1">VLOOKUP($OP239,INDIRECT($ON239):INDIRECT($OO239),3,FALSE)</f>
        <v>23.32</v>
      </c>
      <c r="OS239" s="224">
        <f ca="1">VLOOKUP($OP239,INDIRECT($ON239):INDIRECT($OO239),4,FALSE)</f>
        <v>0.97166666666666668</v>
      </c>
      <c r="OT239" s="224">
        <f ca="1">VLOOKUP($OP239,INDIRECT($ON239):INDIRECT($OO239),5,FALSE)</f>
        <v>0.97166666666666668</v>
      </c>
    </row>
    <row r="240" spans="404:410" s="175" customFormat="1" ht="12.75" x14ac:dyDescent="0.25">
      <c r="ON240" s="223" t="s">
        <v>613</v>
      </c>
      <c r="OO240" s="224" t="s">
        <v>614</v>
      </c>
      <c r="OP240" s="224">
        <v>8115</v>
      </c>
      <c r="OQ240" s="224" t="s">
        <v>663</v>
      </c>
      <c r="OR240" s="224">
        <f ca="1">VLOOKUP($OP240,INDIRECT($ON240):INDIRECT($OO240),3,FALSE)</f>
        <v>0</v>
      </c>
      <c r="OS240" s="224">
        <f ca="1">VLOOKUP($OP240,INDIRECT($ON240):INDIRECT($OO240),4,FALSE)</f>
        <v>0</v>
      </c>
      <c r="OT240" s="224">
        <f ca="1">VLOOKUP($OP240,INDIRECT($ON240):INDIRECT($OO240),5,FALSE)</f>
        <v>0</v>
      </c>
    </row>
    <row r="241" spans="404:412" s="175" customFormat="1" ht="12.75" x14ac:dyDescent="0.25">
      <c r="ON241" s="223" t="s">
        <v>613</v>
      </c>
      <c r="OO241" s="224" t="s">
        <v>614</v>
      </c>
      <c r="OP241" s="661">
        <v>8116</v>
      </c>
      <c r="OQ241" s="224" t="s">
        <v>664</v>
      </c>
      <c r="OR241" s="224">
        <f ca="1">VLOOKUP($OP241,INDIRECT($ON241):INDIRECT($OO241),3,FALSE)</f>
        <v>51.31</v>
      </c>
      <c r="OS241" s="224">
        <f ca="1">VLOOKUP($OP241,INDIRECT($ON241):INDIRECT($OO241),4,FALSE)</f>
        <v>2.1379166666666669</v>
      </c>
      <c r="OT241" s="224">
        <f ca="1">VLOOKUP($OP241,INDIRECT($ON241):INDIRECT($OO241),5,FALSE)</f>
        <v>2.1379166666666669</v>
      </c>
    </row>
    <row r="242" spans="404:412" s="175" customFormat="1" ht="12.75" x14ac:dyDescent="0.25">
      <c r="ON242" s="223" t="s">
        <v>613</v>
      </c>
      <c r="OO242" s="224" t="s">
        <v>614</v>
      </c>
      <c r="OP242" s="224">
        <v>8117</v>
      </c>
      <c r="OQ242" s="224" t="s">
        <v>665</v>
      </c>
      <c r="OR242" s="224">
        <f ca="1">VLOOKUP($OP242,INDIRECT($ON242):INDIRECT($OO242),3,FALSE)</f>
        <v>48.1</v>
      </c>
      <c r="OS242" s="224">
        <f ca="1">VLOOKUP($OP242,INDIRECT($ON242):INDIRECT($OO242),4,FALSE)</f>
        <v>2.0041666666666669</v>
      </c>
      <c r="OT242" s="224">
        <f ca="1">VLOOKUP($OP242,INDIRECT($ON242):INDIRECT($OO242),5,FALSE)</f>
        <v>2.0041666666666669</v>
      </c>
    </row>
    <row r="243" spans="404:412" s="175" customFormat="1" ht="12.75" x14ac:dyDescent="0.25">
      <c r="ON243" s="223" t="s">
        <v>613</v>
      </c>
      <c r="OO243" s="224" t="s">
        <v>614</v>
      </c>
      <c r="OP243" s="661">
        <v>8118</v>
      </c>
      <c r="OQ243" s="224" t="s">
        <v>666</v>
      </c>
      <c r="OR243" s="224">
        <f ca="1">VLOOKUP($OP243,INDIRECT($ON243):INDIRECT($OO243),3,FALSE)</f>
        <v>52.56</v>
      </c>
      <c r="OS243" s="224">
        <f ca="1">VLOOKUP($OP243,INDIRECT($ON243):INDIRECT($OO243),4,FALSE)</f>
        <v>7</v>
      </c>
      <c r="OT243" s="224">
        <f ca="1">VLOOKUP($OP243,INDIRECT($ON243):INDIRECT($OO243),5,FALSE)</f>
        <v>7</v>
      </c>
      <c r="OV243" s="224"/>
    </row>
    <row r="244" spans="404:412" s="175" customFormat="1" ht="12.75" x14ac:dyDescent="0.25">
      <c r="ON244" s="223" t="s">
        <v>613</v>
      </c>
      <c r="OO244" s="224" t="s">
        <v>614</v>
      </c>
      <c r="OP244" s="224">
        <v>8119</v>
      </c>
      <c r="OQ244" s="224" t="s">
        <v>667</v>
      </c>
      <c r="OR244" s="224">
        <f ca="1">VLOOKUP($OP244,INDIRECT($ON244):INDIRECT($OO244),3,FALSE)</f>
        <v>32.61</v>
      </c>
      <c r="OS244" s="224">
        <f ca="1">VLOOKUP($OP244,INDIRECT($ON244):INDIRECT($OO244),4,FALSE)</f>
        <v>1.3587499999999999</v>
      </c>
      <c r="OT244" s="224">
        <f ca="1">VLOOKUP($OP244,INDIRECT($ON244):INDIRECT($OO244),5,FALSE)</f>
        <v>1.3587499999999999</v>
      </c>
    </row>
    <row r="245" spans="404:412" s="175" customFormat="1" ht="12.75" x14ac:dyDescent="0.25">
      <c r="ON245" s="223" t="s">
        <v>613</v>
      </c>
      <c r="OO245" s="224" t="s">
        <v>614</v>
      </c>
      <c r="OP245" s="661">
        <v>8120</v>
      </c>
      <c r="OQ245" s="224" t="s">
        <v>668</v>
      </c>
      <c r="OR245" s="224">
        <f ca="1">VLOOKUP($OP245,INDIRECT($ON245):INDIRECT($OO245),3,FALSE)</f>
        <v>20.64</v>
      </c>
      <c r="OS245" s="224">
        <f ca="1">VLOOKUP($OP245,INDIRECT($ON245):INDIRECT($OO245),4,FALSE)</f>
        <v>0.86</v>
      </c>
      <c r="OT245" s="224">
        <f ca="1">VLOOKUP($OP245,INDIRECT($ON245):INDIRECT($OO245),5,FALSE)</f>
        <v>0.86</v>
      </c>
    </row>
    <row r="246" spans="404:412" s="175" customFormat="1" ht="12.75" x14ac:dyDescent="0.25">
      <c r="ON246" s="223" t="s">
        <v>613</v>
      </c>
      <c r="OO246" s="224" t="s">
        <v>614</v>
      </c>
      <c r="OP246" s="224">
        <v>8121</v>
      </c>
      <c r="OQ246" s="224" t="s">
        <v>669</v>
      </c>
      <c r="OR246" s="224">
        <f ca="1">VLOOKUP($OP246,INDIRECT($ON246):INDIRECT($OO246),3,FALSE)</f>
        <v>223.05199999999999</v>
      </c>
      <c r="OS246" s="224">
        <f ca="1">VLOOKUP($OP246,INDIRECT($ON246):INDIRECT($OO246),4,FALSE)</f>
        <v>10</v>
      </c>
      <c r="OT246" s="224">
        <f ca="1">VLOOKUP($OP246,INDIRECT($ON246):INDIRECT($OO246),5,FALSE)</f>
        <v>10</v>
      </c>
    </row>
    <row r="247" spans="404:412" s="175" customFormat="1" ht="12.75" x14ac:dyDescent="0.25">
      <c r="ON247" s="223" t="s">
        <v>613</v>
      </c>
      <c r="OO247" s="224" t="s">
        <v>614</v>
      </c>
      <c r="OP247" s="661">
        <v>8122</v>
      </c>
      <c r="OQ247" s="224" t="s">
        <v>670</v>
      </c>
      <c r="OR247" s="224">
        <f ca="1">VLOOKUP($OP247,INDIRECT($ON247):INDIRECT($OO247),3,FALSE)</f>
        <v>37.340000000000003</v>
      </c>
      <c r="OS247" s="224">
        <f ca="1">VLOOKUP($OP247,INDIRECT($ON247):INDIRECT($OO247),4,FALSE)</f>
        <v>1.5558333333333334</v>
      </c>
      <c r="OT247" s="224">
        <f ca="1">VLOOKUP($OP247,INDIRECT($ON247):INDIRECT($OO247),5,FALSE)</f>
        <v>1.5558333333333334</v>
      </c>
    </row>
    <row r="248" spans="404:412" s="175" customFormat="1" ht="12.75" x14ac:dyDescent="0.25">
      <c r="ON248" s="223" t="s">
        <v>613</v>
      </c>
      <c r="OO248" s="224" t="s">
        <v>614</v>
      </c>
      <c r="OP248" s="224">
        <v>8123</v>
      </c>
      <c r="OQ248" s="224" t="s">
        <v>671</v>
      </c>
      <c r="OR248" s="224">
        <f ca="1">VLOOKUP($OP248,INDIRECT($ON248):INDIRECT($OO248),3,FALSE)</f>
        <v>71.38</v>
      </c>
      <c r="OS248" s="224">
        <f ca="1">VLOOKUP($OP248,INDIRECT($ON248):INDIRECT($OO248),4,FALSE)</f>
        <v>2.9741666666666666</v>
      </c>
      <c r="OT248" s="224">
        <f ca="1">VLOOKUP($OP248,INDIRECT($ON248):INDIRECT($OO248),5,FALSE)</f>
        <v>2.9741666666666666</v>
      </c>
    </row>
    <row r="249" spans="404:412" s="175" customFormat="1" ht="12.75" x14ac:dyDescent="0.25">
      <c r="ON249" s="223" t="s">
        <v>613</v>
      </c>
      <c r="OO249" s="224" t="s">
        <v>614</v>
      </c>
      <c r="OP249" s="661">
        <v>8124</v>
      </c>
      <c r="OQ249" s="224" t="s">
        <v>672</v>
      </c>
      <c r="OR249" s="224">
        <f ca="1">VLOOKUP($OP249,INDIRECT($ON249):INDIRECT($OO249),3,FALSE)</f>
        <v>56.4</v>
      </c>
      <c r="OS249" s="224">
        <f ca="1">VLOOKUP($OP249,INDIRECT($ON249):INDIRECT($OO249),4,FALSE)</f>
        <v>2.35</v>
      </c>
      <c r="OT249" s="224">
        <f ca="1">VLOOKUP($OP249,INDIRECT($ON249):INDIRECT($OO249),5,FALSE)</f>
        <v>2.35</v>
      </c>
    </row>
    <row r="250" spans="404:412" s="175" customFormat="1" ht="12.75" x14ac:dyDescent="0.25">
      <c r="ON250" s="223" t="s">
        <v>613</v>
      </c>
      <c r="OO250" s="224" t="s">
        <v>614</v>
      </c>
      <c r="OP250" s="224">
        <v>8125</v>
      </c>
      <c r="OQ250" s="224" t="s">
        <v>673</v>
      </c>
      <c r="OR250" s="224">
        <f ca="1">VLOOKUP($OP250,INDIRECT($ON250):INDIRECT($OO250),3,FALSE)</f>
        <v>914.6</v>
      </c>
      <c r="OS250" s="224">
        <f ca="1">VLOOKUP($OP250,INDIRECT($ON250):INDIRECT($OO250),4,FALSE)</f>
        <v>38.4</v>
      </c>
      <c r="OT250" s="224">
        <f ca="1">VLOOKUP($OP250,INDIRECT($ON250):INDIRECT($OO250),5,FALSE)</f>
        <v>37.9</v>
      </c>
    </row>
    <row r="251" spans="404:412" s="175" customFormat="1" ht="12.75" x14ac:dyDescent="0.25">
      <c r="ON251" s="223" t="s">
        <v>613</v>
      </c>
      <c r="OO251" s="224" t="s">
        <v>614</v>
      </c>
      <c r="OP251" s="661">
        <v>8126</v>
      </c>
      <c r="OQ251" s="224" t="s">
        <v>674</v>
      </c>
      <c r="OR251" s="224">
        <f ca="1">VLOOKUP($OP251,INDIRECT($ON251):INDIRECT($OO251),3,FALSE)</f>
        <v>62.3</v>
      </c>
      <c r="OS251" s="224">
        <f ca="1">VLOOKUP($OP251,INDIRECT($ON251):INDIRECT($OO251),4,FALSE)</f>
        <v>2.5958333333333332</v>
      </c>
      <c r="OT251" s="224">
        <f ca="1">VLOOKUP($OP251,INDIRECT($ON251):INDIRECT($OO251),5,FALSE)</f>
        <v>2.5958333333333332</v>
      </c>
    </row>
    <row r="252" spans="404:412" s="175" customFormat="1" ht="12.75" x14ac:dyDescent="0.25">
      <c r="ON252" s="223" t="s">
        <v>613</v>
      </c>
      <c r="OO252" s="224" t="s">
        <v>614</v>
      </c>
      <c r="OP252" s="224">
        <v>8127</v>
      </c>
      <c r="OQ252" s="224" t="s">
        <v>675</v>
      </c>
      <c r="OR252" s="224">
        <f ca="1">VLOOKUP($OP252,INDIRECT($ON252):INDIRECT($OO252),3,FALSE)</f>
        <v>0</v>
      </c>
      <c r="OS252" s="224">
        <f ca="1">VLOOKUP($OP252,INDIRECT($ON252):INDIRECT($OO252),4,FALSE)</f>
        <v>0</v>
      </c>
      <c r="OT252" s="224">
        <f ca="1">VLOOKUP($OP252,INDIRECT($ON252):INDIRECT($OO252),5,FALSE)</f>
        <v>0</v>
      </c>
    </row>
    <row r="253" spans="404:412" s="175" customFormat="1" ht="12.75" x14ac:dyDescent="0.25">
      <c r="ON253" s="223" t="s">
        <v>613</v>
      </c>
      <c r="OO253" s="224" t="s">
        <v>614</v>
      </c>
      <c r="OP253" s="661">
        <v>8128</v>
      </c>
      <c r="OQ253" s="224" t="s">
        <v>676</v>
      </c>
      <c r="OR253" s="224">
        <f ca="1">VLOOKUP($OP253,INDIRECT($ON253):INDIRECT($OO253),3,FALSE)</f>
        <v>0</v>
      </c>
      <c r="OS253" s="224">
        <f ca="1">VLOOKUP($OP253,INDIRECT($ON253):INDIRECT($OO253),4,FALSE)</f>
        <v>0</v>
      </c>
      <c r="OT253" s="224">
        <f ca="1">VLOOKUP($OP253,INDIRECT($ON253):INDIRECT($OO253),5,FALSE)</f>
        <v>0</v>
      </c>
    </row>
    <row r="254" spans="404:412" s="175" customFormat="1" ht="12.75" x14ac:dyDescent="0.25">
      <c r="ON254" s="223" t="s">
        <v>613</v>
      </c>
      <c r="OO254" s="224" t="s">
        <v>614</v>
      </c>
      <c r="OP254" s="224">
        <v>8129</v>
      </c>
      <c r="OQ254" s="224" t="s">
        <v>677</v>
      </c>
      <c r="OR254" s="224">
        <f ca="1">VLOOKUP($OP254,INDIRECT($ON254):INDIRECT($OO254),3,FALSE)</f>
        <v>0</v>
      </c>
      <c r="OS254" s="224">
        <f ca="1">VLOOKUP($OP254,INDIRECT($ON254):INDIRECT($OO254),4,FALSE)</f>
        <v>0</v>
      </c>
      <c r="OT254" s="224">
        <f ca="1">VLOOKUP($OP254,INDIRECT($ON254):INDIRECT($OO254),5,FALSE)</f>
        <v>0</v>
      </c>
    </row>
    <row r="255" spans="404:412" s="175" customFormat="1" ht="12.75" x14ac:dyDescent="0.25">
      <c r="ON255" s="223" t="s">
        <v>613</v>
      </c>
      <c r="OO255" s="224" t="s">
        <v>614</v>
      </c>
      <c r="OP255" s="661">
        <v>8130</v>
      </c>
      <c r="OQ255" s="224" t="s">
        <v>678</v>
      </c>
      <c r="OR255" s="224">
        <f ca="1">VLOOKUP($OP255,INDIRECT($ON255):INDIRECT($OO255),3,FALSE)</f>
        <v>3.53</v>
      </c>
      <c r="OS255" s="224">
        <f ca="1">VLOOKUP($OP255,INDIRECT($ON255):INDIRECT($OO255),4,FALSE)</f>
        <v>0.14708333333333332</v>
      </c>
      <c r="OT255" s="224">
        <f ca="1">VLOOKUP($OP255,INDIRECT($ON255):INDIRECT($OO255),5,FALSE)</f>
        <v>0.14708333333333332</v>
      </c>
    </row>
    <row r="256" spans="404:412" x14ac:dyDescent="0.25">
      <c r="ON256" s="660" t="s">
        <v>544</v>
      </c>
      <c r="OO256" s="661" t="s">
        <v>545</v>
      </c>
      <c r="OP256" s="224">
        <v>8131</v>
      </c>
      <c r="OQ256" s="224" t="s">
        <v>679</v>
      </c>
      <c r="OR256" s="224">
        <f ca="1">VLOOKUP($OP256,INDIRECT($ON256):INDIRECT($OO256),3,FALSE)</f>
        <v>203.76</v>
      </c>
      <c r="OS256" s="224">
        <f ca="1">VLOOKUP($OP256,INDIRECT($ON256):INDIRECT($OO256),4,FALSE)</f>
        <v>13</v>
      </c>
      <c r="OT256" s="224">
        <f ca="1">VLOOKUP($OP256,INDIRECT($ON256):INDIRECT($OO256),5,FALSE)</f>
        <v>13</v>
      </c>
    </row>
    <row r="257" spans="404:410" x14ac:dyDescent="0.25">
      <c r="ON257" s="660" t="s">
        <v>544</v>
      </c>
      <c r="OO257" s="661" t="s">
        <v>545</v>
      </c>
      <c r="OP257" s="661">
        <v>8132</v>
      </c>
      <c r="OQ257" s="224" t="s">
        <v>680</v>
      </c>
      <c r="OR257" s="224">
        <f ca="1">VLOOKUP($OP257,INDIRECT($ON257):INDIRECT($OO257),3,FALSE)</f>
        <v>79.510000000000005</v>
      </c>
      <c r="OS257" s="224">
        <f ca="1">VLOOKUP($OP257,INDIRECT($ON257):INDIRECT($OO257),4,FALSE)</f>
        <v>7</v>
      </c>
      <c r="OT257" s="224">
        <f ca="1">VLOOKUP($OP257,INDIRECT($ON257):INDIRECT($OO257),5,FALSE)</f>
        <v>7</v>
      </c>
    </row>
    <row r="258" spans="404:410" x14ac:dyDescent="0.25">
      <c r="ON258" s="660" t="s">
        <v>544</v>
      </c>
      <c r="OO258" s="661" t="s">
        <v>545</v>
      </c>
      <c r="OP258" s="224">
        <v>8133</v>
      </c>
      <c r="OQ258" s="224" t="s">
        <v>681</v>
      </c>
      <c r="OR258" s="224">
        <f ca="1">VLOOKUP($OP258,INDIRECT($ON258):INDIRECT($OO258),3,FALSE)</f>
        <v>101.47</v>
      </c>
      <c r="OS258" s="224">
        <f ca="1">VLOOKUP($OP258,INDIRECT($ON258):INDIRECT($OO258),4,FALSE)</f>
        <v>4.2279166666666663</v>
      </c>
      <c r="OT258" s="224">
        <f ca="1">VLOOKUP($OP258,INDIRECT($ON258):INDIRECT($OO258),5,FALSE)</f>
        <v>4.2279166666666663</v>
      </c>
    </row>
    <row r="259" spans="404:410" x14ac:dyDescent="0.25">
      <c r="ON259" s="660" t="s">
        <v>544</v>
      </c>
      <c r="OO259" s="661" t="s">
        <v>545</v>
      </c>
      <c r="OP259" s="224">
        <v>8134</v>
      </c>
      <c r="OQ259" s="224" t="s">
        <v>682</v>
      </c>
      <c r="OR259" s="224">
        <f ca="1">VLOOKUP($OP259,INDIRECT($ON259):INDIRECT($OO259),3,FALSE)</f>
        <v>261.60000000000002</v>
      </c>
      <c r="OS259" s="224">
        <f ca="1">VLOOKUP($OP259,INDIRECT($ON259):INDIRECT($OO259),4,FALSE)</f>
        <v>13</v>
      </c>
      <c r="OT259" s="224">
        <f ca="1">VLOOKUP($OP259,INDIRECT($ON259):INDIRECT($OO259),5,FALSE)</f>
        <v>13</v>
      </c>
    </row>
    <row r="260" spans="404:410" x14ac:dyDescent="0.25">
      <c r="ON260" s="223" t="s">
        <v>613</v>
      </c>
      <c r="OO260" s="224" t="s">
        <v>614</v>
      </c>
      <c r="OP260" s="224">
        <v>8135</v>
      </c>
      <c r="OQ260" s="224" t="s">
        <v>683</v>
      </c>
      <c r="OR260" s="224">
        <f ca="1">VLOOKUP($OP260,INDIRECT($ON260):INDIRECT($OO260),3,FALSE)</f>
        <v>226.5</v>
      </c>
      <c r="OS260" s="224">
        <f ca="1">VLOOKUP($OP260,INDIRECT($ON260):INDIRECT($OO260),4,FALSE)</f>
        <v>13</v>
      </c>
      <c r="OT260" s="224">
        <f ca="1">VLOOKUP($OP260,INDIRECT($ON260):INDIRECT($OO260),5,FALSE)</f>
        <v>13</v>
      </c>
    </row>
    <row r="261" spans="404:410" x14ac:dyDescent="0.25">
      <c r="ON261" s="223" t="s">
        <v>613</v>
      </c>
      <c r="OO261" s="224" t="s">
        <v>614</v>
      </c>
      <c r="OP261" s="224">
        <v>8136</v>
      </c>
      <c r="OQ261" s="224" t="s">
        <v>684</v>
      </c>
      <c r="OR261" s="224">
        <f ca="1">VLOOKUP($OP261,INDIRECT($ON261):INDIRECT($OO261),3,FALSE)</f>
        <v>331</v>
      </c>
      <c r="OS261" s="224">
        <f ca="1">VLOOKUP($OP261,INDIRECT($ON261):INDIRECT($OO261),4,FALSE)</f>
        <v>17</v>
      </c>
      <c r="OT261" s="224">
        <f ca="1">VLOOKUP($OP261,INDIRECT($ON261):INDIRECT($OO261),5,FALSE)</f>
        <v>17</v>
      </c>
    </row>
    <row r="262" spans="404:410" x14ac:dyDescent="0.25">
      <c r="ON262" s="660" t="s">
        <v>544</v>
      </c>
      <c r="OO262" s="661" t="s">
        <v>545</v>
      </c>
      <c r="OP262" s="224">
        <v>8137</v>
      </c>
      <c r="OQ262" s="224" t="s">
        <v>685</v>
      </c>
      <c r="OR262" s="224">
        <f ca="1">VLOOKUP($OP262,INDIRECT($ON262):INDIRECT($OO262),3,FALSE)</f>
        <v>124.636</v>
      </c>
      <c r="OS262" s="224">
        <f ca="1">VLOOKUP($OP262,INDIRECT($ON262):INDIRECT($OO262),4,FALSE)</f>
        <v>7.7</v>
      </c>
      <c r="OT262" s="224">
        <f ca="1">VLOOKUP($OP262,INDIRECT($ON262):INDIRECT($OO262),5,FALSE)</f>
        <v>7.7</v>
      </c>
    </row>
    <row r="263" spans="404:410" x14ac:dyDescent="0.25">
      <c r="ON263" s="223" t="s">
        <v>613</v>
      </c>
      <c r="OO263" s="224" t="s">
        <v>614</v>
      </c>
      <c r="OP263" s="224">
        <v>8138</v>
      </c>
      <c r="OQ263" s="224" t="s">
        <v>686</v>
      </c>
      <c r="OR263" s="224">
        <f ca="1">VLOOKUP($OP263,INDIRECT($ON263):INDIRECT($OO263),3,FALSE)</f>
        <v>0</v>
      </c>
      <c r="OS263" s="224">
        <f ca="1">VLOOKUP($OP263,INDIRECT($ON263):INDIRECT($OO263),4,FALSE)</f>
        <v>0</v>
      </c>
      <c r="OT263" s="224">
        <f ca="1">VLOOKUP($OP263,INDIRECT($ON263):INDIRECT($OO263),5,FALSE)</f>
        <v>0</v>
      </c>
    </row>
    <row r="264" spans="404:410" x14ac:dyDescent="0.25">
      <c r="ON264" s="660" t="s">
        <v>544</v>
      </c>
      <c r="OO264" s="661" t="s">
        <v>545</v>
      </c>
      <c r="OP264" s="224">
        <v>8139</v>
      </c>
      <c r="OQ264" s="224" t="s">
        <v>687</v>
      </c>
      <c r="OR264" s="224">
        <f ca="1">VLOOKUP($OP264,INDIRECT($ON264):INDIRECT($OO264),3,FALSE)</f>
        <v>0</v>
      </c>
      <c r="OS264" s="224">
        <f ca="1">VLOOKUP($OP264,INDIRECT($ON264):INDIRECT($OO264),4,FALSE)</f>
        <v>0</v>
      </c>
      <c r="OT264" s="224">
        <f ca="1">VLOOKUP($OP264,INDIRECT($ON264):INDIRECT($OO264),5,FALSE)</f>
        <v>0</v>
      </c>
    </row>
  </sheetData>
  <mergeCells count="44">
    <mergeCell ref="C10:C11"/>
    <mergeCell ref="BN1:BN3"/>
    <mergeCell ref="BV2:BW2"/>
    <mergeCell ref="D6:E6"/>
    <mergeCell ref="K6:M6"/>
    <mergeCell ref="AI6:AJ6"/>
    <mergeCell ref="AL6:AM6"/>
    <mergeCell ref="D7:E7"/>
    <mergeCell ref="D8:E8"/>
    <mergeCell ref="N8:P8"/>
    <mergeCell ref="S8:Z8"/>
    <mergeCell ref="O9:P9"/>
    <mergeCell ref="BX28:BY28"/>
    <mergeCell ref="AI10:AJ10"/>
    <mergeCell ref="BH18:BI18"/>
    <mergeCell ref="BJ18:BK18"/>
    <mergeCell ref="BJ19:BK19"/>
    <mergeCell ref="BH20:BI21"/>
    <mergeCell ref="BJ20:BK21"/>
    <mergeCell ref="BG22:BJ22"/>
    <mergeCell ref="BH23:BK23"/>
    <mergeCell ref="BY24:CA24"/>
    <mergeCell ref="BX25:BY26"/>
    <mergeCell ref="BX27:BY27"/>
    <mergeCell ref="BX29:BY29"/>
    <mergeCell ref="BX30:BY30"/>
    <mergeCell ref="BX31:BY31"/>
    <mergeCell ref="AZ32:AZ33"/>
    <mergeCell ref="BM32:BM33"/>
    <mergeCell ref="BX32:BY32"/>
    <mergeCell ref="BS33:BS40"/>
    <mergeCell ref="S40:Y40"/>
    <mergeCell ref="AZ40:AZ41"/>
    <mergeCell ref="S41:Y41"/>
    <mergeCell ref="BS41:BT41"/>
    <mergeCell ref="AL42:AM42"/>
    <mergeCell ref="BS42:BT42"/>
    <mergeCell ref="B66:B67"/>
    <mergeCell ref="AL43:AM43"/>
    <mergeCell ref="BP46:BQ46"/>
    <mergeCell ref="BP47:BQ47"/>
    <mergeCell ref="AL54:AM54"/>
    <mergeCell ref="AL55:AM55"/>
    <mergeCell ref="B56:B57"/>
  </mergeCells>
  <conditionalFormatting sqref="B58:B59">
    <cfRule type="expression" dxfId="1195" priority="219">
      <formula>C58=0</formula>
    </cfRule>
  </conditionalFormatting>
  <conditionalFormatting sqref="B68:B69">
    <cfRule type="expression" dxfId="1194" priority="218">
      <formula>C68=0</formula>
    </cfRule>
  </conditionalFormatting>
  <conditionalFormatting sqref="C14:C52">
    <cfRule type="expression" dxfId="1193" priority="157">
      <formula>D14=0</formula>
    </cfRule>
  </conditionalFormatting>
  <conditionalFormatting sqref="H14">
    <cfRule type="expression" dxfId="1192" priority="215">
      <formula>I14=0</formula>
    </cfRule>
  </conditionalFormatting>
  <conditionalFormatting sqref="H16">
    <cfRule type="expression" dxfId="1191" priority="214">
      <formula>I16=0</formula>
    </cfRule>
  </conditionalFormatting>
  <conditionalFormatting sqref="H18">
    <cfRule type="expression" dxfId="1190" priority="187">
      <formula>I18=0</formula>
    </cfRule>
  </conditionalFormatting>
  <conditionalFormatting sqref="H24">
    <cfRule type="expression" dxfId="1189" priority="213">
      <formula>I24=0</formula>
    </cfRule>
  </conditionalFormatting>
  <conditionalFormatting sqref="H29">
    <cfRule type="expression" dxfId="1188" priority="93">
      <formula>I29=0</formula>
    </cfRule>
  </conditionalFormatting>
  <conditionalFormatting sqref="H33">
    <cfRule type="expression" dxfId="1187" priority="186">
      <formula>I33=0</formula>
    </cfRule>
  </conditionalFormatting>
  <conditionalFormatting sqref="H37:H38">
    <cfRule type="expression" dxfId="1186" priority="147">
      <formula>I37=0</formula>
    </cfRule>
  </conditionalFormatting>
  <conditionalFormatting sqref="H41:H42">
    <cfRule type="expression" dxfId="1185" priority="185">
      <formula>I41=0</formula>
    </cfRule>
  </conditionalFormatting>
  <conditionalFormatting sqref="H45:H46">
    <cfRule type="expression" dxfId="1184" priority="184">
      <formula>I45=0</formula>
    </cfRule>
  </conditionalFormatting>
  <conditionalFormatting sqref="H48">
    <cfRule type="expression" dxfId="1183" priority="180">
      <formula>I48=0</formula>
    </cfRule>
  </conditionalFormatting>
  <conditionalFormatting sqref="H50">
    <cfRule type="expression" dxfId="1182" priority="210">
      <formula>I50=0</formula>
    </cfRule>
  </conditionalFormatting>
  <conditionalFormatting sqref="H53:H55">
    <cfRule type="expression" dxfId="1181" priority="181">
      <formula>I53=0</formula>
    </cfRule>
  </conditionalFormatting>
  <conditionalFormatting sqref="H61:H62">
    <cfRule type="expression" dxfId="1180" priority="183">
      <formula>I61=0</formula>
    </cfRule>
  </conditionalFormatting>
  <conditionalFormatting sqref="H65:H69">
    <cfRule type="expression" dxfId="1179" priority="141">
      <formula>I65=0</formula>
    </cfRule>
  </conditionalFormatting>
  <conditionalFormatting sqref="H72">
    <cfRule type="expression" dxfId="1178" priority="142">
      <formula>I72=0</formula>
    </cfRule>
  </conditionalFormatting>
  <conditionalFormatting sqref="H74:H75">
    <cfRule type="expression" dxfId="1177" priority="94">
      <formula>I74=0</formula>
    </cfRule>
  </conditionalFormatting>
  <conditionalFormatting sqref="H78">
    <cfRule type="expression" dxfId="1176" priority="100">
      <formula>I78=0</formula>
    </cfRule>
  </conditionalFormatting>
  <conditionalFormatting sqref="H81:H85">
    <cfRule type="expression" dxfId="1175" priority="11">
      <formula>I81=0</formula>
    </cfRule>
  </conditionalFormatting>
  <conditionalFormatting sqref="M14:M16">
    <cfRule type="expression" dxfId="1174" priority="178">
      <formula>N14=0</formula>
    </cfRule>
  </conditionalFormatting>
  <conditionalFormatting sqref="M21">
    <cfRule type="expression" dxfId="1173" priority="177">
      <formula>N21=0</formula>
    </cfRule>
  </conditionalFormatting>
  <conditionalFormatting sqref="M28:M30">
    <cfRule type="expression" dxfId="1172" priority="71">
      <formula>N28=0</formula>
    </cfRule>
  </conditionalFormatting>
  <conditionalFormatting sqref="M32:M35">
    <cfRule type="expression" dxfId="1171" priority="70">
      <formula>N32=0</formula>
    </cfRule>
  </conditionalFormatting>
  <conditionalFormatting sqref="M37:M41">
    <cfRule type="expression" dxfId="1170" priority="67">
      <formula>N37=0</formula>
    </cfRule>
  </conditionalFormatting>
  <conditionalFormatting sqref="M45:M51">
    <cfRule type="expression" dxfId="1169" priority="63">
      <formula>N45=0</formula>
    </cfRule>
  </conditionalFormatting>
  <conditionalFormatting sqref="M53:M57">
    <cfRule type="expression" dxfId="1168" priority="60">
      <formula>N53=0</formula>
    </cfRule>
  </conditionalFormatting>
  <conditionalFormatting sqref="M60:M77">
    <cfRule type="expression" dxfId="1167" priority="16">
      <formula>N60=0</formula>
    </cfRule>
  </conditionalFormatting>
  <conditionalFormatting sqref="O10:Q10">
    <cfRule type="expression" dxfId="1166" priority="197">
      <formula>$P$10="cm down"</formula>
    </cfRule>
    <cfRule type="expression" dxfId="1165" priority="198">
      <formula>$P$10="cm up"</formula>
    </cfRule>
  </conditionalFormatting>
  <conditionalFormatting sqref="S44:S47">
    <cfRule type="expression" dxfId="1164" priority="188">
      <formula>T44=0</formula>
    </cfRule>
  </conditionalFormatting>
  <conditionalFormatting sqref="AD11:AE41">
    <cfRule type="expression" dxfId="1163" priority="1">
      <formula>AD$9&gt;=20/24</formula>
    </cfRule>
    <cfRule type="expression" dxfId="1162" priority="4">
      <formula>AD$9&lt;8/24</formula>
    </cfRule>
    <cfRule type="expression" dxfId="1161" priority="3">
      <formula>AND(AD$9&gt;=8/24,AD$9&lt;14/24)</formula>
    </cfRule>
    <cfRule type="expression" dxfId="1160" priority="2">
      <formula>AND(AD$9&gt;=14/24,AD$9&lt;20/24)</formula>
    </cfRule>
  </conditionalFormatting>
  <conditionalFormatting sqref="BA16:BC16">
    <cfRule type="expression" dxfId="1159" priority="155">
      <formula>BA17=0</formula>
    </cfRule>
  </conditionalFormatting>
  <conditionalFormatting sqref="BA42:BE42">
    <cfRule type="expression" dxfId="1158" priority="152">
      <formula>BA43=0</formula>
    </cfRule>
  </conditionalFormatting>
  <conditionalFormatting sqref="BA7:BH7">
    <cfRule type="expression" dxfId="1157" priority="156">
      <formula>BA8=0</formula>
    </cfRule>
  </conditionalFormatting>
  <conditionalFormatting sqref="BA34:BJ34">
    <cfRule type="expression" dxfId="1156" priority="153">
      <formula>BA35=0</formula>
    </cfRule>
  </conditionalFormatting>
  <conditionalFormatting sqref="BA25:BO25">
    <cfRule type="expression" dxfId="1155" priority="154">
      <formula>BA26=0</formula>
    </cfRule>
  </conditionalFormatting>
  <conditionalFormatting sqref="BN34:BP34">
    <cfRule type="expression" dxfId="1154" priority="151">
      <formula>BN35=0</formula>
    </cfRule>
  </conditionalFormatting>
  <conditionalFormatting sqref="BU7:CC7">
    <cfRule type="expression" dxfId="1153" priority="150">
      <formula>BU8=0</formula>
    </cfRule>
  </conditionalFormatting>
  <conditionalFormatting sqref="BU16:GD16">
    <cfRule type="expression" dxfId="1152" priority="149">
      <formula>BU17=0</formula>
    </cfRule>
  </conditionalFormatting>
  <conditionalFormatting sqref="GF16:GO16">
    <cfRule type="expression" dxfId="1151" priority="9">
      <formula>GF17=0</formula>
    </cfRule>
  </conditionalFormatting>
  <pageMargins left="0.2" right="0.2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274"/>
  <sheetViews>
    <sheetView workbookViewId="0">
      <pane ySplit="10" topLeftCell="A47" activePane="bottomLeft" state="frozen"/>
      <selection pane="bottomLeft" activeCell="Y63" sqref="Y6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/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str">
        <f ca="1">"2079/"&amp;"09/"&amp;INT(MID(CELL("filename",D6),FIND("]",CELL("filename",D6))+1,200))</f>
        <v>2079/09/1</v>
      </c>
      <c r="C4" s="771"/>
      <c r="D4" s="771"/>
      <c r="E4" s="772" t="str">
        <f ca="1">"2079/"&amp;"09/"&amp;INT(MID(CELL("filename",G6),FIND("]",CELL("filename",G6))+1,200))</f>
        <v>2079/09/1</v>
      </c>
      <c r="F4" s="772"/>
      <c r="G4" s="772"/>
      <c r="H4" s="772" t="str">
        <f ca="1">TEXT(E4,"dddd")</f>
        <v>Friday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398</v>
      </c>
      <c r="C5" s="30">
        <f t="shared" si="0"/>
        <v>396</v>
      </c>
      <c r="D5" s="30">
        <f t="shared" si="0"/>
        <v>380.8</v>
      </c>
      <c r="E5" s="30">
        <f t="shared" si="0"/>
        <v>380.8</v>
      </c>
      <c r="F5" s="30">
        <f t="shared" si="0"/>
        <v>423.2</v>
      </c>
      <c r="G5" s="30">
        <f t="shared" si="0"/>
        <v>449</v>
      </c>
      <c r="H5" s="30">
        <f t="shared" si="0"/>
        <v>458</v>
      </c>
      <c r="I5" s="30">
        <f t="shared" si="0"/>
        <v>450.4</v>
      </c>
      <c r="J5" s="30">
        <f t="shared" si="0"/>
        <v>424</v>
      </c>
      <c r="K5" s="30">
        <f t="shared" si="0"/>
        <v>413.6</v>
      </c>
      <c r="L5" s="30">
        <f t="shared" si="0"/>
        <v>365.7</v>
      </c>
      <c r="M5" s="30">
        <f t="shared" si="0"/>
        <v>343.7</v>
      </c>
      <c r="N5" s="30">
        <f t="shared" si="0"/>
        <v>426.3</v>
      </c>
      <c r="O5" s="30">
        <f t="shared" si="0"/>
        <v>418.1</v>
      </c>
      <c r="P5" s="30">
        <f t="shared" si="0"/>
        <v>422.5</v>
      </c>
      <c r="Q5" s="30">
        <f t="shared" si="0"/>
        <v>398.6</v>
      </c>
      <c r="R5" s="30">
        <f t="shared" si="0"/>
        <v>424.6</v>
      </c>
      <c r="S5" s="30">
        <f t="shared" si="0"/>
        <v>394.6</v>
      </c>
      <c r="T5" s="30">
        <f t="shared" si="0"/>
        <v>413.6</v>
      </c>
      <c r="U5" s="30">
        <f t="shared" si="0"/>
        <v>440.6</v>
      </c>
      <c r="V5" s="30">
        <f t="shared" si="0"/>
        <v>471</v>
      </c>
      <c r="W5" s="30">
        <f t="shared" si="0"/>
        <v>443.1</v>
      </c>
      <c r="X5" s="30">
        <f t="shared" si="0"/>
        <v>469</v>
      </c>
      <c r="Y5" s="30">
        <f t="shared" si="0"/>
        <v>468.40000000000003</v>
      </c>
      <c r="Z5" s="30">
        <f t="shared" si="0"/>
        <v>380.9</v>
      </c>
      <c r="AA5" s="30">
        <f t="shared" si="0"/>
        <v>402.1</v>
      </c>
      <c r="AB5" s="30">
        <f t="shared" si="0"/>
        <v>392.6</v>
      </c>
      <c r="AC5" s="30">
        <f t="shared" si="0"/>
        <v>384</v>
      </c>
      <c r="AD5" s="30">
        <f t="shared" si="0"/>
        <v>368</v>
      </c>
      <c r="AE5" s="30">
        <f t="shared" si="0"/>
        <v>357</v>
      </c>
      <c r="AF5" s="30">
        <f>B78</f>
        <v>372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1492MW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Load=1002</v>
      </c>
      <c r="B7" s="35">
        <f t="shared" ref="B7:AF7" si="1">B85</f>
        <v>1070.54</v>
      </c>
      <c r="C7" s="35">
        <f t="shared" si="1"/>
        <v>1023.54</v>
      </c>
      <c r="D7" s="35">
        <f t="shared" si="1"/>
        <v>1022.44</v>
      </c>
      <c r="E7" s="35">
        <f t="shared" si="1"/>
        <v>1001.94</v>
      </c>
      <c r="F7" s="35">
        <f t="shared" si="1"/>
        <v>1001.94</v>
      </c>
      <c r="G7" s="35">
        <f t="shared" si="1"/>
        <v>1044.3399999999999</v>
      </c>
      <c r="H7" s="35">
        <f t="shared" si="1"/>
        <v>1162.6399999999999</v>
      </c>
      <c r="I7" s="35">
        <f t="shared" si="1"/>
        <v>1261.54</v>
      </c>
      <c r="J7" s="35">
        <f t="shared" si="1"/>
        <v>1313.7399999999998</v>
      </c>
      <c r="K7" s="35">
        <f t="shared" si="1"/>
        <v>1448.34</v>
      </c>
      <c r="L7" s="35">
        <f t="shared" si="1"/>
        <v>1456.3400000000001</v>
      </c>
      <c r="M7" s="35">
        <f t="shared" si="1"/>
        <v>1394.44</v>
      </c>
      <c r="N7" s="35">
        <f>N85</f>
        <v>1492.14</v>
      </c>
      <c r="O7" s="35">
        <f t="shared" si="1"/>
        <v>1433.2399999999998</v>
      </c>
      <c r="P7" s="35">
        <f t="shared" si="1"/>
        <v>1375.44</v>
      </c>
      <c r="Q7" s="35">
        <f t="shared" si="1"/>
        <v>1263.1399999999999</v>
      </c>
      <c r="R7" s="35">
        <f t="shared" si="1"/>
        <v>1178.54</v>
      </c>
      <c r="S7" s="35">
        <f t="shared" si="1"/>
        <v>1204.54</v>
      </c>
      <c r="T7" s="35">
        <f t="shared" si="1"/>
        <v>1157.54</v>
      </c>
      <c r="U7" s="35">
        <f t="shared" si="1"/>
        <v>1101.54</v>
      </c>
      <c r="V7" s="35">
        <f t="shared" si="1"/>
        <v>1159.1399999999999</v>
      </c>
      <c r="W7" s="35">
        <f t="shared" si="1"/>
        <v>1369.74</v>
      </c>
      <c r="X7" s="35">
        <f t="shared" si="1"/>
        <v>1557.04</v>
      </c>
      <c r="Y7" s="35">
        <f t="shared" si="1"/>
        <v>1561.94</v>
      </c>
      <c r="Z7" s="35">
        <f t="shared" si="1"/>
        <v>1474.84</v>
      </c>
      <c r="AA7" s="35">
        <f t="shared" si="1"/>
        <v>1485.2399999999998</v>
      </c>
      <c r="AB7" s="35">
        <f t="shared" si="1"/>
        <v>1467.6399999999999</v>
      </c>
      <c r="AC7" s="35">
        <f t="shared" si="1"/>
        <v>1451.94</v>
      </c>
      <c r="AD7" s="35">
        <f t="shared" si="1"/>
        <v>1345.44</v>
      </c>
      <c r="AE7" s="35">
        <f t="shared" si="1"/>
        <v>1153.74</v>
      </c>
      <c r="AF7" s="35">
        <f t="shared" si="1"/>
        <v>1103.6399999999999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20.3</v>
      </c>
      <c r="C11" s="45">
        <v>20.3</v>
      </c>
      <c r="D11" s="45">
        <v>21.2</v>
      </c>
      <c r="E11" s="45">
        <v>21.2</v>
      </c>
      <c r="F11" s="45">
        <v>21.2</v>
      </c>
      <c r="G11" s="45">
        <v>21.2</v>
      </c>
      <c r="H11" s="45">
        <v>21.2</v>
      </c>
      <c r="I11" s="45">
        <v>21.2</v>
      </c>
      <c r="J11" s="45">
        <v>21.2</v>
      </c>
      <c r="K11" s="45">
        <v>21.2</v>
      </c>
      <c r="L11" s="45">
        <v>21.2</v>
      </c>
      <c r="M11" s="45">
        <v>21.2</v>
      </c>
      <c r="N11" s="45">
        <v>21.2</v>
      </c>
      <c r="O11" s="45">
        <v>21.2</v>
      </c>
      <c r="P11" s="45">
        <v>21.2</v>
      </c>
      <c r="Q11" s="45">
        <v>21.2</v>
      </c>
      <c r="R11" s="45">
        <v>21.2</v>
      </c>
      <c r="S11" s="45">
        <v>21.2</v>
      </c>
      <c r="T11" s="45">
        <v>21.2</v>
      </c>
      <c r="U11" s="45">
        <v>21.2</v>
      </c>
      <c r="V11" s="45">
        <v>21.2</v>
      </c>
      <c r="W11" s="45">
        <v>21.2</v>
      </c>
      <c r="X11" s="45">
        <v>21.2</v>
      </c>
      <c r="Y11" s="45">
        <v>21.2</v>
      </c>
      <c r="Z11" s="45">
        <v>21.2</v>
      </c>
      <c r="AA11" s="45">
        <v>21.2</v>
      </c>
      <c r="AB11" s="45">
        <v>21.2</v>
      </c>
      <c r="AC11" s="45">
        <v>20.3</v>
      </c>
      <c r="AD11" s="45">
        <v>20.3</v>
      </c>
      <c r="AE11" s="45">
        <v>20.3</v>
      </c>
      <c r="AF11" s="45">
        <v>20.7</v>
      </c>
      <c r="AG11" s="46">
        <v>52.4</v>
      </c>
      <c r="AH11" s="47">
        <f t="shared" ref="AH11:AH74" si="2">MAX(B11:AF11)</f>
        <v>21.2</v>
      </c>
      <c r="AI11" s="48">
        <f t="shared" ref="AI11:AI74" si="3">MIN(B11:AF11)</f>
        <v>20.3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38</v>
      </c>
      <c r="C12" s="45">
        <v>38</v>
      </c>
      <c r="D12" s="45">
        <v>38</v>
      </c>
      <c r="E12" s="45">
        <v>37.799999999999997</v>
      </c>
      <c r="F12" s="45">
        <v>37.799999999999997</v>
      </c>
      <c r="G12" s="45">
        <v>37.799999999999997</v>
      </c>
      <c r="H12" s="45">
        <v>37.799999999999997</v>
      </c>
      <c r="I12" s="45">
        <v>37.799999999999997</v>
      </c>
      <c r="J12" s="45">
        <v>37.799999999999997</v>
      </c>
      <c r="K12" s="45">
        <v>37.799999999999997</v>
      </c>
      <c r="L12" s="45">
        <v>37.799999999999997</v>
      </c>
      <c r="M12" s="45">
        <v>37.799999999999997</v>
      </c>
      <c r="N12" s="45">
        <v>37.799999999999997</v>
      </c>
      <c r="O12" s="45">
        <v>37.799999999999997</v>
      </c>
      <c r="P12" s="45">
        <v>37.799999999999997</v>
      </c>
      <c r="Q12" s="45">
        <v>37.799999999999997</v>
      </c>
      <c r="R12" s="45">
        <v>37.799999999999997</v>
      </c>
      <c r="S12" s="45">
        <v>37.799999999999997</v>
      </c>
      <c r="T12" s="45">
        <v>37.799999999999997</v>
      </c>
      <c r="U12" s="45">
        <v>37.799999999999997</v>
      </c>
      <c r="V12" s="45">
        <v>37.799999999999997</v>
      </c>
      <c r="W12" s="45">
        <v>37.799999999999997</v>
      </c>
      <c r="X12" s="45">
        <v>37.799999999999997</v>
      </c>
      <c r="Y12" s="45">
        <v>37.799999999999997</v>
      </c>
      <c r="Z12" s="45">
        <v>37.799999999999997</v>
      </c>
      <c r="AA12" s="45">
        <v>37.799999999999997</v>
      </c>
      <c r="AB12" s="45">
        <v>37.799999999999997</v>
      </c>
      <c r="AC12" s="45">
        <v>37.799999999999997</v>
      </c>
      <c r="AD12" s="45">
        <v>37.799999999999997</v>
      </c>
      <c r="AE12" s="45">
        <v>37.799999999999997</v>
      </c>
      <c r="AF12" s="45">
        <v>37.200000000000003</v>
      </c>
      <c r="AG12" s="50">
        <v>50</v>
      </c>
      <c r="AH12" s="47">
        <f t="shared" si="2"/>
        <v>38</v>
      </c>
      <c r="AI12" s="48">
        <f t="shared" si="3"/>
        <v>37.200000000000003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21</v>
      </c>
      <c r="C13" s="45">
        <v>21</v>
      </c>
      <c r="D13" s="45">
        <v>21</v>
      </c>
      <c r="E13" s="45">
        <v>20.100000000000001</v>
      </c>
      <c r="F13" s="45">
        <v>20.100000000000001</v>
      </c>
      <c r="G13" s="45">
        <v>20.100000000000001</v>
      </c>
      <c r="H13" s="45">
        <v>20.100000000000001</v>
      </c>
      <c r="I13" s="45">
        <v>20.100000000000001</v>
      </c>
      <c r="J13" s="45">
        <v>20.100000000000001</v>
      </c>
      <c r="K13" s="45">
        <v>20.100000000000001</v>
      </c>
      <c r="L13" s="45">
        <v>20.100000000000001</v>
      </c>
      <c r="M13" s="45">
        <v>20.100000000000001</v>
      </c>
      <c r="N13" s="45">
        <v>20.100000000000001</v>
      </c>
      <c r="O13" s="45">
        <v>20.100000000000001</v>
      </c>
      <c r="P13" s="45">
        <v>20.100000000000001</v>
      </c>
      <c r="Q13" s="45">
        <v>20.100000000000001</v>
      </c>
      <c r="R13" s="45">
        <v>20.100000000000001</v>
      </c>
      <c r="S13" s="45">
        <v>20.100000000000001</v>
      </c>
      <c r="T13" s="45">
        <v>20.100000000000001</v>
      </c>
      <c r="U13" s="45">
        <v>20.100000000000001</v>
      </c>
      <c r="V13" s="45">
        <v>20.100000000000001</v>
      </c>
      <c r="W13" s="45">
        <v>20.100000000000001</v>
      </c>
      <c r="X13" s="45">
        <v>20.100000000000001</v>
      </c>
      <c r="Y13" s="45">
        <v>20.100000000000001</v>
      </c>
      <c r="Z13" s="45">
        <v>20.100000000000001</v>
      </c>
      <c r="AA13" s="45">
        <v>20.100000000000001</v>
      </c>
      <c r="AB13" s="45">
        <v>20.100000000000001</v>
      </c>
      <c r="AC13" s="45">
        <v>22.7</v>
      </c>
      <c r="AD13" s="45">
        <v>22.7</v>
      </c>
      <c r="AE13" s="45">
        <v>22.7</v>
      </c>
      <c r="AF13" s="45">
        <v>21.6</v>
      </c>
      <c r="AG13" s="50">
        <v>45</v>
      </c>
      <c r="AH13" s="47">
        <f t="shared" si="2"/>
        <v>22.7</v>
      </c>
      <c r="AI13" s="48">
        <f t="shared" si="3"/>
        <v>20.100000000000001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11</v>
      </c>
      <c r="C14" s="45">
        <v>11</v>
      </c>
      <c r="D14" s="45">
        <v>11</v>
      </c>
      <c r="E14" s="45">
        <v>11</v>
      </c>
      <c r="F14" s="45">
        <v>11</v>
      </c>
      <c r="G14" s="45">
        <v>11</v>
      </c>
      <c r="H14" s="45">
        <v>11</v>
      </c>
      <c r="I14" s="45">
        <v>11</v>
      </c>
      <c r="J14" s="45">
        <v>11</v>
      </c>
      <c r="K14" s="45">
        <v>11</v>
      </c>
      <c r="L14" s="45">
        <v>11</v>
      </c>
      <c r="M14" s="45">
        <v>11</v>
      </c>
      <c r="N14" s="45">
        <v>11</v>
      </c>
      <c r="O14" s="45">
        <v>11</v>
      </c>
      <c r="P14" s="45">
        <v>11</v>
      </c>
      <c r="Q14" s="45">
        <v>11</v>
      </c>
      <c r="R14" s="45">
        <v>11</v>
      </c>
      <c r="S14" s="45">
        <v>11</v>
      </c>
      <c r="T14" s="45">
        <v>11</v>
      </c>
      <c r="U14" s="45">
        <v>11</v>
      </c>
      <c r="V14" s="45">
        <v>11</v>
      </c>
      <c r="W14" s="45">
        <v>11</v>
      </c>
      <c r="X14" s="45">
        <v>11</v>
      </c>
      <c r="Y14" s="45">
        <v>11</v>
      </c>
      <c r="Z14" s="45">
        <v>11</v>
      </c>
      <c r="AA14" s="45">
        <v>11</v>
      </c>
      <c r="AB14" s="45">
        <v>11</v>
      </c>
      <c r="AC14" s="45">
        <v>10</v>
      </c>
      <c r="AD14" s="45">
        <v>10</v>
      </c>
      <c r="AE14" s="45">
        <v>10</v>
      </c>
      <c r="AF14" s="45">
        <v>11</v>
      </c>
      <c r="AG14" s="50">
        <v>42</v>
      </c>
      <c r="AH14" s="47">
        <f t="shared" si="2"/>
        <v>11</v>
      </c>
      <c r="AI14" s="48">
        <f t="shared" si="3"/>
        <v>10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17</v>
      </c>
      <c r="C15" s="45">
        <v>17</v>
      </c>
      <c r="D15" s="45">
        <v>17</v>
      </c>
      <c r="E15" s="45">
        <v>17</v>
      </c>
      <c r="F15" s="45">
        <v>17</v>
      </c>
      <c r="G15" s="45">
        <v>17</v>
      </c>
      <c r="H15" s="45">
        <v>17</v>
      </c>
      <c r="I15" s="45">
        <v>17</v>
      </c>
      <c r="J15" s="45">
        <v>17</v>
      </c>
      <c r="K15" s="45">
        <v>17</v>
      </c>
      <c r="L15" s="45">
        <v>17</v>
      </c>
      <c r="M15" s="45">
        <v>17</v>
      </c>
      <c r="N15" s="45">
        <v>17</v>
      </c>
      <c r="O15" s="45">
        <v>17</v>
      </c>
      <c r="P15" s="45">
        <v>17</v>
      </c>
      <c r="Q15" s="45">
        <v>17</v>
      </c>
      <c r="R15" s="45">
        <v>17</v>
      </c>
      <c r="S15" s="45">
        <v>17</v>
      </c>
      <c r="T15" s="45">
        <v>17</v>
      </c>
      <c r="U15" s="45">
        <v>17</v>
      </c>
      <c r="V15" s="45">
        <v>17</v>
      </c>
      <c r="W15" s="45">
        <v>17</v>
      </c>
      <c r="X15" s="45">
        <v>17</v>
      </c>
      <c r="Y15" s="45">
        <v>17</v>
      </c>
      <c r="Z15" s="45">
        <v>17</v>
      </c>
      <c r="AA15" s="45">
        <v>17</v>
      </c>
      <c r="AB15" s="45">
        <v>17</v>
      </c>
      <c r="AC15" s="45">
        <v>17</v>
      </c>
      <c r="AD15" s="45">
        <v>17</v>
      </c>
      <c r="AE15" s="45">
        <v>17</v>
      </c>
      <c r="AF15" s="45">
        <v>17</v>
      </c>
      <c r="AG15" s="50">
        <v>36</v>
      </c>
      <c r="AH15" s="47">
        <f t="shared" si="2"/>
        <v>17</v>
      </c>
      <c r="AI15" s="48">
        <f t="shared" si="3"/>
        <v>17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9.1</v>
      </c>
      <c r="C16" s="45">
        <v>9.1</v>
      </c>
      <c r="D16" s="45">
        <v>9.1</v>
      </c>
      <c r="E16" s="45">
        <v>8.9</v>
      </c>
      <c r="F16" s="45">
        <v>8.9</v>
      </c>
      <c r="G16" s="45">
        <v>8.9</v>
      </c>
      <c r="H16" s="45">
        <v>8.9</v>
      </c>
      <c r="I16" s="45">
        <v>8.9</v>
      </c>
      <c r="J16" s="45">
        <v>8.9</v>
      </c>
      <c r="K16" s="45">
        <v>8.9</v>
      </c>
      <c r="L16" s="45">
        <v>8.9</v>
      </c>
      <c r="M16" s="45">
        <v>8.9</v>
      </c>
      <c r="N16" s="45">
        <v>8.9</v>
      </c>
      <c r="O16" s="45">
        <v>8.9</v>
      </c>
      <c r="P16" s="45">
        <v>8.9</v>
      </c>
      <c r="Q16" s="45">
        <v>8.9</v>
      </c>
      <c r="R16" s="45">
        <v>8.9</v>
      </c>
      <c r="S16" s="45">
        <v>8.9</v>
      </c>
      <c r="T16" s="45">
        <v>8.9</v>
      </c>
      <c r="U16" s="45">
        <v>8.9</v>
      </c>
      <c r="V16" s="45">
        <v>8.9</v>
      </c>
      <c r="W16" s="45">
        <v>8.9</v>
      </c>
      <c r="X16" s="45">
        <v>8.9</v>
      </c>
      <c r="Y16" s="45">
        <v>8.9</v>
      </c>
      <c r="Z16" s="45">
        <v>8.9</v>
      </c>
      <c r="AA16" s="45">
        <v>8.9</v>
      </c>
      <c r="AB16" s="45">
        <v>8.9</v>
      </c>
      <c r="AC16" s="45">
        <v>9.3000000000000007</v>
      </c>
      <c r="AD16" s="45">
        <v>9.3000000000000007</v>
      </c>
      <c r="AE16" s="45">
        <v>9.3000000000000007</v>
      </c>
      <c r="AF16" s="45">
        <v>9.3000000000000007</v>
      </c>
      <c r="AG16" s="51">
        <v>30</v>
      </c>
      <c r="AH16" s="47">
        <f t="shared" si="2"/>
        <v>9.3000000000000007</v>
      </c>
      <c r="AI16" s="48">
        <f t="shared" si="3"/>
        <v>8.9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9.3000000000000007</v>
      </c>
      <c r="C17" s="45">
        <v>9.3000000000000007</v>
      </c>
      <c r="D17" s="45">
        <v>9.3000000000000007</v>
      </c>
      <c r="E17" s="45">
        <v>9.1</v>
      </c>
      <c r="F17" s="45">
        <v>9.1</v>
      </c>
      <c r="G17" s="45">
        <v>9.1</v>
      </c>
      <c r="H17" s="45">
        <v>9.1</v>
      </c>
      <c r="I17" s="45">
        <v>9.1</v>
      </c>
      <c r="J17" s="45">
        <v>9.1</v>
      </c>
      <c r="K17" s="45">
        <v>9.1</v>
      </c>
      <c r="L17" s="45">
        <v>9.1</v>
      </c>
      <c r="M17" s="45">
        <v>9.1</v>
      </c>
      <c r="N17" s="45">
        <v>9.1</v>
      </c>
      <c r="O17" s="45">
        <v>9.1</v>
      </c>
      <c r="P17" s="45">
        <v>9.1</v>
      </c>
      <c r="Q17" s="45">
        <v>9.1</v>
      </c>
      <c r="R17" s="45">
        <v>9.1</v>
      </c>
      <c r="S17" s="45">
        <v>9.1</v>
      </c>
      <c r="T17" s="45">
        <v>9.1</v>
      </c>
      <c r="U17" s="45">
        <v>9.1</v>
      </c>
      <c r="V17" s="45">
        <v>9.1</v>
      </c>
      <c r="W17" s="45">
        <v>9.1</v>
      </c>
      <c r="X17" s="45">
        <v>9.1</v>
      </c>
      <c r="Y17" s="45">
        <v>9.1</v>
      </c>
      <c r="Z17" s="45">
        <v>9.1</v>
      </c>
      <c r="AA17" s="45">
        <v>9.1</v>
      </c>
      <c r="AB17" s="45">
        <v>9.1</v>
      </c>
      <c r="AC17" s="45">
        <v>9.1</v>
      </c>
      <c r="AD17" s="45">
        <v>9.1</v>
      </c>
      <c r="AE17" s="45">
        <v>9.1</v>
      </c>
      <c r="AF17" s="45">
        <v>9.1</v>
      </c>
      <c r="AG17" s="50">
        <v>24.2</v>
      </c>
      <c r="AH17" s="47">
        <f t="shared" si="2"/>
        <v>9.3000000000000007</v>
      </c>
      <c r="AI17" s="48">
        <f t="shared" si="3"/>
        <v>9.1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0">
        <v>28</v>
      </c>
      <c r="AH18" s="47">
        <f t="shared" si="2"/>
        <v>13</v>
      </c>
      <c r="AI18" s="48">
        <f t="shared" si="3"/>
        <v>13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>
        <v>10</v>
      </c>
      <c r="L20" s="45">
        <v>10</v>
      </c>
      <c r="M20" s="45">
        <v>10</v>
      </c>
      <c r="N20" s="45">
        <v>10</v>
      </c>
      <c r="O20" s="45">
        <v>10</v>
      </c>
      <c r="P20" s="45">
        <v>10</v>
      </c>
      <c r="Q20" s="45">
        <v>10</v>
      </c>
      <c r="R20" s="45">
        <v>10</v>
      </c>
      <c r="S20" s="45">
        <v>10</v>
      </c>
      <c r="T20" s="45">
        <v>10</v>
      </c>
      <c r="U20" s="45">
        <v>10</v>
      </c>
      <c r="V20" s="45">
        <v>10</v>
      </c>
      <c r="W20" s="45">
        <v>10</v>
      </c>
      <c r="X20" s="45">
        <v>10</v>
      </c>
      <c r="Y20" s="45">
        <v>10</v>
      </c>
      <c r="Z20" s="45">
        <v>10</v>
      </c>
      <c r="AA20" s="45">
        <v>10</v>
      </c>
      <c r="AB20" s="45">
        <v>10</v>
      </c>
      <c r="AC20" s="45">
        <v>10</v>
      </c>
      <c r="AD20" s="45">
        <v>10</v>
      </c>
      <c r="AE20" s="45">
        <v>10</v>
      </c>
      <c r="AF20" s="45">
        <v>10</v>
      </c>
      <c r="AG20" s="50">
        <v>25</v>
      </c>
      <c r="AH20" s="47">
        <f t="shared" si="2"/>
        <v>10</v>
      </c>
      <c r="AI20" s="48">
        <f t="shared" si="3"/>
        <v>10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0">
        <v>25</v>
      </c>
      <c r="AH22" s="47">
        <f t="shared" si="2"/>
        <v>11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9</v>
      </c>
      <c r="C24" s="45">
        <v>9</v>
      </c>
      <c r="D24" s="45">
        <v>9</v>
      </c>
      <c r="E24" s="45">
        <v>9</v>
      </c>
      <c r="F24" s="45">
        <v>9</v>
      </c>
      <c r="G24" s="45">
        <v>9</v>
      </c>
      <c r="H24" s="45">
        <v>9</v>
      </c>
      <c r="I24" s="45">
        <v>9</v>
      </c>
      <c r="J24" s="45">
        <v>9</v>
      </c>
      <c r="K24" s="45">
        <v>9</v>
      </c>
      <c r="L24" s="45">
        <v>9</v>
      </c>
      <c r="M24" s="45">
        <v>9</v>
      </c>
      <c r="N24" s="45">
        <v>9</v>
      </c>
      <c r="O24" s="45">
        <v>9</v>
      </c>
      <c r="P24" s="45">
        <v>9</v>
      </c>
      <c r="Q24" s="45">
        <v>9</v>
      </c>
      <c r="R24" s="45">
        <v>9</v>
      </c>
      <c r="S24" s="45">
        <v>9</v>
      </c>
      <c r="T24" s="45">
        <v>9</v>
      </c>
      <c r="U24" s="45">
        <v>9</v>
      </c>
      <c r="V24" s="45">
        <v>9</v>
      </c>
      <c r="W24" s="45">
        <v>9</v>
      </c>
      <c r="X24" s="45">
        <v>9</v>
      </c>
      <c r="Y24" s="45">
        <v>9</v>
      </c>
      <c r="Z24" s="45">
        <v>9</v>
      </c>
      <c r="AA24" s="45">
        <v>9</v>
      </c>
      <c r="AB24" s="45">
        <v>9</v>
      </c>
      <c r="AC24" s="45">
        <v>9</v>
      </c>
      <c r="AD24" s="45">
        <v>9</v>
      </c>
      <c r="AE24" s="45">
        <v>9</v>
      </c>
      <c r="AF24" s="45">
        <v>9</v>
      </c>
      <c r="AG24" s="50">
        <v>23.5</v>
      </c>
      <c r="AH24" s="47">
        <f t="shared" si="2"/>
        <v>9</v>
      </c>
      <c r="AI24" s="48">
        <f t="shared" si="3"/>
        <v>9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9.4</v>
      </c>
      <c r="C28" s="45">
        <v>9.4</v>
      </c>
      <c r="D28" s="45">
        <v>9.4</v>
      </c>
      <c r="E28" s="45">
        <v>9.4</v>
      </c>
      <c r="F28" s="45">
        <v>9.4</v>
      </c>
      <c r="G28" s="45">
        <v>9.4</v>
      </c>
      <c r="H28" s="45">
        <v>9.4</v>
      </c>
      <c r="I28" s="45">
        <v>9.4</v>
      </c>
      <c r="J28" s="45">
        <v>9.4</v>
      </c>
      <c r="K28" s="45">
        <v>9.4</v>
      </c>
      <c r="L28" s="45">
        <v>9.4</v>
      </c>
      <c r="M28" s="45">
        <v>9.4</v>
      </c>
      <c r="N28" s="45">
        <v>9.4</v>
      </c>
      <c r="O28" s="45">
        <v>9.4</v>
      </c>
      <c r="P28" s="45">
        <v>9.4</v>
      </c>
      <c r="Q28" s="45">
        <v>9.4</v>
      </c>
      <c r="R28" s="45">
        <v>9.4</v>
      </c>
      <c r="S28" s="45">
        <v>9.4</v>
      </c>
      <c r="T28" s="45">
        <v>9.4</v>
      </c>
      <c r="U28" s="45">
        <v>9.4</v>
      </c>
      <c r="V28" s="45">
        <v>9.4</v>
      </c>
      <c r="W28" s="45">
        <v>9.4</v>
      </c>
      <c r="X28" s="45">
        <v>9.4</v>
      </c>
      <c r="Y28" s="45">
        <v>9.4</v>
      </c>
      <c r="Z28" s="45">
        <v>9.4</v>
      </c>
      <c r="AA28" s="45">
        <v>9.4</v>
      </c>
      <c r="AB28" s="45">
        <v>9.4</v>
      </c>
      <c r="AC28" s="45">
        <v>9.4</v>
      </c>
      <c r="AD28" s="45">
        <v>9.4</v>
      </c>
      <c r="AE28" s="45">
        <v>9.4</v>
      </c>
      <c r="AF28" s="45">
        <v>9.4</v>
      </c>
      <c r="AG28" s="50">
        <v>22</v>
      </c>
      <c r="AH28" s="47">
        <f t="shared" si="2"/>
        <v>9.4</v>
      </c>
      <c r="AI28" s="48">
        <f t="shared" si="3"/>
        <v>9.4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7.7</v>
      </c>
      <c r="AF30" s="45">
        <v>7.7</v>
      </c>
      <c r="AG30" s="50">
        <v>18</v>
      </c>
      <c r="AH30" s="47">
        <f t="shared" si="2"/>
        <v>7.7</v>
      </c>
      <c r="AI30" s="48">
        <f t="shared" si="3"/>
        <v>7.7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1.2</v>
      </c>
      <c r="C32" s="45">
        <v>1.2</v>
      </c>
      <c r="D32" s="45">
        <v>1.2</v>
      </c>
      <c r="E32" s="45">
        <v>1.2</v>
      </c>
      <c r="F32" s="45">
        <v>1.2</v>
      </c>
      <c r="G32" s="45">
        <v>1.2</v>
      </c>
      <c r="H32" s="45">
        <v>1.2</v>
      </c>
      <c r="I32" s="45">
        <v>1.2</v>
      </c>
      <c r="J32" s="45">
        <v>1.2</v>
      </c>
      <c r="K32" s="45">
        <v>1.2</v>
      </c>
      <c r="L32" s="45">
        <v>1.2</v>
      </c>
      <c r="M32" s="45">
        <v>1.2</v>
      </c>
      <c r="N32" s="45">
        <v>1.2</v>
      </c>
      <c r="O32" s="45">
        <v>1.2</v>
      </c>
      <c r="P32" s="45">
        <v>1.2</v>
      </c>
      <c r="Q32" s="45">
        <v>1.2</v>
      </c>
      <c r="R32" s="45">
        <v>1.2</v>
      </c>
      <c r="S32" s="45">
        <v>1.2</v>
      </c>
      <c r="T32" s="45">
        <v>1.2</v>
      </c>
      <c r="U32" s="45">
        <v>1.2</v>
      </c>
      <c r="V32" s="45">
        <v>1.2</v>
      </c>
      <c r="W32" s="45">
        <v>1.2</v>
      </c>
      <c r="X32" s="45">
        <v>1.2</v>
      </c>
      <c r="Y32" s="45">
        <v>1.2</v>
      </c>
      <c r="Z32" s="45">
        <v>1.2</v>
      </c>
      <c r="AA32" s="45">
        <v>1.2</v>
      </c>
      <c r="AB32" s="45">
        <v>1.2</v>
      </c>
      <c r="AC32" s="45">
        <v>1.2</v>
      </c>
      <c r="AD32" s="45">
        <v>1.2</v>
      </c>
      <c r="AE32" s="45">
        <v>1.2</v>
      </c>
      <c r="AF32" s="45">
        <v>1.2</v>
      </c>
      <c r="AG32" s="50">
        <v>13.6</v>
      </c>
      <c r="AH32" s="47">
        <f t="shared" si="2"/>
        <v>1.2</v>
      </c>
      <c r="AI32" s="48">
        <f t="shared" si="3"/>
        <v>1.2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0">
        <v>12</v>
      </c>
      <c r="AH35" s="47">
        <f t="shared" si="2"/>
        <v>12</v>
      </c>
      <c r="AI35" s="48">
        <f t="shared" si="3"/>
        <v>12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150</v>
      </c>
      <c r="C42" s="56">
        <v>150</v>
      </c>
      <c r="D42" s="56">
        <v>150</v>
      </c>
      <c r="E42" s="56">
        <v>150</v>
      </c>
      <c r="F42" s="56">
        <v>150</v>
      </c>
      <c r="G42" s="56">
        <v>150</v>
      </c>
      <c r="H42" s="56">
        <v>150</v>
      </c>
      <c r="I42" s="56">
        <v>150</v>
      </c>
      <c r="J42" s="56">
        <v>150</v>
      </c>
      <c r="K42" s="56">
        <v>150</v>
      </c>
      <c r="L42" s="56">
        <v>150</v>
      </c>
      <c r="M42" s="56">
        <v>150</v>
      </c>
      <c r="N42" s="56">
        <v>150</v>
      </c>
      <c r="O42" s="56">
        <v>150</v>
      </c>
      <c r="P42" s="56">
        <v>150</v>
      </c>
      <c r="Q42" s="56">
        <v>150</v>
      </c>
      <c r="R42" s="56">
        <v>150</v>
      </c>
      <c r="S42" s="56">
        <v>150</v>
      </c>
      <c r="T42" s="56">
        <v>150</v>
      </c>
      <c r="U42" s="56">
        <v>150</v>
      </c>
      <c r="V42" s="56">
        <v>150</v>
      </c>
      <c r="W42" s="56">
        <v>150</v>
      </c>
      <c r="X42" s="56">
        <v>150</v>
      </c>
      <c r="Y42" s="56">
        <v>150</v>
      </c>
      <c r="Z42" s="56">
        <v>150</v>
      </c>
      <c r="AA42" s="56">
        <v>150</v>
      </c>
      <c r="AB42" s="56">
        <v>150</v>
      </c>
      <c r="AC42" s="56">
        <v>150</v>
      </c>
      <c r="AD42" s="56">
        <v>150</v>
      </c>
      <c r="AE42" s="56">
        <v>150</v>
      </c>
      <c r="AF42" s="56">
        <v>150</v>
      </c>
      <c r="AG42" s="54">
        <v>85</v>
      </c>
      <c r="AH42" s="47">
        <f t="shared" si="2"/>
        <v>150</v>
      </c>
      <c r="AI42" s="48">
        <f t="shared" si="3"/>
        <v>150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:AG44" si="4">SUM(B11:B42)</f>
        <v>462.9</v>
      </c>
      <c r="C44" s="60">
        <f t="shared" si="4"/>
        <v>462.9</v>
      </c>
      <c r="D44" s="60">
        <f t="shared" si="4"/>
        <v>463.79999999999995</v>
      </c>
      <c r="E44" s="60">
        <f t="shared" si="4"/>
        <v>462.29999999999995</v>
      </c>
      <c r="F44" s="60">
        <f t="shared" si="4"/>
        <v>462.29999999999995</v>
      </c>
      <c r="G44" s="60">
        <f t="shared" si="4"/>
        <v>462.29999999999995</v>
      </c>
      <c r="H44" s="60">
        <f t="shared" si="4"/>
        <v>462.29999999999995</v>
      </c>
      <c r="I44" s="60">
        <f t="shared" si="4"/>
        <v>462.29999999999995</v>
      </c>
      <c r="J44" s="60">
        <f t="shared" si="4"/>
        <v>462.29999999999995</v>
      </c>
      <c r="K44" s="60">
        <f t="shared" si="4"/>
        <v>462.29999999999995</v>
      </c>
      <c r="L44" s="60">
        <f t="shared" si="4"/>
        <v>462.29999999999995</v>
      </c>
      <c r="M44" s="60">
        <f t="shared" si="4"/>
        <v>462.29999999999995</v>
      </c>
      <c r="N44" s="60">
        <f t="shared" si="4"/>
        <v>462.29999999999995</v>
      </c>
      <c r="O44" s="60">
        <f t="shared" si="4"/>
        <v>462.29999999999995</v>
      </c>
      <c r="P44" s="60">
        <f t="shared" si="4"/>
        <v>462.29999999999995</v>
      </c>
      <c r="Q44" s="60">
        <f t="shared" si="4"/>
        <v>462.29999999999995</v>
      </c>
      <c r="R44" s="60">
        <f t="shared" si="4"/>
        <v>462.29999999999995</v>
      </c>
      <c r="S44" s="60">
        <f t="shared" si="4"/>
        <v>462.29999999999995</v>
      </c>
      <c r="T44" s="60">
        <f t="shared" si="4"/>
        <v>462.29999999999995</v>
      </c>
      <c r="U44" s="60">
        <f t="shared" si="4"/>
        <v>462.29999999999995</v>
      </c>
      <c r="V44" s="60">
        <f t="shared" si="4"/>
        <v>462.29999999999995</v>
      </c>
      <c r="W44" s="60">
        <f t="shared" si="4"/>
        <v>462.29999999999995</v>
      </c>
      <c r="X44" s="60">
        <f t="shared" si="4"/>
        <v>462.29999999999995</v>
      </c>
      <c r="Y44" s="60">
        <f t="shared" si="4"/>
        <v>462.29999999999995</v>
      </c>
      <c r="Z44" s="60">
        <f t="shared" si="4"/>
        <v>462.29999999999995</v>
      </c>
      <c r="AA44" s="60">
        <f t="shared" si="4"/>
        <v>462.29999999999995</v>
      </c>
      <c r="AB44" s="60">
        <f t="shared" si="4"/>
        <v>462.29999999999995</v>
      </c>
      <c r="AC44" s="60">
        <f t="shared" si="4"/>
        <v>463.4</v>
      </c>
      <c r="AD44" s="60">
        <f t="shared" si="4"/>
        <v>463.4</v>
      </c>
      <c r="AE44" s="60">
        <f t="shared" si="4"/>
        <v>463.4</v>
      </c>
      <c r="AF44" s="60">
        <f t="shared" si="4"/>
        <v>463.09999999999997</v>
      </c>
      <c r="AG44" s="61">
        <f t="shared" si="4"/>
        <v>814.78000000000009</v>
      </c>
      <c r="AH44" s="47">
        <f t="shared" si="2"/>
        <v>463.79999999999995</v>
      </c>
      <c r="AI44" s="48">
        <f t="shared" si="3"/>
        <v>462.29999999999995</v>
      </c>
      <c r="AK44" s="49"/>
    </row>
    <row r="45" spans="1:88" x14ac:dyDescent="0.25">
      <c r="A45" s="62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15</v>
      </c>
      <c r="I45" s="45">
        <v>50</v>
      </c>
      <c r="J45" s="45">
        <v>40</v>
      </c>
      <c r="K45" s="45">
        <v>80</v>
      </c>
      <c r="L45" s="45">
        <v>100</v>
      </c>
      <c r="M45" s="45">
        <v>100</v>
      </c>
      <c r="N45" s="63">
        <v>240</v>
      </c>
      <c r="O45" s="45">
        <v>160</v>
      </c>
      <c r="P45" s="45">
        <v>120</v>
      </c>
      <c r="Q45" s="45">
        <v>90</v>
      </c>
      <c r="R45" s="45">
        <v>100</v>
      </c>
      <c r="S45" s="45">
        <v>100</v>
      </c>
      <c r="T45" s="45">
        <v>100</v>
      </c>
      <c r="U45" s="45">
        <v>35</v>
      </c>
      <c r="V45" s="45">
        <v>35</v>
      </c>
      <c r="W45" s="45">
        <v>30</v>
      </c>
      <c r="X45" s="45">
        <v>60</v>
      </c>
      <c r="Y45" s="45">
        <v>80</v>
      </c>
      <c r="Z45" s="45">
        <v>90</v>
      </c>
      <c r="AA45" s="45">
        <v>180</v>
      </c>
      <c r="AB45" s="45">
        <v>150</v>
      </c>
      <c r="AC45" s="45">
        <v>170</v>
      </c>
      <c r="AD45" s="45">
        <v>160</v>
      </c>
      <c r="AE45" s="45">
        <v>80</v>
      </c>
      <c r="AF45" s="45">
        <v>105</v>
      </c>
      <c r="AG45" s="51">
        <v>456</v>
      </c>
      <c r="AH45" s="47">
        <f t="shared" si="2"/>
        <v>240</v>
      </c>
      <c r="AI45" s="48">
        <f t="shared" si="3"/>
        <v>0</v>
      </c>
      <c r="AK45" s="49"/>
    </row>
    <row r="46" spans="1:88" x14ac:dyDescent="0.25">
      <c r="A46" s="64" t="s">
        <v>54</v>
      </c>
      <c r="B46" s="65">
        <v>41</v>
      </c>
      <c r="C46" s="65">
        <v>41</v>
      </c>
      <c r="D46" s="65">
        <v>41</v>
      </c>
      <c r="E46" s="65">
        <v>41</v>
      </c>
      <c r="F46" s="65">
        <v>41</v>
      </c>
      <c r="G46" s="65">
        <v>41</v>
      </c>
      <c r="H46" s="65">
        <v>41</v>
      </c>
      <c r="I46" s="65">
        <v>41</v>
      </c>
      <c r="J46" s="65">
        <v>41</v>
      </c>
      <c r="K46" s="65">
        <v>41</v>
      </c>
      <c r="L46" s="65">
        <v>41</v>
      </c>
      <c r="M46" s="65">
        <v>35</v>
      </c>
      <c r="N46" s="65">
        <v>35</v>
      </c>
      <c r="O46" s="65">
        <v>35</v>
      </c>
      <c r="P46" s="65">
        <v>35</v>
      </c>
      <c r="Q46" s="65">
        <v>35</v>
      </c>
      <c r="R46" s="65">
        <v>35</v>
      </c>
      <c r="S46" s="65">
        <v>35</v>
      </c>
      <c r="T46" s="65">
        <v>35</v>
      </c>
      <c r="U46" s="65">
        <v>35</v>
      </c>
      <c r="V46" s="65">
        <v>35</v>
      </c>
      <c r="W46" s="65">
        <v>35</v>
      </c>
      <c r="X46" s="65">
        <v>35</v>
      </c>
      <c r="Y46" s="65">
        <v>35</v>
      </c>
      <c r="Z46" s="65">
        <v>35</v>
      </c>
      <c r="AA46" s="65">
        <v>35</v>
      </c>
      <c r="AB46" s="65">
        <v>35</v>
      </c>
      <c r="AC46" s="65">
        <v>35</v>
      </c>
      <c r="AD46" s="65">
        <v>35</v>
      </c>
      <c r="AE46" s="65">
        <v>35</v>
      </c>
      <c r="AF46" s="65">
        <v>35</v>
      </c>
      <c r="AG46" s="54">
        <v>60</v>
      </c>
      <c r="AH46" s="47">
        <f t="shared" si="2"/>
        <v>41</v>
      </c>
      <c r="AI46" s="48">
        <f t="shared" si="3"/>
        <v>35</v>
      </c>
      <c r="AK46" s="49"/>
    </row>
    <row r="47" spans="1:88" ht="15.75" thickBot="1" x14ac:dyDescent="0.3">
      <c r="A47" s="66" t="s">
        <v>55</v>
      </c>
      <c r="B47" s="67">
        <v>19.100000000000001</v>
      </c>
      <c r="C47" s="67">
        <v>19.100000000000001</v>
      </c>
      <c r="D47" s="67">
        <v>19.100000000000001</v>
      </c>
      <c r="E47" s="67">
        <v>19.100000000000001</v>
      </c>
      <c r="F47" s="67">
        <v>19.100000000000001</v>
      </c>
      <c r="G47" s="67">
        <v>19.100000000000001</v>
      </c>
      <c r="H47" s="67">
        <v>19.100000000000001</v>
      </c>
      <c r="I47" s="67">
        <v>19.100000000000001</v>
      </c>
      <c r="J47" s="67">
        <v>19.100000000000001</v>
      </c>
      <c r="K47" s="67">
        <v>12.5</v>
      </c>
      <c r="L47" s="67">
        <v>12.5</v>
      </c>
      <c r="M47" s="67">
        <v>12.5</v>
      </c>
      <c r="N47" s="67">
        <v>12.5</v>
      </c>
      <c r="O47" s="67">
        <v>12.4</v>
      </c>
      <c r="P47" s="67">
        <v>12.4</v>
      </c>
      <c r="Q47" s="67">
        <v>11.1</v>
      </c>
      <c r="R47" s="67">
        <v>11.1</v>
      </c>
      <c r="S47" s="67">
        <v>11.1</v>
      </c>
      <c r="T47" s="67">
        <v>11.1</v>
      </c>
      <c r="U47" s="67">
        <v>11.1</v>
      </c>
      <c r="V47" s="67">
        <v>11.1</v>
      </c>
      <c r="W47" s="67">
        <v>11.1</v>
      </c>
      <c r="X47" s="67">
        <v>20</v>
      </c>
      <c r="Y47" s="67">
        <v>20</v>
      </c>
      <c r="Z47" s="67">
        <v>20</v>
      </c>
      <c r="AA47" s="67">
        <v>20</v>
      </c>
      <c r="AB47" s="67">
        <v>13.1</v>
      </c>
      <c r="AC47" s="67">
        <v>13.1</v>
      </c>
      <c r="AD47" s="67">
        <v>13.1</v>
      </c>
      <c r="AE47" s="67">
        <v>13.1</v>
      </c>
      <c r="AF47" s="67">
        <v>12.4</v>
      </c>
      <c r="AG47" s="68">
        <v>22.1</v>
      </c>
      <c r="AH47" s="47">
        <f t="shared" si="2"/>
        <v>20</v>
      </c>
      <c r="AI47" s="48">
        <f t="shared" si="3"/>
        <v>11.1</v>
      </c>
      <c r="AK47" s="49"/>
    </row>
    <row r="48" spans="1:88" ht="15.75" thickBot="1" x14ac:dyDescent="0.3">
      <c r="A48" s="69" t="s">
        <v>56</v>
      </c>
      <c r="B48" s="60">
        <f t="shared" ref="B48:AG48" si="5">SUM(B45:B47)</f>
        <v>60.1</v>
      </c>
      <c r="C48" s="60">
        <f t="shared" si="5"/>
        <v>60.1</v>
      </c>
      <c r="D48" s="60">
        <f t="shared" si="5"/>
        <v>60.1</v>
      </c>
      <c r="E48" s="60">
        <f t="shared" si="5"/>
        <v>60.1</v>
      </c>
      <c r="F48" s="60">
        <f t="shared" si="5"/>
        <v>60.1</v>
      </c>
      <c r="G48" s="60">
        <f t="shared" si="5"/>
        <v>60.1</v>
      </c>
      <c r="H48" s="60">
        <f t="shared" si="5"/>
        <v>75.099999999999994</v>
      </c>
      <c r="I48" s="60">
        <f t="shared" si="5"/>
        <v>110.1</v>
      </c>
      <c r="J48" s="60">
        <f t="shared" si="5"/>
        <v>100.1</v>
      </c>
      <c r="K48" s="60">
        <f t="shared" si="5"/>
        <v>133.5</v>
      </c>
      <c r="L48" s="60">
        <f t="shared" si="5"/>
        <v>153.5</v>
      </c>
      <c r="M48" s="60">
        <f t="shared" si="5"/>
        <v>147.5</v>
      </c>
      <c r="N48" s="60">
        <f t="shared" si="5"/>
        <v>287.5</v>
      </c>
      <c r="O48" s="60">
        <f t="shared" si="5"/>
        <v>207.4</v>
      </c>
      <c r="P48" s="60">
        <f t="shared" si="5"/>
        <v>167.4</v>
      </c>
      <c r="Q48" s="60">
        <f t="shared" si="5"/>
        <v>136.1</v>
      </c>
      <c r="R48" s="60">
        <f t="shared" si="5"/>
        <v>146.1</v>
      </c>
      <c r="S48" s="60">
        <f t="shared" si="5"/>
        <v>146.1</v>
      </c>
      <c r="T48" s="60">
        <f t="shared" si="5"/>
        <v>146.1</v>
      </c>
      <c r="U48" s="60">
        <f t="shared" si="5"/>
        <v>81.099999999999994</v>
      </c>
      <c r="V48" s="60">
        <f t="shared" si="5"/>
        <v>81.099999999999994</v>
      </c>
      <c r="W48" s="60">
        <f t="shared" si="5"/>
        <v>76.099999999999994</v>
      </c>
      <c r="X48" s="60">
        <f t="shared" si="5"/>
        <v>115</v>
      </c>
      <c r="Y48" s="60">
        <f t="shared" si="5"/>
        <v>135</v>
      </c>
      <c r="Z48" s="60">
        <f t="shared" si="5"/>
        <v>145</v>
      </c>
      <c r="AA48" s="60">
        <f t="shared" si="5"/>
        <v>235</v>
      </c>
      <c r="AB48" s="60">
        <f t="shared" si="5"/>
        <v>198.1</v>
      </c>
      <c r="AC48" s="60">
        <f t="shared" si="5"/>
        <v>218.1</v>
      </c>
      <c r="AD48" s="60">
        <f t="shared" si="5"/>
        <v>208.1</v>
      </c>
      <c r="AE48" s="60">
        <f t="shared" si="5"/>
        <v>128.1</v>
      </c>
      <c r="AF48" s="60">
        <f t="shared" si="5"/>
        <v>152.4</v>
      </c>
      <c r="AG48" s="61">
        <f t="shared" si="5"/>
        <v>538.1</v>
      </c>
      <c r="AH48" s="47">
        <f t="shared" si="2"/>
        <v>287.5</v>
      </c>
      <c r="AI48" s="48">
        <f t="shared" si="3"/>
        <v>60.1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24</v>
      </c>
      <c r="I49" s="45">
        <v>61.3</v>
      </c>
      <c r="J49" s="45">
        <v>100</v>
      </c>
      <c r="K49" s="45">
        <v>140</v>
      </c>
      <c r="L49" s="45">
        <v>140</v>
      </c>
      <c r="M49" s="45">
        <v>140</v>
      </c>
      <c r="N49" s="45">
        <v>140.80000000000001</v>
      </c>
      <c r="O49" s="45">
        <v>132.19999999999999</v>
      </c>
      <c r="P49" s="45">
        <v>110</v>
      </c>
      <c r="Q49" s="45">
        <v>60.5</v>
      </c>
      <c r="R49" s="45">
        <v>31</v>
      </c>
      <c r="S49" s="45">
        <v>31</v>
      </c>
      <c r="T49" s="45">
        <v>30</v>
      </c>
      <c r="U49" s="45">
        <v>23</v>
      </c>
      <c r="V49" s="45">
        <v>23</v>
      </c>
      <c r="W49" s="45">
        <v>44</v>
      </c>
      <c r="X49" s="45">
        <v>129.6</v>
      </c>
      <c r="Y49" s="45">
        <v>143</v>
      </c>
      <c r="Z49" s="45">
        <v>143</v>
      </c>
      <c r="AA49" s="45">
        <v>141</v>
      </c>
      <c r="AB49" s="45">
        <v>140.30000000000001</v>
      </c>
      <c r="AC49" s="45">
        <v>115.3</v>
      </c>
      <c r="AD49" s="45">
        <v>60</v>
      </c>
      <c r="AE49" s="45">
        <v>25</v>
      </c>
      <c r="AF49" s="45">
        <v>0</v>
      </c>
      <c r="AG49" s="51">
        <v>144</v>
      </c>
      <c r="AH49" s="47">
        <f t="shared" si="2"/>
        <v>143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22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22</v>
      </c>
      <c r="I50" s="65">
        <v>34.700000000000003</v>
      </c>
      <c r="J50" s="65">
        <v>36</v>
      </c>
      <c r="K50" s="65">
        <v>57</v>
      </c>
      <c r="L50" s="65">
        <v>60.4</v>
      </c>
      <c r="M50" s="65">
        <v>60.4</v>
      </c>
      <c r="N50" s="65">
        <v>67.5</v>
      </c>
      <c r="O50" s="65">
        <v>49.3</v>
      </c>
      <c r="P50" s="65">
        <v>46.5</v>
      </c>
      <c r="Q50" s="65">
        <v>20</v>
      </c>
      <c r="R50" s="45">
        <v>19</v>
      </c>
      <c r="S50" s="45">
        <v>19</v>
      </c>
      <c r="T50" s="45">
        <v>19</v>
      </c>
      <c r="U50" s="45">
        <v>0</v>
      </c>
      <c r="V50" s="45">
        <v>20</v>
      </c>
      <c r="W50" s="65">
        <v>51</v>
      </c>
      <c r="X50" s="45">
        <v>65</v>
      </c>
      <c r="Y50" s="45">
        <v>65</v>
      </c>
      <c r="Z50" s="45">
        <v>65</v>
      </c>
      <c r="AA50" s="45">
        <v>70</v>
      </c>
      <c r="AB50" s="65">
        <v>69.599999999999994</v>
      </c>
      <c r="AC50" s="65">
        <v>68.099999999999994</v>
      </c>
      <c r="AD50" s="65">
        <v>50.8</v>
      </c>
      <c r="AE50" s="65">
        <v>20</v>
      </c>
      <c r="AF50" s="65">
        <v>0</v>
      </c>
      <c r="AG50" s="54">
        <v>70</v>
      </c>
      <c r="AH50" s="47">
        <f t="shared" si="2"/>
        <v>70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45</v>
      </c>
      <c r="C51" s="65">
        <v>0</v>
      </c>
      <c r="D51" s="65">
        <v>0</v>
      </c>
      <c r="E51" s="65">
        <v>0</v>
      </c>
      <c r="F51" s="65">
        <v>0</v>
      </c>
      <c r="G51" s="65">
        <v>0</v>
      </c>
      <c r="H51" s="65">
        <v>23</v>
      </c>
      <c r="I51" s="65">
        <v>21.3</v>
      </c>
      <c r="J51" s="65">
        <v>47</v>
      </c>
      <c r="K51" s="65">
        <v>53.9</v>
      </c>
      <c r="L51" s="65">
        <v>68.900000000000006</v>
      </c>
      <c r="M51" s="65">
        <v>68.900000000000006</v>
      </c>
      <c r="N51" s="65">
        <v>68.8</v>
      </c>
      <c r="O51" s="65">
        <v>52.7</v>
      </c>
      <c r="P51" s="65">
        <v>66.099999999999994</v>
      </c>
      <c r="Q51" s="65">
        <v>56.2</v>
      </c>
      <c r="R51" s="45">
        <v>16</v>
      </c>
      <c r="S51" s="45">
        <v>16</v>
      </c>
      <c r="T51" s="45">
        <v>0</v>
      </c>
      <c r="U51" s="45">
        <v>16</v>
      </c>
      <c r="V51" s="45">
        <v>17</v>
      </c>
      <c r="W51" s="65">
        <v>56.2</v>
      </c>
      <c r="X51" s="45">
        <v>62.1</v>
      </c>
      <c r="Y51" s="45">
        <v>62.1</v>
      </c>
      <c r="Z51" s="45">
        <v>62.1</v>
      </c>
      <c r="AA51" s="45">
        <v>69</v>
      </c>
      <c r="AB51" s="65">
        <v>68.5</v>
      </c>
      <c r="AC51" s="65">
        <v>67.7</v>
      </c>
      <c r="AD51" s="65">
        <v>48.9</v>
      </c>
      <c r="AE51" s="65">
        <v>32.9</v>
      </c>
      <c r="AF51" s="65">
        <v>16.399999999999999</v>
      </c>
      <c r="AG51" s="54">
        <v>69</v>
      </c>
      <c r="AH51" s="47">
        <f t="shared" si="2"/>
        <v>69</v>
      </c>
      <c r="AI51" s="48">
        <f t="shared" si="3"/>
        <v>0</v>
      </c>
      <c r="AK51" s="49"/>
    </row>
    <row r="52" spans="1:41" x14ac:dyDescent="0.25">
      <c r="A52" s="53" t="s">
        <v>60</v>
      </c>
      <c r="B52" s="56">
        <v>54.9</v>
      </c>
      <c r="C52" s="56">
        <v>54.9</v>
      </c>
      <c r="D52" s="56">
        <v>54.9</v>
      </c>
      <c r="E52" s="56">
        <v>51.1</v>
      </c>
      <c r="F52" s="56">
        <v>51.1</v>
      </c>
      <c r="G52" s="56">
        <v>51.1</v>
      </c>
      <c r="H52" s="56">
        <v>51.1</v>
      </c>
      <c r="I52" s="56">
        <v>51.1</v>
      </c>
      <c r="J52" s="56">
        <v>55.2</v>
      </c>
      <c r="K52" s="56">
        <v>55.2</v>
      </c>
      <c r="L52" s="56">
        <v>55.2</v>
      </c>
      <c r="M52" s="65">
        <v>55.2</v>
      </c>
      <c r="N52" s="65">
        <v>55.2</v>
      </c>
      <c r="O52" s="65">
        <v>51.4</v>
      </c>
      <c r="P52" s="65">
        <v>51.4</v>
      </c>
      <c r="Q52" s="65">
        <v>51.9</v>
      </c>
      <c r="R52" s="65">
        <v>51.9</v>
      </c>
      <c r="S52" s="65">
        <v>51.9</v>
      </c>
      <c r="T52" s="65">
        <v>51.9</v>
      </c>
      <c r="U52" s="65">
        <v>51.9</v>
      </c>
      <c r="V52" s="65">
        <v>51.9</v>
      </c>
      <c r="W52" s="65">
        <v>51.9</v>
      </c>
      <c r="X52" s="65">
        <v>51.9</v>
      </c>
      <c r="Y52" s="65">
        <v>51.9</v>
      </c>
      <c r="Z52" s="65">
        <v>51.9</v>
      </c>
      <c r="AA52" s="65">
        <v>50.1</v>
      </c>
      <c r="AB52" s="65">
        <v>49.9</v>
      </c>
      <c r="AC52" s="65">
        <v>49.9</v>
      </c>
      <c r="AD52" s="65">
        <v>54.1</v>
      </c>
      <c r="AE52" s="65">
        <v>54.1</v>
      </c>
      <c r="AF52" s="65">
        <v>54.1</v>
      </c>
      <c r="AG52" s="54">
        <v>60</v>
      </c>
      <c r="AH52" s="47">
        <f t="shared" si="2"/>
        <v>55.2</v>
      </c>
      <c r="AI52" s="48">
        <f t="shared" si="3"/>
        <v>49.9</v>
      </c>
      <c r="AK52" s="49"/>
    </row>
    <row r="53" spans="1:41" x14ac:dyDescent="0.25">
      <c r="A53" s="53" t="s">
        <v>61</v>
      </c>
      <c r="B53" s="56">
        <v>6</v>
      </c>
      <c r="C53" s="56">
        <v>0</v>
      </c>
      <c r="D53" s="56">
        <v>0</v>
      </c>
      <c r="E53" s="56">
        <v>0</v>
      </c>
      <c r="F53" s="56">
        <v>0</v>
      </c>
      <c r="G53" s="56">
        <v>0</v>
      </c>
      <c r="H53" s="56">
        <v>8.5</v>
      </c>
      <c r="I53" s="56">
        <v>15.1</v>
      </c>
      <c r="J53" s="56">
        <v>15.1</v>
      </c>
      <c r="K53" s="56">
        <v>24.8</v>
      </c>
      <c r="L53" s="56">
        <v>24.8</v>
      </c>
      <c r="M53" s="65">
        <v>24.8</v>
      </c>
      <c r="N53" s="65">
        <v>14.7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9.6</v>
      </c>
      <c r="W53" s="65">
        <v>9.6</v>
      </c>
      <c r="X53" s="65">
        <v>10.4</v>
      </c>
      <c r="Y53" s="65">
        <v>26</v>
      </c>
      <c r="Z53" s="65">
        <v>29.5</v>
      </c>
      <c r="AA53" s="65">
        <v>29.3</v>
      </c>
      <c r="AB53" s="65">
        <v>29.2</v>
      </c>
      <c r="AC53" s="65">
        <v>29.2</v>
      </c>
      <c r="AD53" s="65">
        <v>28.5</v>
      </c>
      <c r="AE53" s="65">
        <v>14.6</v>
      </c>
      <c r="AF53" s="65">
        <v>13</v>
      </c>
      <c r="AG53" s="54">
        <v>30</v>
      </c>
      <c r="AH53" s="47">
        <f t="shared" si="2"/>
        <v>29.5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2</v>
      </c>
      <c r="N54" s="45">
        <v>4</v>
      </c>
      <c r="O54" s="65">
        <v>4</v>
      </c>
      <c r="P54" s="65">
        <v>6</v>
      </c>
      <c r="Q54" s="65">
        <v>6</v>
      </c>
      <c r="R54" s="65">
        <v>6</v>
      </c>
      <c r="S54" s="65">
        <v>6</v>
      </c>
      <c r="T54" s="65">
        <v>6</v>
      </c>
      <c r="U54" s="65">
        <v>6</v>
      </c>
      <c r="V54" s="65">
        <v>6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6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17</v>
      </c>
      <c r="C55" s="65">
        <v>17</v>
      </c>
      <c r="D55" s="65">
        <v>17</v>
      </c>
      <c r="E55" s="65">
        <v>17</v>
      </c>
      <c r="F55" s="65">
        <v>17</v>
      </c>
      <c r="G55" s="65">
        <v>17</v>
      </c>
      <c r="H55" s="65">
        <v>17</v>
      </c>
      <c r="I55" s="65">
        <v>17</v>
      </c>
      <c r="J55" s="65">
        <v>17</v>
      </c>
      <c r="K55" s="65">
        <v>17</v>
      </c>
      <c r="L55" s="65">
        <v>17</v>
      </c>
      <c r="M55" s="65">
        <v>17</v>
      </c>
      <c r="N55" s="65">
        <v>17</v>
      </c>
      <c r="O55" s="65">
        <v>17</v>
      </c>
      <c r="P55" s="65">
        <v>17</v>
      </c>
      <c r="Q55" s="65">
        <v>17</v>
      </c>
      <c r="R55" s="65">
        <v>17</v>
      </c>
      <c r="S55" s="65">
        <v>17</v>
      </c>
      <c r="T55" s="65">
        <v>17</v>
      </c>
      <c r="U55" s="65">
        <v>17</v>
      </c>
      <c r="V55" s="65">
        <v>17</v>
      </c>
      <c r="W55" s="65">
        <v>17</v>
      </c>
      <c r="X55" s="65">
        <v>17</v>
      </c>
      <c r="Y55" s="65">
        <v>17</v>
      </c>
      <c r="Z55" s="65">
        <v>17</v>
      </c>
      <c r="AA55" s="65">
        <v>17</v>
      </c>
      <c r="AB55" s="65">
        <v>17</v>
      </c>
      <c r="AC55" s="65">
        <v>17</v>
      </c>
      <c r="AD55" s="65">
        <v>17</v>
      </c>
      <c r="AE55" s="65">
        <v>17</v>
      </c>
      <c r="AF55" s="65">
        <v>17</v>
      </c>
      <c r="AG55" s="54">
        <v>24</v>
      </c>
      <c r="AH55" s="47">
        <f t="shared" si="2"/>
        <v>17</v>
      </c>
      <c r="AI55" s="48">
        <f t="shared" si="3"/>
        <v>17</v>
      </c>
      <c r="AK55" s="49"/>
    </row>
    <row r="56" spans="1:41" x14ac:dyDescent="0.25">
      <c r="A56" s="53" t="s">
        <v>64</v>
      </c>
      <c r="B56" s="65">
        <v>2.5</v>
      </c>
      <c r="C56" s="65">
        <v>2.5</v>
      </c>
      <c r="D56" s="65">
        <v>2.5</v>
      </c>
      <c r="E56" s="65">
        <v>2.5</v>
      </c>
      <c r="F56" s="65">
        <v>2.5</v>
      </c>
      <c r="G56" s="65">
        <v>2.5</v>
      </c>
      <c r="H56" s="65">
        <v>2.5</v>
      </c>
      <c r="I56" s="65">
        <v>2.5</v>
      </c>
      <c r="J56" s="65">
        <v>2.5</v>
      </c>
      <c r="K56" s="65">
        <v>2.5</v>
      </c>
      <c r="L56" s="65">
        <v>2.5</v>
      </c>
      <c r="M56" s="65">
        <v>2.5</v>
      </c>
      <c r="N56" s="65">
        <v>2.5</v>
      </c>
      <c r="O56" s="65">
        <v>2.5</v>
      </c>
      <c r="P56" s="65">
        <v>2.5</v>
      </c>
      <c r="Q56" s="65">
        <v>2.5</v>
      </c>
      <c r="R56" s="65">
        <v>2.5</v>
      </c>
      <c r="S56" s="65">
        <v>2.5</v>
      </c>
      <c r="T56" s="65">
        <v>2.5</v>
      </c>
      <c r="U56" s="65">
        <v>2.5</v>
      </c>
      <c r="V56" s="65">
        <v>2.5</v>
      </c>
      <c r="W56" s="65">
        <v>2.5</v>
      </c>
      <c r="X56" s="65">
        <v>2.5</v>
      </c>
      <c r="Y56" s="65">
        <v>2.5</v>
      </c>
      <c r="Z56" s="65">
        <v>2.5</v>
      </c>
      <c r="AA56" s="65">
        <v>2.5</v>
      </c>
      <c r="AB56" s="65">
        <v>2.5</v>
      </c>
      <c r="AC56" s="65">
        <v>2.5</v>
      </c>
      <c r="AD56" s="65">
        <v>2.5</v>
      </c>
      <c r="AE56" s="65">
        <v>2.5</v>
      </c>
      <c r="AF56" s="65">
        <v>2.5</v>
      </c>
      <c r="AG56" s="54">
        <v>15</v>
      </c>
      <c r="AH56" s="47">
        <f t="shared" si="2"/>
        <v>2.5</v>
      </c>
      <c r="AI56" s="48">
        <f t="shared" si="3"/>
        <v>2.5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12.3</v>
      </c>
      <c r="C57" s="65">
        <v>12.3</v>
      </c>
      <c r="D57" s="65">
        <v>12.3</v>
      </c>
      <c r="E57" s="65">
        <v>12.3</v>
      </c>
      <c r="F57" s="65">
        <v>12.3</v>
      </c>
      <c r="G57" s="65">
        <v>12.3</v>
      </c>
      <c r="H57" s="65">
        <v>12.3</v>
      </c>
      <c r="I57" s="65">
        <v>12.3</v>
      </c>
      <c r="J57" s="65">
        <v>12.3</v>
      </c>
      <c r="K57" s="65">
        <v>12.3</v>
      </c>
      <c r="L57" s="65">
        <v>12.3</v>
      </c>
      <c r="M57" s="65">
        <v>12.3</v>
      </c>
      <c r="N57" s="65">
        <v>12.3</v>
      </c>
      <c r="O57" s="65">
        <v>12.3</v>
      </c>
      <c r="P57" s="65">
        <v>12.3</v>
      </c>
      <c r="Q57" s="65">
        <v>12.3</v>
      </c>
      <c r="R57" s="65">
        <v>12.3</v>
      </c>
      <c r="S57" s="65">
        <v>12.3</v>
      </c>
      <c r="T57" s="65">
        <v>12.3</v>
      </c>
      <c r="U57" s="65">
        <v>12.3</v>
      </c>
      <c r="V57" s="65">
        <v>12.3</v>
      </c>
      <c r="W57" s="65">
        <v>12.3</v>
      </c>
      <c r="X57" s="65">
        <v>12.3</v>
      </c>
      <c r="Y57" s="65">
        <v>12.3</v>
      </c>
      <c r="Z57" s="65">
        <v>12.3</v>
      </c>
      <c r="AA57" s="65">
        <v>12.3</v>
      </c>
      <c r="AB57" s="65">
        <v>12.3</v>
      </c>
      <c r="AC57" s="65">
        <v>12.3</v>
      </c>
      <c r="AD57" s="65">
        <v>12.3</v>
      </c>
      <c r="AE57" s="65">
        <v>12.3</v>
      </c>
      <c r="AF57" s="65">
        <v>12.3</v>
      </c>
      <c r="AG57" s="54">
        <v>14.1</v>
      </c>
      <c r="AH57" s="47">
        <f t="shared" si="2"/>
        <v>12.3</v>
      </c>
      <c r="AI57" s="48">
        <f t="shared" si="3"/>
        <v>12.3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3.9</v>
      </c>
      <c r="C58" s="65">
        <v>3.9</v>
      </c>
      <c r="D58" s="65">
        <v>3.9</v>
      </c>
      <c r="E58" s="65">
        <v>3.9</v>
      </c>
      <c r="F58" s="65">
        <v>3.9</v>
      </c>
      <c r="G58" s="65">
        <v>3.9</v>
      </c>
      <c r="H58" s="65">
        <v>3.9</v>
      </c>
      <c r="I58" s="65">
        <v>3.9</v>
      </c>
      <c r="J58" s="65">
        <v>3.9</v>
      </c>
      <c r="K58" s="65">
        <v>3.9</v>
      </c>
      <c r="L58" s="65">
        <v>3.9</v>
      </c>
      <c r="M58" s="65">
        <v>3.9</v>
      </c>
      <c r="N58" s="65">
        <v>3.9</v>
      </c>
      <c r="O58" s="65">
        <v>3.9</v>
      </c>
      <c r="P58" s="65">
        <v>3.9</v>
      </c>
      <c r="Q58" s="65">
        <v>3.9</v>
      </c>
      <c r="R58" s="65">
        <v>3.9</v>
      </c>
      <c r="S58" s="65">
        <v>3.9</v>
      </c>
      <c r="T58" s="65">
        <v>3.9</v>
      </c>
      <c r="U58" s="65">
        <v>3.9</v>
      </c>
      <c r="V58" s="65">
        <v>3.9</v>
      </c>
      <c r="W58" s="65">
        <v>3.9</v>
      </c>
      <c r="X58" s="65">
        <v>3.9</v>
      </c>
      <c r="Y58" s="65">
        <v>3.9</v>
      </c>
      <c r="Z58" s="65">
        <v>3.9</v>
      </c>
      <c r="AA58" s="65">
        <v>3.9</v>
      </c>
      <c r="AB58" s="65">
        <v>3.9</v>
      </c>
      <c r="AC58" s="65">
        <v>3.9</v>
      </c>
      <c r="AD58" s="65">
        <v>3.9</v>
      </c>
      <c r="AE58" s="65">
        <v>3.9</v>
      </c>
      <c r="AF58" s="65">
        <v>3.9</v>
      </c>
      <c r="AG58" s="54">
        <v>14</v>
      </c>
      <c r="AH58" s="47">
        <f t="shared" si="2"/>
        <v>3.9</v>
      </c>
      <c r="AI58" s="48">
        <f t="shared" si="3"/>
        <v>3.9</v>
      </c>
      <c r="AK58" s="49"/>
    </row>
    <row r="59" spans="1:41" x14ac:dyDescent="0.25">
      <c r="A59" s="53" t="s">
        <v>67</v>
      </c>
      <c r="B59" s="65">
        <v>5.2</v>
      </c>
      <c r="C59" s="65">
        <v>5.2</v>
      </c>
      <c r="D59" s="65">
        <v>5.2</v>
      </c>
      <c r="E59" s="65">
        <v>5.2</v>
      </c>
      <c r="F59" s="65">
        <v>5.2</v>
      </c>
      <c r="G59" s="65">
        <v>5.2</v>
      </c>
      <c r="H59" s="65">
        <v>5.2</v>
      </c>
      <c r="I59" s="65">
        <v>5.2</v>
      </c>
      <c r="J59" s="65">
        <v>5.2</v>
      </c>
      <c r="K59" s="65">
        <v>5.2</v>
      </c>
      <c r="L59" s="65">
        <v>5.2</v>
      </c>
      <c r="M59" s="65">
        <v>5.2</v>
      </c>
      <c r="N59" s="65">
        <v>5.2</v>
      </c>
      <c r="O59" s="65">
        <v>5.2</v>
      </c>
      <c r="P59" s="65">
        <v>5.2</v>
      </c>
      <c r="Q59" s="65">
        <v>5.2</v>
      </c>
      <c r="R59" s="65">
        <v>5.2</v>
      </c>
      <c r="S59" s="65">
        <v>5.2</v>
      </c>
      <c r="T59" s="65">
        <v>5.2</v>
      </c>
      <c r="U59" s="65">
        <v>5.2</v>
      </c>
      <c r="V59" s="65">
        <v>5.2</v>
      </c>
      <c r="W59" s="65">
        <v>5.2</v>
      </c>
      <c r="X59" s="65">
        <v>5.2</v>
      </c>
      <c r="Y59" s="65">
        <v>5.2</v>
      </c>
      <c r="Z59" s="65">
        <v>5.2</v>
      </c>
      <c r="AA59" s="65">
        <v>5.2</v>
      </c>
      <c r="AB59" s="65">
        <v>5.2</v>
      </c>
      <c r="AC59" s="65">
        <v>5.2</v>
      </c>
      <c r="AD59" s="65">
        <v>5.2</v>
      </c>
      <c r="AE59" s="65">
        <v>5.2</v>
      </c>
      <c r="AF59" s="65">
        <v>5.2</v>
      </c>
      <c r="AG59" s="54">
        <v>10.050000000000001</v>
      </c>
      <c r="AH59" s="47">
        <f t="shared" si="2"/>
        <v>5.2</v>
      </c>
      <c r="AI59" s="48">
        <f t="shared" si="3"/>
        <v>5.2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 t="shared" ref="B62:AG62" si="6">SUM(B49:B61)</f>
        <v>175.54</v>
      </c>
      <c r="C62" s="60">
        <f t="shared" si="6"/>
        <v>102.54000000000002</v>
      </c>
      <c r="D62" s="60">
        <f t="shared" si="6"/>
        <v>102.54000000000002</v>
      </c>
      <c r="E62" s="60">
        <f t="shared" si="6"/>
        <v>98.740000000000009</v>
      </c>
      <c r="F62" s="60">
        <f t="shared" si="6"/>
        <v>98.740000000000009</v>
      </c>
      <c r="G62" s="60">
        <f t="shared" si="6"/>
        <v>98.740000000000009</v>
      </c>
      <c r="H62" s="60">
        <f t="shared" si="6"/>
        <v>176.23999999999998</v>
      </c>
      <c r="I62" s="60">
        <f t="shared" si="6"/>
        <v>231.14</v>
      </c>
      <c r="J62" s="60">
        <f t="shared" si="6"/>
        <v>300.93999999999994</v>
      </c>
      <c r="K62" s="60">
        <f t="shared" si="6"/>
        <v>378.54</v>
      </c>
      <c r="L62" s="60">
        <f t="shared" si="6"/>
        <v>396.94</v>
      </c>
      <c r="M62" s="60">
        <f t="shared" si="6"/>
        <v>398.94</v>
      </c>
      <c r="N62" s="60">
        <f t="shared" si="6"/>
        <v>398.64</v>
      </c>
      <c r="O62" s="60">
        <f t="shared" si="6"/>
        <v>337.23999999999995</v>
      </c>
      <c r="P62" s="60">
        <f t="shared" si="6"/>
        <v>327.64</v>
      </c>
      <c r="Q62" s="60">
        <f t="shared" si="6"/>
        <v>242.23999999999998</v>
      </c>
      <c r="R62" s="60">
        <f t="shared" si="6"/>
        <v>171.54</v>
      </c>
      <c r="S62" s="60">
        <f t="shared" si="6"/>
        <v>171.54</v>
      </c>
      <c r="T62" s="60">
        <f t="shared" si="6"/>
        <v>154.54</v>
      </c>
      <c r="U62" s="60">
        <f t="shared" si="6"/>
        <v>144.54</v>
      </c>
      <c r="V62" s="60">
        <f t="shared" si="6"/>
        <v>175.14</v>
      </c>
      <c r="W62" s="60">
        <f t="shared" si="6"/>
        <v>260.34000000000003</v>
      </c>
      <c r="X62" s="60">
        <f t="shared" si="6"/>
        <v>366.63999999999993</v>
      </c>
      <c r="Y62" s="60">
        <f t="shared" si="6"/>
        <v>395.64</v>
      </c>
      <c r="Z62" s="60">
        <f t="shared" si="6"/>
        <v>399.14</v>
      </c>
      <c r="AA62" s="60">
        <f t="shared" si="6"/>
        <v>407.04</v>
      </c>
      <c r="AB62" s="60">
        <f t="shared" si="6"/>
        <v>405.13999999999993</v>
      </c>
      <c r="AC62" s="60">
        <f t="shared" si="6"/>
        <v>377.83999999999992</v>
      </c>
      <c r="AD62" s="60">
        <f t="shared" si="6"/>
        <v>289.93999999999994</v>
      </c>
      <c r="AE62" s="60">
        <f t="shared" si="6"/>
        <v>194.23999999999998</v>
      </c>
      <c r="AF62" s="60">
        <f t="shared" si="6"/>
        <v>131.14000000000001</v>
      </c>
      <c r="AG62" s="61">
        <f t="shared" si="6"/>
        <v>489.91</v>
      </c>
      <c r="AH62" s="47">
        <f t="shared" si="2"/>
        <v>407.04</v>
      </c>
      <c r="AI62" s="48">
        <f t="shared" si="3"/>
        <v>98.740000000000009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1">
        <v>60</v>
      </c>
      <c r="AH63" s="47">
        <f t="shared" si="2"/>
        <v>0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4">
        <v>32</v>
      </c>
      <c r="AH64" s="47">
        <f t="shared" si="2"/>
        <v>0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0</v>
      </c>
      <c r="N65" s="67">
        <v>0</v>
      </c>
      <c r="O65" s="67">
        <v>0</v>
      </c>
      <c r="P65" s="67">
        <v>0</v>
      </c>
      <c r="Q65" s="67">
        <v>0</v>
      </c>
      <c r="R65" s="67">
        <v>0</v>
      </c>
      <c r="S65" s="67">
        <v>0</v>
      </c>
      <c r="T65" s="67">
        <v>0</v>
      </c>
      <c r="U65" s="67">
        <v>0</v>
      </c>
      <c r="V65" s="67">
        <v>0</v>
      </c>
      <c r="W65" s="67">
        <v>0</v>
      </c>
      <c r="X65" s="67">
        <v>0</v>
      </c>
      <c r="Y65" s="67">
        <v>0</v>
      </c>
      <c r="Z65" s="67">
        <v>0</v>
      </c>
      <c r="AA65" s="67">
        <v>0</v>
      </c>
      <c r="AB65" s="67">
        <v>0</v>
      </c>
      <c r="AC65" s="67">
        <v>0</v>
      </c>
      <c r="AD65" s="67">
        <v>0</v>
      </c>
      <c r="AE65" s="67">
        <v>0</v>
      </c>
      <c r="AF65" s="67">
        <v>0</v>
      </c>
      <c r="AG65" s="68">
        <v>14</v>
      </c>
      <c r="AH65" s="47">
        <f t="shared" si="2"/>
        <v>0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v>0</v>
      </c>
      <c r="M66" s="60">
        <f t="shared" ref="M66:AF66" si="7">M63+M64+M65</f>
        <v>0</v>
      </c>
      <c r="N66" s="60">
        <f t="shared" si="7"/>
        <v>0</v>
      </c>
      <c r="O66" s="60">
        <f t="shared" si="7"/>
        <v>0</v>
      </c>
      <c r="P66" s="60">
        <f t="shared" si="7"/>
        <v>0</v>
      </c>
      <c r="Q66" s="60">
        <f t="shared" si="7"/>
        <v>0</v>
      </c>
      <c r="R66" s="60">
        <f t="shared" si="7"/>
        <v>0</v>
      </c>
      <c r="S66" s="60">
        <f t="shared" si="7"/>
        <v>0</v>
      </c>
      <c r="T66" s="60">
        <f t="shared" si="7"/>
        <v>0</v>
      </c>
      <c r="U66" s="60">
        <f t="shared" si="7"/>
        <v>0</v>
      </c>
      <c r="V66" s="60">
        <f t="shared" si="7"/>
        <v>0</v>
      </c>
      <c r="W66" s="60">
        <f t="shared" si="7"/>
        <v>0</v>
      </c>
      <c r="X66" s="60">
        <f t="shared" si="7"/>
        <v>0</v>
      </c>
      <c r="Y66" s="60">
        <f t="shared" si="7"/>
        <v>0</v>
      </c>
      <c r="Z66" s="60">
        <f t="shared" si="7"/>
        <v>0</v>
      </c>
      <c r="AA66" s="60">
        <f t="shared" si="7"/>
        <v>0</v>
      </c>
      <c r="AB66" s="60">
        <f t="shared" si="7"/>
        <v>0</v>
      </c>
      <c r="AC66" s="60">
        <f t="shared" si="7"/>
        <v>0</v>
      </c>
      <c r="AD66" s="60">
        <f t="shared" si="7"/>
        <v>0</v>
      </c>
      <c r="AE66" s="60">
        <f t="shared" si="7"/>
        <v>0</v>
      </c>
      <c r="AF66" s="60">
        <f t="shared" si="7"/>
        <v>0</v>
      </c>
      <c r="AG66" s="61">
        <f>SUM(AG63:AG65)</f>
        <v>106</v>
      </c>
      <c r="AH66" s="47">
        <f t="shared" si="2"/>
        <v>0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63</v>
      </c>
      <c r="C67" s="45">
        <v>61</v>
      </c>
      <c r="D67" s="45">
        <v>67</v>
      </c>
      <c r="E67" s="45">
        <v>73.2</v>
      </c>
      <c r="F67" s="45">
        <v>73.2</v>
      </c>
      <c r="G67" s="45">
        <v>73.2</v>
      </c>
      <c r="H67" s="45">
        <v>65</v>
      </c>
      <c r="I67" s="45">
        <v>74</v>
      </c>
      <c r="J67" s="45">
        <v>76.400000000000006</v>
      </c>
      <c r="K67" s="45">
        <v>50</v>
      </c>
      <c r="L67" s="45">
        <v>50</v>
      </c>
      <c r="M67" s="45">
        <v>64.900000000000006</v>
      </c>
      <c r="N67" s="45">
        <v>55.7</v>
      </c>
      <c r="O67" s="45">
        <v>65.7</v>
      </c>
      <c r="P67" s="45">
        <v>62.6</v>
      </c>
      <c r="Q67" s="45">
        <v>63.4</v>
      </c>
      <c r="R67" s="45">
        <v>65</v>
      </c>
      <c r="S67" s="45">
        <v>63</v>
      </c>
      <c r="T67" s="45">
        <v>63</v>
      </c>
      <c r="U67" s="45">
        <v>58</v>
      </c>
      <c r="V67" s="45">
        <v>56</v>
      </c>
      <c r="W67" s="45">
        <v>62</v>
      </c>
      <c r="X67" s="45">
        <v>69</v>
      </c>
      <c r="Y67" s="45">
        <v>71.8</v>
      </c>
      <c r="Z67" s="45">
        <v>68.099999999999994</v>
      </c>
      <c r="AA67" s="45">
        <v>68.5</v>
      </c>
      <c r="AB67" s="45">
        <v>65.099999999999994</v>
      </c>
      <c r="AC67" s="45">
        <v>67.2</v>
      </c>
      <c r="AD67" s="45">
        <v>66.3</v>
      </c>
      <c r="AE67" s="45">
        <v>69.400000000000006</v>
      </c>
      <c r="AF67" s="45">
        <v>60.6</v>
      </c>
      <c r="AG67" s="51"/>
      <c r="AH67" s="47">
        <f t="shared" si="2"/>
        <v>76.400000000000006</v>
      </c>
      <c r="AI67" s="48">
        <f t="shared" si="3"/>
        <v>50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230</v>
      </c>
      <c r="C69" s="65">
        <v>247</v>
      </c>
      <c r="D69" s="65">
        <v>248</v>
      </c>
      <c r="E69" s="65">
        <v>230</v>
      </c>
      <c r="F69" s="65">
        <v>230</v>
      </c>
      <c r="G69" s="65">
        <v>270</v>
      </c>
      <c r="H69" s="65">
        <v>300</v>
      </c>
      <c r="I69" s="65">
        <v>300</v>
      </c>
      <c r="J69" s="65">
        <v>290</v>
      </c>
      <c r="K69" s="65">
        <v>290</v>
      </c>
      <c r="L69" s="65">
        <v>275</v>
      </c>
      <c r="M69" s="65">
        <v>215</v>
      </c>
      <c r="N69" s="65">
        <v>205</v>
      </c>
      <c r="O69" s="65">
        <v>270.60000000000002</v>
      </c>
      <c r="P69" s="65">
        <v>263.10000000000002</v>
      </c>
      <c r="Q69" s="65">
        <v>265.5</v>
      </c>
      <c r="R69" s="65">
        <v>240</v>
      </c>
      <c r="S69" s="65">
        <v>268</v>
      </c>
      <c r="T69" s="65">
        <v>238</v>
      </c>
      <c r="U69" s="65">
        <v>262</v>
      </c>
      <c r="V69" s="65">
        <v>291</v>
      </c>
      <c r="W69" s="65">
        <v>340</v>
      </c>
      <c r="X69" s="65">
        <v>301</v>
      </c>
      <c r="Y69" s="65">
        <v>326</v>
      </c>
      <c r="Z69" s="65">
        <v>328</v>
      </c>
      <c r="AA69" s="65">
        <v>240</v>
      </c>
      <c r="AB69" s="65">
        <v>262</v>
      </c>
      <c r="AC69" s="65">
        <v>250.4</v>
      </c>
      <c r="AD69" s="65">
        <v>252</v>
      </c>
      <c r="AE69" s="65">
        <v>232.1</v>
      </c>
      <c r="AF69" s="65">
        <v>225.7</v>
      </c>
      <c r="AG69" s="75"/>
      <c r="AH69" s="47">
        <f t="shared" si="2"/>
        <v>340</v>
      </c>
      <c r="AI69" s="48">
        <f t="shared" si="3"/>
        <v>205</v>
      </c>
      <c r="AK69" s="49"/>
    </row>
    <row r="70" spans="1:40" x14ac:dyDescent="0.25">
      <c r="A70" s="53" t="s">
        <v>78</v>
      </c>
      <c r="B70" s="76">
        <v>45</v>
      </c>
      <c r="C70" s="76">
        <v>56</v>
      </c>
      <c r="D70" s="76">
        <v>57</v>
      </c>
      <c r="E70" s="76">
        <v>53.6</v>
      </c>
      <c r="F70" s="76">
        <v>53.6</v>
      </c>
      <c r="G70" s="76">
        <v>56</v>
      </c>
      <c r="H70" s="76">
        <v>60</v>
      </c>
      <c r="I70" s="76">
        <v>60</v>
      </c>
      <c r="J70" s="76">
        <v>60</v>
      </c>
      <c r="K70" s="76">
        <v>60</v>
      </c>
      <c r="L70" s="76">
        <v>64.599999999999994</v>
      </c>
      <c r="M70" s="76">
        <v>61.8</v>
      </c>
      <c r="N70" s="76">
        <v>58</v>
      </c>
      <c r="O70" s="76">
        <v>61</v>
      </c>
      <c r="P70" s="76">
        <v>63.4</v>
      </c>
      <c r="Q70" s="76">
        <v>61.6</v>
      </c>
      <c r="R70" s="76">
        <v>61.6</v>
      </c>
      <c r="S70" s="76">
        <v>61.6</v>
      </c>
      <c r="T70" s="76">
        <v>61.6</v>
      </c>
      <c r="U70" s="76">
        <v>61.6</v>
      </c>
      <c r="V70" s="76">
        <v>61.6</v>
      </c>
      <c r="W70" s="76">
        <v>42</v>
      </c>
      <c r="X70" s="76">
        <v>46.1</v>
      </c>
      <c r="Y70" s="76">
        <v>44.2</v>
      </c>
      <c r="Z70" s="76">
        <v>45.3</v>
      </c>
      <c r="AA70" s="65">
        <v>45.4</v>
      </c>
      <c r="AB70" s="65">
        <v>48</v>
      </c>
      <c r="AC70" s="65">
        <v>48</v>
      </c>
      <c r="AD70" s="65">
        <v>45.7</v>
      </c>
      <c r="AE70" s="65">
        <v>41.5</v>
      </c>
      <c r="AF70" s="65">
        <v>45.7</v>
      </c>
      <c r="AG70" s="75"/>
      <c r="AH70" s="47">
        <f t="shared" si="2"/>
        <v>64.599999999999994</v>
      </c>
      <c r="AI70" s="48">
        <f t="shared" si="3"/>
        <v>41.5</v>
      </c>
      <c r="AK70" s="49"/>
    </row>
    <row r="71" spans="1:40" x14ac:dyDescent="0.25">
      <c r="A71" s="53" t="s">
        <v>79</v>
      </c>
      <c r="B71" s="45">
        <v>24</v>
      </c>
      <c r="C71" s="45">
        <v>24</v>
      </c>
      <c r="D71" s="45">
        <v>24</v>
      </c>
      <c r="E71" s="45">
        <v>24</v>
      </c>
      <c r="F71" s="45">
        <v>24</v>
      </c>
      <c r="G71" s="45">
        <v>24</v>
      </c>
      <c r="H71" s="45">
        <v>24</v>
      </c>
      <c r="I71" s="45">
        <v>24</v>
      </c>
      <c r="J71" s="45">
        <v>24</v>
      </c>
      <c r="K71" s="45">
        <v>24</v>
      </c>
      <c r="L71" s="45">
        <v>24</v>
      </c>
      <c r="M71" s="45">
        <v>24</v>
      </c>
      <c r="N71" s="45">
        <v>25</v>
      </c>
      <c r="O71" s="45">
        <v>24</v>
      </c>
      <c r="P71" s="45">
        <v>24</v>
      </c>
      <c r="Q71" s="45">
        <v>27</v>
      </c>
      <c r="R71" s="45">
        <v>27</v>
      </c>
      <c r="S71" s="45">
        <v>27</v>
      </c>
      <c r="T71" s="45">
        <v>27</v>
      </c>
      <c r="U71" s="45">
        <v>27</v>
      </c>
      <c r="V71" s="45">
        <v>27</v>
      </c>
      <c r="W71" s="45">
        <v>27</v>
      </c>
      <c r="X71" s="45">
        <v>27</v>
      </c>
      <c r="Y71" s="45">
        <v>27</v>
      </c>
      <c r="Z71" s="45">
        <v>27</v>
      </c>
      <c r="AA71" s="45">
        <v>27</v>
      </c>
      <c r="AB71" s="45">
        <v>27</v>
      </c>
      <c r="AC71" s="45">
        <v>27</v>
      </c>
      <c r="AD71" s="45">
        <v>20</v>
      </c>
      <c r="AE71" s="45">
        <v>25</v>
      </c>
      <c r="AF71" s="45">
        <v>25</v>
      </c>
      <c r="AG71" s="75"/>
      <c r="AH71" s="47">
        <f t="shared" si="2"/>
        <v>27</v>
      </c>
      <c r="AI71" s="48">
        <f t="shared" si="3"/>
        <v>20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5"/>
      <c r="AH72" s="47">
        <f t="shared" si="2"/>
        <v>5</v>
      </c>
      <c r="AI72" s="48">
        <f t="shared" si="3"/>
        <v>0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5</v>
      </c>
      <c r="C74" s="77">
        <v>5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5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8">MAX(B75:AF75)</f>
        <v>0</v>
      </c>
      <c r="AI75" s="48">
        <f t="shared" ref="AI75:AI113" si="9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8"/>
        <v>0</v>
      </c>
      <c r="AI76" s="48">
        <f t="shared" si="9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8"/>
        <v>0</v>
      </c>
      <c r="AI77" s="48">
        <f t="shared" si="9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F78" si="10">SUMIF(B67:B77,"&gt;0")</f>
        <v>372</v>
      </c>
      <c r="C78" s="60">
        <f t="shared" si="10"/>
        <v>398</v>
      </c>
      <c r="D78" s="60">
        <f t="shared" si="10"/>
        <v>396</v>
      </c>
      <c r="E78" s="60">
        <f t="shared" si="10"/>
        <v>380.8</v>
      </c>
      <c r="F78" s="60">
        <f t="shared" si="10"/>
        <v>380.8</v>
      </c>
      <c r="G78" s="60">
        <f t="shared" si="10"/>
        <v>423.2</v>
      </c>
      <c r="H78" s="60">
        <f t="shared" si="10"/>
        <v>449</v>
      </c>
      <c r="I78" s="60">
        <f t="shared" si="10"/>
        <v>458</v>
      </c>
      <c r="J78" s="60">
        <f t="shared" si="10"/>
        <v>450.4</v>
      </c>
      <c r="K78" s="60">
        <f t="shared" si="10"/>
        <v>424</v>
      </c>
      <c r="L78" s="60">
        <f t="shared" si="10"/>
        <v>413.6</v>
      </c>
      <c r="M78" s="60">
        <f t="shared" si="10"/>
        <v>365.7</v>
      </c>
      <c r="N78" s="60">
        <f t="shared" si="10"/>
        <v>343.7</v>
      </c>
      <c r="O78" s="60">
        <f t="shared" si="10"/>
        <v>426.3</v>
      </c>
      <c r="P78" s="60">
        <f t="shared" si="10"/>
        <v>418.1</v>
      </c>
      <c r="Q78" s="60">
        <f t="shared" si="10"/>
        <v>422.5</v>
      </c>
      <c r="R78" s="60">
        <f t="shared" si="10"/>
        <v>398.6</v>
      </c>
      <c r="S78" s="60">
        <f t="shared" si="10"/>
        <v>424.6</v>
      </c>
      <c r="T78" s="60">
        <f t="shared" si="10"/>
        <v>394.6</v>
      </c>
      <c r="U78" s="60">
        <f t="shared" si="10"/>
        <v>413.6</v>
      </c>
      <c r="V78" s="60">
        <f t="shared" si="10"/>
        <v>440.6</v>
      </c>
      <c r="W78" s="60">
        <f t="shared" si="10"/>
        <v>471</v>
      </c>
      <c r="X78" s="60">
        <f t="shared" si="10"/>
        <v>443.1</v>
      </c>
      <c r="Y78" s="60">
        <f t="shared" si="10"/>
        <v>469</v>
      </c>
      <c r="Z78" s="60">
        <f t="shared" si="10"/>
        <v>468.40000000000003</v>
      </c>
      <c r="AA78" s="60">
        <f t="shared" si="10"/>
        <v>380.9</v>
      </c>
      <c r="AB78" s="60">
        <f t="shared" si="10"/>
        <v>402.1</v>
      </c>
      <c r="AC78" s="60">
        <f t="shared" si="10"/>
        <v>392.6</v>
      </c>
      <c r="AD78" s="60">
        <f t="shared" si="10"/>
        <v>384</v>
      </c>
      <c r="AE78" s="60">
        <f t="shared" si="10"/>
        <v>368</v>
      </c>
      <c r="AF78" s="60">
        <f t="shared" si="10"/>
        <v>357</v>
      </c>
      <c r="AG78" s="88">
        <f>SUM(AG67:AG77)</f>
        <v>0</v>
      </c>
      <c r="AH78" s="47">
        <f t="shared" si="8"/>
        <v>471</v>
      </c>
      <c r="AI78" s="48">
        <f t="shared" si="9"/>
        <v>343.7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8"/>
        <v>0</v>
      </c>
      <c r="AI79" s="48">
        <f t="shared" si="9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8"/>
        <v>0</v>
      </c>
      <c r="AI80" s="48">
        <f t="shared" si="9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8"/>
        <v>0</v>
      </c>
      <c r="AI81" s="48">
        <f t="shared" si="9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8"/>
        <v>0</v>
      </c>
      <c r="AI82" s="48">
        <f t="shared" si="9"/>
        <v>0</v>
      </c>
    </row>
    <row r="83" spans="1:37" ht="15.75" thickBot="1" x14ac:dyDescent="0.3">
      <c r="A83" s="74" t="s">
        <v>94</v>
      </c>
      <c r="B83" s="95">
        <f>B44+B48+B66+B62+B78+B82</f>
        <v>1070.54</v>
      </c>
      <c r="C83" s="95">
        <f t="shared" ref="C83:AG83" si="11">C44+C48+C66+C62+C78+C82</f>
        <v>1023.54</v>
      </c>
      <c r="D83" s="95">
        <f t="shared" si="11"/>
        <v>1022.44</v>
      </c>
      <c r="E83" s="95">
        <f t="shared" si="11"/>
        <v>1001.94</v>
      </c>
      <c r="F83" s="95">
        <f t="shared" si="11"/>
        <v>1001.94</v>
      </c>
      <c r="G83" s="95">
        <f t="shared" si="11"/>
        <v>1044.3399999999999</v>
      </c>
      <c r="H83" s="95">
        <f t="shared" si="11"/>
        <v>1162.6399999999999</v>
      </c>
      <c r="I83" s="95">
        <f t="shared" si="11"/>
        <v>1261.54</v>
      </c>
      <c r="J83" s="95">
        <f t="shared" si="11"/>
        <v>1313.7399999999998</v>
      </c>
      <c r="K83" s="95">
        <f t="shared" si="11"/>
        <v>1398.34</v>
      </c>
      <c r="L83" s="95">
        <f t="shared" si="11"/>
        <v>1426.3400000000001</v>
      </c>
      <c r="M83" s="95">
        <f t="shared" si="11"/>
        <v>1374.44</v>
      </c>
      <c r="N83" s="95">
        <f t="shared" si="11"/>
        <v>1492.14</v>
      </c>
      <c r="O83" s="95">
        <f t="shared" si="11"/>
        <v>1433.2399999999998</v>
      </c>
      <c r="P83" s="95">
        <f t="shared" si="11"/>
        <v>1375.44</v>
      </c>
      <c r="Q83" s="95">
        <f t="shared" si="11"/>
        <v>1263.1399999999999</v>
      </c>
      <c r="R83" s="95">
        <f t="shared" si="11"/>
        <v>1178.54</v>
      </c>
      <c r="S83" s="95">
        <f t="shared" si="11"/>
        <v>1204.54</v>
      </c>
      <c r="T83" s="95">
        <f t="shared" si="11"/>
        <v>1157.54</v>
      </c>
      <c r="U83" s="95">
        <f t="shared" si="11"/>
        <v>1101.54</v>
      </c>
      <c r="V83" s="95">
        <f t="shared" si="11"/>
        <v>1159.1399999999999</v>
      </c>
      <c r="W83" s="95">
        <f t="shared" si="11"/>
        <v>1269.74</v>
      </c>
      <c r="X83" s="95">
        <f t="shared" si="11"/>
        <v>1387.04</v>
      </c>
      <c r="Y83" s="95">
        <f t="shared" si="11"/>
        <v>1461.94</v>
      </c>
      <c r="Z83" s="95">
        <f t="shared" si="11"/>
        <v>1474.84</v>
      </c>
      <c r="AA83" s="95">
        <f t="shared" si="11"/>
        <v>1485.2399999999998</v>
      </c>
      <c r="AB83" s="95">
        <f t="shared" si="11"/>
        <v>1467.6399999999999</v>
      </c>
      <c r="AC83" s="95">
        <f t="shared" si="11"/>
        <v>1451.94</v>
      </c>
      <c r="AD83" s="95">
        <f t="shared" si="11"/>
        <v>1345.44</v>
      </c>
      <c r="AE83" s="95">
        <f t="shared" si="11"/>
        <v>1153.74</v>
      </c>
      <c r="AF83" s="95">
        <f t="shared" si="11"/>
        <v>1103.6399999999999</v>
      </c>
      <c r="AG83" s="61">
        <f t="shared" si="11"/>
        <v>2004.1900000000003</v>
      </c>
      <c r="AH83" s="47">
        <f>MAX(B83:AF83)</f>
        <v>1492.14</v>
      </c>
      <c r="AI83" s="48">
        <f>MIN(B83:AF83)</f>
        <v>1001.94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>
        <v>50</v>
      </c>
      <c r="L84" s="97">
        <v>30</v>
      </c>
      <c r="M84" s="97">
        <v>20</v>
      </c>
      <c r="N84" s="97"/>
      <c r="O84" s="97"/>
      <c r="P84" s="97"/>
      <c r="Q84" s="97"/>
      <c r="R84" s="97"/>
      <c r="S84" s="97"/>
      <c r="T84" s="97"/>
      <c r="U84" s="97"/>
      <c r="V84" s="97"/>
      <c r="W84" s="97">
        <v>100</v>
      </c>
      <c r="X84" s="97">
        <v>170</v>
      </c>
      <c r="Y84" s="97">
        <v>100</v>
      </c>
      <c r="Z84" s="97"/>
      <c r="AA84" s="97"/>
      <c r="AB84" s="97"/>
      <c r="AC84" s="97"/>
      <c r="AD84" s="97"/>
      <c r="AE84" s="97"/>
      <c r="AF84" s="97"/>
      <c r="AG84" s="88"/>
      <c r="AH84" s="47">
        <f t="shared" si="8"/>
        <v>170</v>
      </c>
      <c r="AI84" s="48">
        <f t="shared" si="9"/>
        <v>20</v>
      </c>
    </row>
    <row r="85" spans="1:37" ht="15.75" thickBot="1" x14ac:dyDescent="0.3">
      <c r="A85" s="74" t="s">
        <v>96</v>
      </c>
      <c r="B85" s="95">
        <f>B83+B84</f>
        <v>1070.54</v>
      </c>
      <c r="C85" s="95">
        <f t="shared" ref="C85:AF85" si="12">C83+C84</f>
        <v>1023.54</v>
      </c>
      <c r="D85" s="95">
        <f t="shared" si="12"/>
        <v>1022.44</v>
      </c>
      <c r="E85" s="95">
        <f t="shared" si="12"/>
        <v>1001.94</v>
      </c>
      <c r="F85" s="95">
        <f t="shared" si="12"/>
        <v>1001.94</v>
      </c>
      <c r="G85" s="95">
        <f t="shared" si="12"/>
        <v>1044.3399999999999</v>
      </c>
      <c r="H85" s="95">
        <f t="shared" si="12"/>
        <v>1162.6399999999999</v>
      </c>
      <c r="I85" s="95">
        <f t="shared" si="12"/>
        <v>1261.54</v>
      </c>
      <c r="J85" s="95">
        <f t="shared" si="12"/>
        <v>1313.7399999999998</v>
      </c>
      <c r="K85" s="95">
        <f t="shared" si="12"/>
        <v>1448.34</v>
      </c>
      <c r="L85" s="95">
        <f t="shared" si="12"/>
        <v>1456.3400000000001</v>
      </c>
      <c r="M85" s="95">
        <f t="shared" si="12"/>
        <v>1394.44</v>
      </c>
      <c r="N85" s="95">
        <f t="shared" si="12"/>
        <v>1492.14</v>
      </c>
      <c r="O85" s="95">
        <f t="shared" si="12"/>
        <v>1433.2399999999998</v>
      </c>
      <c r="P85" s="95">
        <f t="shared" si="12"/>
        <v>1375.44</v>
      </c>
      <c r="Q85" s="95">
        <f t="shared" si="12"/>
        <v>1263.1399999999999</v>
      </c>
      <c r="R85" s="95">
        <f t="shared" si="12"/>
        <v>1178.54</v>
      </c>
      <c r="S85" s="95">
        <f t="shared" si="12"/>
        <v>1204.54</v>
      </c>
      <c r="T85" s="95">
        <f t="shared" si="12"/>
        <v>1157.54</v>
      </c>
      <c r="U85" s="95">
        <f t="shared" si="12"/>
        <v>1101.54</v>
      </c>
      <c r="V85" s="95">
        <f t="shared" si="12"/>
        <v>1159.1399999999999</v>
      </c>
      <c r="W85" s="95">
        <f t="shared" si="12"/>
        <v>1369.74</v>
      </c>
      <c r="X85" s="95">
        <f t="shared" si="12"/>
        <v>1557.04</v>
      </c>
      <c r="Y85" s="95">
        <f t="shared" si="12"/>
        <v>1561.94</v>
      </c>
      <c r="Z85" s="95">
        <f t="shared" si="12"/>
        <v>1474.84</v>
      </c>
      <c r="AA85" s="95">
        <f t="shared" si="12"/>
        <v>1485.2399999999998</v>
      </c>
      <c r="AB85" s="95">
        <f t="shared" si="12"/>
        <v>1467.6399999999999</v>
      </c>
      <c r="AC85" s="95">
        <f t="shared" si="12"/>
        <v>1451.94</v>
      </c>
      <c r="AD85" s="95">
        <f t="shared" si="12"/>
        <v>1345.44</v>
      </c>
      <c r="AE85" s="95">
        <f t="shared" si="12"/>
        <v>1153.74</v>
      </c>
      <c r="AF85" s="95">
        <f t="shared" si="12"/>
        <v>1103.6399999999999</v>
      </c>
      <c r="AG85" s="88">
        <f>AG82+AG78+AG66+AG62+AG44+AG84</f>
        <v>1466.0900000000001</v>
      </c>
      <c r="AH85" s="47">
        <f t="shared" si="8"/>
        <v>1561.94</v>
      </c>
      <c r="AI85" s="48">
        <f t="shared" si="9"/>
        <v>1001.94</v>
      </c>
    </row>
    <row r="86" spans="1:37" ht="15.75" thickBot="1" x14ac:dyDescent="0.3">
      <c r="A86" s="74" t="s">
        <v>97</v>
      </c>
      <c r="B86" s="95">
        <f t="shared" ref="B86:AF86" si="13">B85-B93</f>
        <v>1070.54</v>
      </c>
      <c r="C86" s="95">
        <f t="shared" si="13"/>
        <v>1023.54</v>
      </c>
      <c r="D86" s="95">
        <f t="shared" si="13"/>
        <v>1022.44</v>
      </c>
      <c r="E86" s="95">
        <f t="shared" si="13"/>
        <v>1001.94</v>
      </c>
      <c r="F86" s="95">
        <f t="shared" si="13"/>
        <v>1001.94</v>
      </c>
      <c r="G86" s="95">
        <f t="shared" si="13"/>
        <v>1044.3399999999999</v>
      </c>
      <c r="H86" s="95">
        <f t="shared" si="13"/>
        <v>1162.6399999999999</v>
      </c>
      <c r="I86" s="95">
        <f t="shared" si="13"/>
        <v>1261.54</v>
      </c>
      <c r="J86" s="95">
        <f t="shared" si="13"/>
        <v>1313.7399999999998</v>
      </c>
      <c r="K86" s="95">
        <f t="shared" si="13"/>
        <v>1448.34</v>
      </c>
      <c r="L86" s="95">
        <f t="shared" si="13"/>
        <v>1456.3400000000001</v>
      </c>
      <c r="M86" s="95">
        <f t="shared" si="13"/>
        <v>1394.44</v>
      </c>
      <c r="N86" s="95">
        <f t="shared" si="13"/>
        <v>1492.14</v>
      </c>
      <c r="O86" s="95">
        <f t="shared" si="13"/>
        <v>1433.2399999999998</v>
      </c>
      <c r="P86" s="95">
        <f t="shared" si="13"/>
        <v>1375.44</v>
      </c>
      <c r="Q86" s="95">
        <f t="shared" si="13"/>
        <v>1263.1399999999999</v>
      </c>
      <c r="R86" s="95">
        <f t="shared" si="13"/>
        <v>1178.54</v>
      </c>
      <c r="S86" s="95">
        <f t="shared" si="13"/>
        <v>1204.54</v>
      </c>
      <c r="T86" s="95">
        <f t="shared" si="13"/>
        <v>1157.54</v>
      </c>
      <c r="U86" s="95">
        <f t="shared" si="13"/>
        <v>1101.54</v>
      </c>
      <c r="V86" s="95">
        <f t="shared" si="13"/>
        <v>1159.1399999999999</v>
      </c>
      <c r="W86" s="95">
        <f t="shared" si="13"/>
        <v>1369.74</v>
      </c>
      <c r="X86" s="95">
        <f t="shared" si="13"/>
        <v>1557.04</v>
      </c>
      <c r="Y86" s="95">
        <f t="shared" si="13"/>
        <v>1561.94</v>
      </c>
      <c r="Z86" s="95">
        <f t="shared" si="13"/>
        <v>1474.84</v>
      </c>
      <c r="AA86" s="95">
        <f t="shared" si="13"/>
        <v>1485.2399999999998</v>
      </c>
      <c r="AB86" s="95">
        <f t="shared" si="13"/>
        <v>1467.6399999999999</v>
      </c>
      <c r="AC86" s="95">
        <f t="shared" si="13"/>
        <v>1451.94</v>
      </c>
      <c r="AD86" s="95">
        <f t="shared" si="13"/>
        <v>1345.44</v>
      </c>
      <c r="AE86" s="95">
        <f t="shared" si="13"/>
        <v>1153.74</v>
      </c>
      <c r="AF86" s="95">
        <f t="shared" si="13"/>
        <v>1103.6399999999999</v>
      </c>
      <c r="AG86" s="88"/>
      <c r="AH86" s="47">
        <f t="shared" si="8"/>
        <v>1561.94</v>
      </c>
      <c r="AI86" s="48">
        <f t="shared" si="9"/>
        <v>1001.94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8"/>
        <v>0</v>
      </c>
      <c r="AI87" s="48">
        <f t="shared" si="9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8"/>
        <v>0</v>
      </c>
      <c r="AI88" s="48">
        <f t="shared" si="9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8"/>
        <v>0</v>
      </c>
      <c r="AI89" s="48">
        <f t="shared" si="9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8"/>
        <v>0</v>
      </c>
      <c r="AI90" s="48">
        <f t="shared" si="9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8"/>
        <v>0</v>
      </c>
      <c r="AI91" s="48">
        <f t="shared" si="9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8"/>
        <v>0</v>
      </c>
      <c r="AI92" s="48">
        <f t="shared" si="9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88"/>
      <c r="AH93" s="47">
        <f t="shared" si="8"/>
        <v>0</v>
      </c>
      <c r="AI93" s="48">
        <f t="shared" si="9"/>
        <v>0</v>
      </c>
      <c r="AK93" s="49"/>
    </row>
    <row r="94" spans="1:37" ht="15.75" thickBot="1" x14ac:dyDescent="0.3">
      <c r="A94" s="74" t="s">
        <v>102</v>
      </c>
      <c r="B94" s="60">
        <f t="shared" ref="B94:AF94" si="14">B78-B93</f>
        <v>372</v>
      </c>
      <c r="C94" s="60">
        <f t="shared" si="14"/>
        <v>398</v>
      </c>
      <c r="D94" s="60">
        <f t="shared" si="14"/>
        <v>396</v>
      </c>
      <c r="E94" s="60">
        <f t="shared" si="14"/>
        <v>380.8</v>
      </c>
      <c r="F94" s="60">
        <f t="shared" si="14"/>
        <v>380.8</v>
      </c>
      <c r="G94" s="60">
        <f t="shared" si="14"/>
        <v>423.2</v>
      </c>
      <c r="H94" s="60">
        <f t="shared" si="14"/>
        <v>449</v>
      </c>
      <c r="I94" s="60">
        <f t="shared" si="14"/>
        <v>458</v>
      </c>
      <c r="J94" s="60">
        <f t="shared" si="14"/>
        <v>450.4</v>
      </c>
      <c r="K94" s="60">
        <f t="shared" si="14"/>
        <v>424</v>
      </c>
      <c r="L94" s="60">
        <f t="shared" si="14"/>
        <v>413.6</v>
      </c>
      <c r="M94" s="60">
        <f t="shared" si="14"/>
        <v>365.7</v>
      </c>
      <c r="N94" s="60">
        <f t="shared" si="14"/>
        <v>343.7</v>
      </c>
      <c r="O94" s="60">
        <f t="shared" si="14"/>
        <v>426.3</v>
      </c>
      <c r="P94" s="60">
        <f t="shared" si="14"/>
        <v>418.1</v>
      </c>
      <c r="Q94" s="60">
        <f t="shared" si="14"/>
        <v>422.5</v>
      </c>
      <c r="R94" s="60">
        <f t="shared" si="14"/>
        <v>398.6</v>
      </c>
      <c r="S94" s="60">
        <f t="shared" si="14"/>
        <v>424.6</v>
      </c>
      <c r="T94" s="60">
        <f t="shared" si="14"/>
        <v>394.6</v>
      </c>
      <c r="U94" s="60">
        <f t="shared" si="14"/>
        <v>413.6</v>
      </c>
      <c r="V94" s="60">
        <f t="shared" si="14"/>
        <v>440.6</v>
      </c>
      <c r="W94" s="60">
        <f t="shared" si="14"/>
        <v>471</v>
      </c>
      <c r="X94" s="60">
        <v>151.6</v>
      </c>
      <c r="Y94" s="60">
        <f t="shared" si="14"/>
        <v>469</v>
      </c>
      <c r="Z94" s="60">
        <f t="shared" si="14"/>
        <v>468.40000000000003</v>
      </c>
      <c r="AA94" s="60">
        <f t="shared" si="14"/>
        <v>380.9</v>
      </c>
      <c r="AB94" s="60">
        <f t="shared" si="14"/>
        <v>402.1</v>
      </c>
      <c r="AC94" s="60">
        <f t="shared" si="14"/>
        <v>392.6</v>
      </c>
      <c r="AD94" s="60">
        <f t="shared" si="14"/>
        <v>384</v>
      </c>
      <c r="AE94" s="60">
        <f t="shared" si="14"/>
        <v>368</v>
      </c>
      <c r="AF94" s="60">
        <f t="shared" si="14"/>
        <v>357</v>
      </c>
      <c r="AG94" s="88"/>
      <c r="AH94" s="47">
        <f t="shared" si="8"/>
        <v>471</v>
      </c>
      <c r="AI94" s="48">
        <f t="shared" si="9"/>
        <v>151.6</v>
      </c>
    </row>
    <row r="95" spans="1:37" x14ac:dyDescent="0.25">
      <c r="A95" s="100" t="s">
        <v>103</v>
      </c>
      <c r="B95" s="101">
        <v>49.96</v>
      </c>
      <c r="C95" s="101">
        <v>49.954999999999998</v>
      </c>
      <c r="D95" s="101">
        <v>50</v>
      </c>
      <c r="E95" s="101">
        <v>49.95</v>
      </c>
      <c r="F95" s="101">
        <v>49.95</v>
      </c>
      <c r="G95" s="101">
        <v>50.1</v>
      </c>
      <c r="H95" s="101">
        <v>50.1</v>
      </c>
      <c r="I95" s="101">
        <v>49.95</v>
      </c>
      <c r="J95" s="101">
        <v>49.91</v>
      </c>
      <c r="K95" s="101">
        <v>50.04</v>
      </c>
      <c r="L95" s="101">
        <v>49.92</v>
      </c>
      <c r="M95" s="101">
        <v>49.991999999999997</v>
      </c>
      <c r="N95" s="101">
        <v>50.258000000000003</v>
      </c>
      <c r="O95" s="101">
        <v>50.109000000000002</v>
      </c>
      <c r="P95" s="101">
        <v>50.1</v>
      </c>
      <c r="Q95" s="101">
        <v>50.07</v>
      </c>
      <c r="R95" s="101">
        <v>50.07</v>
      </c>
      <c r="S95" s="101">
        <v>50.07</v>
      </c>
      <c r="T95" s="101">
        <v>50.07</v>
      </c>
      <c r="U95" s="101">
        <v>50.07</v>
      </c>
      <c r="V95" s="101">
        <v>50.07</v>
      </c>
      <c r="W95" s="101">
        <v>50.085999999999999</v>
      </c>
      <c r="X95" s="101">
        <v>49.881</v>
      </c>
      <c r="Y95" s="101">
        <v>50.052</v>
      </c>
      <c r="Z95" s="101">
        <v>49.96</v>
      </c>
      <c r="AA95" s="101">
        <v>49.929000000000002</v>
      </c>
      <c r="AB95" s="101">
        <v>50.095999999999997</v>
      </c>
      <c r="AC95" s="101">
        <v>49.951000000000001</v>
      </c>
      <c r="AD95" s="101">
        <v>49.984999999999999</v>
      </c>
      <c r="AE95" s="101">
        <v>50.064</v>
      </c>
      <c r="AF95" s="101">
        <v>49.972999999999999</v>
      </c>
      <c r="AG95" s="102"/>
      <c r="AH95" s="47">
        <f t="shared" si="8"/>
        <v>50.258000000000003</v>
      </c>
      <c r="AI95" s="48">
        <f t="shared" si="9"/>
        <v>49.881</v>
      </c>
    </row>
    <row r="96" spans="1:37" x14ac:dyDescent="0.25">
      <c r="A96" s="103" t="s">
        <v>104</v>
      </c>
      <c r="B96" s="65">
        <v>130</v>
      </c>
      <c r="C96" s="65">
        <v>130</v>
      </c>
      <c r="D96" s="65">
        <v>130</v>
      </c>
      <c r="E96" s="65">
        <v>131</v>
      </c>
      <c r="F96" s="65">
        <v>131</v>
      </c>
      <c r="G96" s="65">
        <v>129.6</v>
      </c>
      <c r="H96" s="65">
        <v>127.8</v>
      </c>
      <c r="I96" s="65">
        <v>126.7</v>
      </c>
      <c r="J96" s="65">
        <v>127.3</v>
      </c>
      <c r="K96" s="65">
        <v>127.1</v>
      </c>
      <c r="L96" s="65">
        <v>125.8</v>
      </c>
      <c r="M96" s="65">
        <v>124.9</v>
      </c>
      <c r="N96" s="65">
        <v>125.8</v>
      </c>
      <c r="O96" s="65">
        <v>124.9</v>
      </c>
      <c r="P96" s="65">
        <v>126.6</v>
      </c>
      <c r="Q96" s="65">
        <v>127</v>
      </c>
      <c r="R96" s="65">
        <v>127</v>
      </c>
      <c r="S96" s="65">
        <v>127</v>
      </c>
      <c r="T96" s="65">
        <v>127</v>
      </c>
      <c r="U96" s="65">
        <v>127</v>
      </c>
      <c r="V96" s="65">
        <v>127</v>
      </c>
      <c r="W96" s="65">
        <v>129.69999999999999</v>
      </c>
      <c r="X96" s="65">
        <v>128</v>
      </c>
      <c r="Y96" s="65">
        <v>126.1</v>
      </c>
      <c r="Z96" s="65">
        <v>124.7</v>
      </c>
      <c r="AA96" s="65">
        <v>123</v>
      </c>
      <c r="AB96" s="65">
        <v>123.8</v>
      </c>
      <c r="AC96" s="65">
        <v>125.1</v>
      </c>
      <c r="AD96" s="65">
        <v>127.4</v>
      </c>
      <c r="AE96" s="65">
        <v>128.5</v>
      </c>
      <c r="AF96" s="65">
        <v>126.7</v>
      </c>
      <c r="AG96" s="104"/>
      <c r="AH96" s="47">
        <f t="shared" si="8"/>
        <v>131</v>
      </c>
      <c r="AI96" s="48">
        <f t="shared" si="9"/>
        <v>123</v>
      </c>
    </row>
    <row r="97" spans="1:35" x14ac:dyDescent="0.25">
      <c r="A97" s="103" t="s">
        <v>105</v>
      </c>
      <c r="B97" s="65">
        <v>133</v>
      </c>
      <c r="C97" s="65">
        <v>133.69999999999999</v>
      </c>
      <c r="D97" s="65">
        <v>133.69999999999999</v>
      </c>
      <c r="E97" s="65">
        <v>134.80000000000001</v>
      </c>
      <c r="F97" s="65">
        <v>134.80000000000001</v>
      </c>
      <c r="G97" s="65">
        <v>133</v>
      </c>
      <c r="H97" s="65">
        <v>131.6</v>
      </c>
      <c r="I97" s="65">
        <v>130.19999999999999</v>
      </c>
      <c r="J97" s="65">
        <v>129.9</v>
      </c>
      <c r="K97" s="65">
        <v>129.69999999999999</v>
      </c>
      <c r="L97" s="65">
        <v>128</v>
      </c>
      <c r="M97" s="65">
        <v>127.7</v>
      </c>
      <c r="N97" s="65">
        <v>128.6</v>
      </c>
      <c r="O97" s="65">
        <v>128.30000000000001</v>
      </c>
      <c r="P97" s="65">
        <v>129.9</v>
      </c>
      <c r="Q97" s="65">
        <v>130</v>
      </c>
      <c r="R97" s="65">
        <v>130</v>
      </c>
      <c r="S97" s="65">
        <v>130</v>
      </c>
      <c r="T97" s="65">
        <v>130</v>
      </c>
      <c r="U97" s="65">
        <v>130</v>
      </c>
      <c r="V97" s="65">
        <v>130</v>
      </c>
      <c r="W97" s="65">
        <v>131.30000000000001</v>
      </c>
      <c r="X97" s="65">
        <v>129.30000000000001</v>
      </c>
      <c r="Y97" s="65">
        <v>127.6</v>
      </c>
      <c r="Z97" s="65">
        <v>126.7</v>
      </c>
      <c r="AA97" s="65">
        <v>125.7</v>
      </c>
      <c r="AB97" s="65">
        <v>126.5</v>
      </c>
      <c r="AC97" s="65">
        <v>128.1</v>
      </c>
      <c r="AD97" s="65">
        <v>130.1</v>
      </c>
      <c r="AE97" s="65">
        <v>131.69999999999999</v>
      </c>
      <c r="AF97" s="65">
        <v>130.9</v>
      </c>
      <c r="AG97" s="104"/>
      <c r="AH97" s="47">
        <f t="shared" si="8"/>
        <v>134.80000000000001</v>
      </c>
      <c r="AI97" s="48">
        <f t="shared" si="9"/>
        <v>125.7</v>
      </c>
    </row>
    <row r="98" spans="1:35" x14ac:dyDescent="0.25">
      <c r="A98" s="103" t="s">
        <v>106</v>
      </c>
      <c r="B98" s="65">
        <v>130</v>
      </c>
      <c r="C98" s="65">
        <v>132</v>
      </c>
      <c r="D98" s="65">
        <v>132</v>
      </c>
      <c r="E98" s="65">
        <v>131.69999999999999</v>
      </c>
      <c r="F98" s="65">
        <v>131.69999999999999</v>
      </c>
      <c r="G98" s="65">
        <v>131.6</v>
      </c>
      <c r="H98" s="65">
        <v>131.69999999999999</v>
      </c>
      <c r="I98" s="65">
        <v>133.1</v>
      </c>
      <c r="J98" s="65">
        <v>131.69999999999999</v>
      </c>
      <c r="K98" s="65">
        <v>131.4</v>
      </c>
      <c r="L98" s="65">
        <v>130</v>
      </c>
      <c r="M98" s="65">
        <v>130.5</v>
      </c>
      <c r="N98" s="65">
        <v>129.9</v>
      </c>
      <c r="O98" s="65">
        <v>130.1</v>
      </c>
      <c r="P98" s="65">
        <v>129.19999999999999</v>
      </c>
      <c r="Q98" s="65">
        <v>132.4</v>
      </c>
      <c r="R98" s="65">
        <v>132.4</v>
      </c>
      <c r="S98" s="65">
        <v>132.4</v>
      </c>
      <c r="T98" s="65">
        <v>132.4</v>
      </c>
      <c r="U98" s="65">
        <v>132.4</v>
      </c>
      <c r="V98" s="65">
        <v>132.4</v>
      </c>
      <c r="W98" s="65">
        <v>128.1</v>
      </c>
      <c r="X98" s="65">
        <v>130</v>
      </c>
      <c r="Y98" s="65">
        <v>130.19999999999999</v>
      </c>
      <c r="Z98" s="65">
        <v>128.9</v>
      </c>
      <c r="AA98" s="65">
        <v>128.30000000000001</v>
      </c>
      <c r="AB98" s="65">
        <v>130.69999999999999</v>
      </c>
      <c r="AC98" s="65">
        <v>132.30000000000001</v>
      </c>
      <c r="AD98" s="65">
        <v>132.4</v>
      </c>
      <c r="AE98" s="65">
        <v>135.1</v>
      </c>
      <c r="AF98" s="65">
        <v>131.69999999999999</v>
      </c>
      <c r="AG98" s="104"/>
      <c r="AH98" s="47">
        <f t="shared" si="8"/>
        <v>135.1</v>
      </c>
      <c r="AI98" s="48">
        <f t="shared" si="9"/>
        <v>128.1</v>
      </c>
    </row>
    <row r="99" spans="1:35" x14ac:dyDescent="0.25">
      <c r="A99" s="105" t="s">
        <v>107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104"/>
      <c r="AH99" s="47">
        <f t="shared" si="8"/>
        <v>0</v>
      </c>
      <c r="AI99" s="48">
        <f t="shared" si="9"/>
        <v>0</v>
      </c>
    </row>
    <row r="100" spans="1:35" x14ac:dyDescent="0.25">
      <c r="A100" s="105" t="s">
        <v>108</v>
      </c>
      <c r="B100" s="106">
        <v>134</v>
      </c>
      <c r="C100" s="106">
        <v>133</v>
      </c>
      <c r="D100" s="106">
        <v>133</v>
      </c>
      <c r="E100" s="106">
        <v>135.9</v>
      </c>
      <c r="F100" s="106">
        <v>135.9</v>
      </c>
      <c r="G100" s="106">
        <v>134</v>
      </c>
      <c r="H100" s="106">
        <v>135.30000000000001</v>
      </c>
      <c r="I100" s="106">
        <v>133.69999999999999</v>
      </c>
      <c r="J100" s="106">
        <v>133.9</v>
      </c>
      <c r="K100" s="106">
        <v>134.4</v>
      </c>
      <c r="L100" s="106">
        <v>134.1</v>
      </c>
      <c r="M100" s="106">
        <v>134</v>
      </c>
      <c r="N100" s="106">
        <v>133.1</v>
      </c>
      <c r="O100" s="106">
        <v>133.1</v>
      </c>
      <c r="P100" s="106">
        <v>133.80000000000001</v>
      </c>
      <c r="Q100" s="106">
        <v>132.19999999999999</v>
      </c>
      <c r="R100" s="106">
        <v>132.19999999999999</v>
      </c>
      <c r="S100" s="106">
        <v>132.19999999999999</v>
      </c>
      <c r="T100" s="106">
        <v>132.19999999999999</v>
      </c>
      <c r="U100" s="106">
        <v>132.19999999999999</v>
      </c>
      <c r="V100" s="106">
        <v>132.19999999999999</v>
      </c>
      <c r="W100" s="106">
        <v>137</v>
      </c>
      <c r="X100" s="106">
        <v>135.4</v>
      </c>
      <c r="Y100" s="106">
        <v>134.1</v>
      </c>
      <c r="Z100" s="106">
        <v>132.4</v>
      </c>
      <c r="AA100" s="106">
        <v>131.9</v>
      </c>
      <c r="AB100" s="106">
        <v>133.19999999999999</v>
      </c>
      <c r="AC100" s="106">
        <v>134.4</v>
      </c>
      <c r="AD100" s="106">
        <v>135.80000000000001</v>
      </c>
      <c r="AE100" s="106">
        <v>134.5</v>
      </c>
      <c r="AF100" s="106">
        <v>132.19999999999999</v>
      </c>
      <c r="AG100" s="107"/>
      <c r="AH100" s="47">
        <f t="shared" si="8"/>
        <v>137</v>
      </c>
      <c r="AI100" s="48">
        <f t="shared" si="9"/>
        <v>131.9</v>
      </c>
    </row>
    <row r="101" spans="1:35" x14ac:dyDescent="0.25">
      <c r="A101" s="103" t="s">
        <v>109</v>
      </c>
      <c r="B101" s="65">
        <v>128</v>
      </c>
      <c r="C101" s="65">
        <v>132</v>
      </c>
      <c r="D101" s="65">
        <v>132</v>
      </c>
      <c r="E101" s="65">
        <v>133.4</v>
      </c>
      <c r="F101" s="65">
        <v>133.4</v>
      </c>
      <c r="G101" s="65">
        <v>130.69999999999999</v>
      </c>
      <c r="H101" s="65">
        <v>133.5</v>
      </c>
      <c r="I101" s="65">
        <v>132.5</v>
      </c>
      <c r="J101" s="65">
        <v>136.5</v>
      </c>
      <c r="K101" s="65">
        <v>132.6</v>
      </c>
      <c r="L101" s="65">
        <v>132.6</v>
      </c>
      <c r="M101" s="65">
        <v>131.5</v>
      </c>
      <c r="N101" s="65">
        <v>134.5</v>
      </c>
      <c r="O101" s="65">
        <v>130.6</v>
      </c>
      <c r="P101" s="65">
        <v>132.1</v>
      </c>
      <c r="Q101" s="65">
        <v>127.3</v>
      </c>
      <c r="R101" s="65">
        <v>127.3</v>
      </c>
      <c r="S101" s="65">
        <v>127.3</v>
      </c>
      <c r="T101" s="65">
        <v>127.3</v>
      </c>
      <c r="U101" s="65">
        <v>127.3</v>
      </c>
      <c r="V101" s="65">
        <v>127.3</v>
      </c>
      <c r="W101" s="65">
        <v>132.30000000000001</v>
      </c>
      <c r="X101" s="65">
        <v>127.1</v>
      </c>
      <c r="Y101" s="65">
        <v>128.1</v>
      </c>
      <c r="Z101" s="65">
        <v>126.6</v>
      </c>
      <c r="AA101" s="65">
        <v>129.5</v>
      </c>
      <c r="AB101" s="65">
        <v>129</v>
      </c>
      <c r="AC101" s="65">
        <v>131.1</v>
      </c>
      <c r="AD101" s="65">
        <v>128.1</v>
      </c>
      <c r="AE101" s="65">
        <v>133.4</v>
      </c>
      <c r="AF101" s="65">
        <v>135.9</v>
      </c>
      <c r="AG101" s="104"/>
      <c r="AH101" s="47">
        <f t="shared" si="8"/>
        <v>136.5</v>
      </c>
      <c r="AI101" s="48">
        <f t="shared" si="9"/>
        <v>126.6</v>
      </c>
    </row>
    <row r="102" spans="1:35" ht="15.75" thickBot="1" x14ac:dyDescent="0.3">
      <c r="A102" s="103" t="s">
        <v>110</v>
      </c>
      <c r="B102" s="92">
        <v>66.900000000000006</v>
      </c>
      <c r="C102" s="92">
        <v>67</v>
      </c>
      <c r="D102" s="92">
        <v>67</v>
      </c>
      <c r="E102" s="92">
        <v>67.7</v>
      </c>
      <c r="F102" s="92">
        <v>67.7</v>
      </c>
      <c r="G102" s="92">
        <v>66.8</v>
      </c>
      <c r="H102" s="92">
        <v>66</v>
      </c>
      <c r="I102" s="92">
        <v>65.3</v>
      </c>
      <c r="J102" s="92">
        <v>64.8</v>
      </c>
      <c r="K102" s="92">
        <v>64.7</v>
      </c>
      <c r="L102" s="92">
        <v>64.7</v>
      </c>
      <c r="M102" s="92">
        <v>63.9</v>
      </c>
      <c r="N102" s="92">
        <v>64.5</v>
      </c>
      <c r="O102" s="92">
        <v>64.7</v>
      </c>
      <c r="P102" s="92">
        <v>65.3</v>
      </c>
      <c r="Q102" s="92">
        <v>65.5</v>
      </c>
      <c r="R102" s="92">
        <v>65.5</v>
      </c>
      <c r="S102" s="92">
        <v>65.5</v>
      </c>
      <c r="T102" s="92">
        <v>65.5</v>
      </c>
      <c r="U102" s="92">
        <v>65.5</v>
      </c>
      <c r="V102" s="92">
        <v>65.5</v>
      </c>
      <c r="W102" s="92">
        <v>65.8</v>
      </c>
      <c r="X102" s="92">
        <v>64.599999999999994</v>
      </c>
      <c r="Y102" s="92">
        <v>63.6</v>
      </c>
      <c r="Z102" s="92">
        <v>63</v>
      </c>
      <c r="AA102" s="92">
        <v>62.7</v>
      </c>
      <c r="AB102" s="92">
        <v>63.5</v>
      </c>
      <c r="AC102" s="92">
        <v>64.3</v>
      </c>
      <c r="AD102" s="92">
        <v>65.400000000000006</v>
      </c>
      <c r="AE102" s="92">
        <v>131.69999999999999</v>
      </c>
      <c r="AF102" s="92">
        <v>130.9</v>
      </c>
      <c r="AG102" s="108"/>
      <c r="AH102" s="47">
        <f t="shared" si="8"/>
        <v>131.69999999999999</v>
      </c>
      <c r="AI102" s="48">
        <f t="shared" si="9"/>
        <v>62.7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8"/>
        <v>0</v>
      </c>
      <c r="AI103" s="48">
        <f t="shared" si="9"/>
        <v>0</v>
      </c>
    </row>
    <row r="104" spans="1:35" ht="15.75" thickBot="1" x14ac:dyDescent="0.3">
      <c r="A104" s="110" t="s">
        <v>112</v>
      </c>
      <c r="B104" s="111">
        <f t="shared" ref="B104:AF104" si="15">SUM(B16,B22,B25:B26,B52,B54:B55,B57,B59,B105:B109,B131,B137,B143,B152,B154,B166,B173,B176:B177,B184,B186,B188,B192:B194,B196:B198,B203,B209:B210,B212:B214,B222,B227)</f>
        <v>138.5</v>
      </c>
      <c r="C104" s="111">
        <f t="shared" si="15"/>
        <v>124.44</v>
      </c>
      <c r="D104" s="111">
        <f t="shared" si="15"/>
        <v>119.94</v>
      </c>
      <c r="E104" s="111">
        <f t="shared" si="15"/>
        <v>107.94</v>
      </c>
      <c r="F104" s="111">
        <f t="shared" si="15"/>
        <v>107.94</v>
      </c>
      <c r="G104" s="111">
        <f t="shared" si="15"/>
        <v>157.04</v>
      </c>
      <c r="H104" s="111">
        <f t="shared" si="15"/>
        <v>204.23999999999998</v>
      </c>
      <c r="I104" s="111">
        <f t="shared" si="15"/>
        <v>223.14</v>
      </c>
      <c r="J104" s="111">
        <f t="shared" si="15"/>
        <v>303.53999999999996</v>
      </c>
      <c r="K104" s="111">
        <f t="shared" si="15"/>
        <v>342.34</v>
      </c>
      <c r="L104" s="111">
        <f t="shared" si="15"/>
        <v>368.94</v>
      </c>
      <c r="M104" s="111">
        <f t="shared" si="15"/>
        <v>368.14000000000004</v>
      </c>
      <c r="N104" s="111">
        <f t="shared" si="15"/>
        <v>364.54</v>
      </c>
      <c r="O104" s="111">
        <f t="shared" si="15"/>
        <v>320.44</v>
      </c>
      <c r="P104" s="111">
        <v>42</v>
      </c>
      <c r="Q104" s="111">
        <f t="shared" si="15"/>
        <v>257.59999999999997</v>
      </c>
      <c r="R104" s="111">
        <f t="shared" si="15"/>
        <v>257.59999999999997</v>
      </c>
      <c r="S104" s="111">
        <f t="shared" si="15"/>
        <v>257.59999999999997</v>
      </c>
      <c r="T104" s="111">
        <f t="shared" si="15"/>
        <v>257.59999999999997</v>
      </c>
      <c r="U104" s="111">
        <f t="shared" si="15"/>
        <v>257.59999999999997</v>
      </c>
      <c r="V104" s="111">
        <f t="shared" si="15"/>
        <v>257.59999999999997</v>
      </c>
      <c r="W104" s="111">
        <f t="shared" si="15"/>
        <v>339.59999999999997</v>
      </c>
      <c r="X104" s="111">
        <v>390.59708333333339</v>
      </c>
      <c r="Y104" s="111">
        <f t="shared" si="15"/>
        <v>390.1</v>
      </c>
      <c r="Z104" s="111">
        <f t="shared" si="15"/>
        <v>390.6</v>
      </c>
      <c r="AA104" s="111">
        <f t="shared" si="15"/>
        <v>389.09999999999997</v>
      </c>
      <c r="AB104" s="111">
        <f t="shared" si="15"/>
        <v>376.79999999999995</v>
      </c>
      <c r="AC104" s="111">
        <f t="shared" si="15"/>
        <v>364.2</v>
      </c>
      <c r="AD104" s="111">
        <f t="shared" si="15"/>
        <v>331.7</v>
      </c>
      <c r="AE104" s="111">
        <f t="shared" si="15"/>
        <v>239.39999999999998</v>
      </c>
      <c r="AF104" s="111">
        <f t="shared" si="15"/>
        <v>172.5</v>
      </c>
      <c r="AG104" s="112"/>
      <c r="AH104" s="47">
        <f t="shared" si="8"/>
        <v>390.6</v>
      </c>
      <c r="AI104" s="48">
        <f t="shared" si="9"/>
        <v>42</v>
      </c>
    </row>
    <row r="105" spans="1:35" x14ac:dyDescent="0.25">
      <c r="A105" s="100" t="s">
        <v>113</v>
      </c>
      <c r="B105" s="113">
        <v>11</v>
      </c>
      <c r="C105" s="113">
        <v>-7</v>
      </c>
      <c r="D105" s="113">
        <v>-8</v>
      </c>
      <c r="E105" s="113">
        <v>-7.2</v>
      </c>
      <c r="F105" s="113">
        <v>-7.2</v>
      </c>
      <c r="G105" s="113">
        <v>-9.6999999999999993</v>
      </c>
      <c r="H105" s="113">
        <v>7.3</v>
      </c>
      <c r="I105" s="113">
        <v>11</v>
      </c>
      <c r="J105" s="113">
        <v>36.799999999999997</v>
      </c>
      <c r="K105" s="113">
        <v>36.9</v>
      </c>
      <c r="L105" s="113">
        <v>43.6</v>
      </c>
      <c r="M105" s="113">
        <v>43.7</v>
      </c>
      <c r="N105" s="113">
        <v>43.1</v>
      </c>
      <c r="O105" s="113">
        <v>38.299999999999997</v>
      </c>
      <c r="P105" s="113">
        <v>40.299999999999997</v>
      </c>
      <c r="Q105" s="113">
        <v>23.9</v>
      </c>
      <c r="R105" s="113">
        <v>23.9</v>
      </c>
      <c r="S105" s="113">
        <v>23.9</v>
      </c>
      <c r="T105" s="113">
        <v>23.9</v>
      </c>
      <c r="U105" s="113">
        <v>23.9</v>
      </c>
      <c r="V105" s="113">
        <v>23.9</v>
      </c>
      <c r="W105" s="113">
        <v>39.700000000000003</v>
      </c>
      <c r="X105" s="113">
        <v>50.1</v>
      </c>
      <c r="Y105" s="113">
        <v>51.6</v>
      </c>
      <c r="Z105" s="113">
        <v>51.6</v>
      </c>
      <c r="AA105" s="113">
        <v>54.7</v>
      </c>
      <c r="AB105" s="113">
        <v>56.1</v>
      </c>
      <c r="AC105" s="113">
        <v>46.5</v>
      </c>
      <c r="AD105" s="113">
        <v>30.6</v>
      </c>
      <c r="AE105" s="113">
        <v>13</v>
      </c>
      <c r="AF105" s="113">
        <v>-7.1</v>
      </c>
      <c r="AG105" s="114">
        <v>75</v>
      </c>
      <c r="AH105" s="47">
        <f t="shared" si="8"/>
        <v>56.1</v>
      </c>
      <c r="AI105" s="48">
        <f t="shared" si="9"/>
        <v>-9.6999999999999993</v>
      </c>
    </row>
    <row r="106" spans="1:35" x14ac:dyDescent="0.25">
      <c r="A106" s="103" t="s">
        <v>114</v>
      </c>
      <c r="B106" s="115">
        <v>15</v>
      </c>
      <c r="C106" s="115">
        <v>-7</v>
      </c>
      <c r="D106" s="115">
        <v>-8</v>
      </c>
      <c r="E106" s="115">
        <v>-8.6</v>
      </c>
      <c r="F106" s="115">
        <v>-8.6</v>
      </c>
      <c r="G106" s="115">
        <v>-12.5</v>
      </c>
      <c r="H106" s="115">
        <v>11.8</v>
      </c>
      <c r="I106" s="115">
        <v>14.6</v>
      </c>
      <c r="J106" s="115">
        <v>49.9</v>
      </c>
      <c r="K106" s="115">
        <v>50.3</v>
      </c>
      <c r="L106" s="115">
        <v>59.4</v>
      </c>
      <c r="M106" s="115">
        <v>58.8</v>
      </c>
      <c r="N106" s="115">
        <v>59.3</v>
      </c>
      <c r="O106" s="115">
        <v>53.5</v>
      </c>
      <c r="P106" s="115">
        <v>54.3</v>
      </c>
      <c r="Q106" s="115">
        <v>31.1</v>
      </c>
      <c r="R106" s="115">
        <v>31.1</v>
      </c>
      <c r="S106" s="115">
        <v>31.1</v>
      </c>
      <c r="T106" s="115">
        <v>31.1</v>
      </c>
      <c r="U106" s="115">
        <v>31.1</v>
      </c>
      <c r="V106" s="115">
        <v>31.1</v>
      </c>
      <c r="W106" s="115">
        <v>49.7</v>
      </c>
      <c r="X106" s="115">
        <v>64</v>
      </c>
      <c r="Y106" s="115">
        <v>65.599999999999994</v>
      </c>
      <c r="Z106" s="115">
        <v>66.099999999999994</v>
      </c>
      <c r="AA106" s="115">
        <v>69.599999999999994</v>
      </c>
      <c r="AB106" s="115">
        <v>72.8</v>
      </c>
      <c r="AC106" s="115">
        <v>58.8</v>
      </c>
      <c r="AD106" s="115">
        <v>38.4</v>
      </c>
      <c r="AE106" s="115">
        <v>14.1</v>
      </c>
      <c r="AF106" s="115">
        <v>-5.3</v>
      </c>
      <c r="AG106" s="114">
        <v>240</v>
      </c>
      <c r="AH106" s="47">
        <f t="shared" si="8"/>
        <v>72.8</v>
      </c>
      <c r="AI106" s="48">
        <f t="shared" si="9"/>
        <v>-12.5</v>
      </c>
    </row>
    <row r="107" spans="1:35" x14ac:dyDescent="0.25">
      <c r="A107" s="103" t="s">
        <v>115</v>
      </c>
      <c r="B107" s="115">
        <v>-62</v>
      </c>
      <c r="C107" s="115">
        <v>-46</v>
      </c>
      <c r="D107" s="115">
        <v>-48</v>
      </c>
      <c r="E107" s="115">
        <f>-22.4-23.8</f>
        <v>-46.2</v>
      </c>
      <c r="F107" s="115">
        <f>-22.4-23.8</f>
        <v>-46.2</v>
      </c>
      <c r="G107" s="115">
        <f>-12.7-13.6</f>
        <v>-26.299999999999997</v>
      </c>
      <c r="H107" s="115">
        <f>-12.6-13.4</f>
        <v>-26</v>
      </c>
      <c r="I107" s="115">
        <f>-10.5-11.7</f>
        <v>-22.2</v>
      </c>
      <c r="J107" s="115">
        <f>-5.7-5.6</f>
        <v>-11.3</v>
      </c>
      <c r="K107" s="115">
        <f>0.7+3.4</f>
        <v>4.0999999999999996</v>
      </c>
      <c r="L107" s="115">
        <f>2.3+2.4</f>
        <v>4.6999999999999993</v>
      </c>
      <c r="M107" s="115">
        <f>2.8</f>
        <v>2.8</v>
      </c>
      <c r="N107" s="115">
        <v>-6.2</v>
      </c>
      <c r="O107" s="115">
        <v>-17</v>
      </c>
      <c r="P107" s="115">
        <v>-27.9</v>
      </c>
      <c r="Q107" s="115">
        <f t="shared" ref="Q107:V107" si="16">-11.9-13.3</f>
        <v>-25.200000000000003</v>
      </c>
      <c r="R107" s="115">
        <f t="shared" si="16"/>
        <v>-25.200000000000003</v>
      </c>
      <c r="S107" s="115">
        <f t="shared" si="16"/>
        <v>-25.200000000000003</v>
      </c>
      <c r="T107" s="115">
        <f t="shared" si="16"/>
        <v>-25.200000000000003</v>
      </c>
      <c r="U107" s="115">
        <f t="shared" si="16"/>
        <v>-25.200000000000003</v>
      </c>
      <c r="V107" s="115">
        <f t="shared" si="16"/>
        <v>-25.200000000000003</v>
      </c>
      <c r="W107" s="115">
        <v>18</v>
      </c>
      <c r="X107" s="115">
        <v>20</v>
      </c>
      <c r="Y107" s="115">
        <v>35</v>
      </c>
      <c r="Z107" s="115">
        <v>35</v>
      </c>
      <c r="AA107" s="115">
        <v>30</v>
      </c>
      <c r="AB107" s="115">
        <v>25.5</v>
      </c>
      <c r="AC107" s="115">
        <v>5.6</v>
      </c>
      <c r="AD107" s="115">
        <v>7.6</v>
      </c>
      <c r="AE107" s="115">
        <f>-6-7</f>
        <v>-13</v>
      </c>
      <c r="AF107" s="115">
        <v>-31.7</v>
      </c>
      <c r="AG107" s="114">
        <v>240</v>
      </c>
      <c r="AH107" s="47">
        <f t="shared" si="8"/>
        <v>35</v>
      </c>
      <c r="AI107" s="48">
        <f t="shared" si="9"/>
        <v>-62</v>
      </c>
    </row>
    <row r="108" spans="1:35" x14ac:dyDescent="0.25">
      <c r="A108" s="103" t="s">
        <v>116</v>
      </c>
      <c r="B108" s="115">
        <v>-1</v>
      </c>
      <c r="C108" s="115">
        <v>-1</v>
      </c>
      <c r="D108" s="115">
        <v>-2.5</v>
      </c>
      <c r="E108" s="115">
        <v>-1.6</v>
      </c>
      <c r="F108" s="115">
        <v>-1.6</v>
      </c>
      <c r="G108" s="115">
        <v>1.5</v>
      </c>
      <c r="H108" s="115">
        <v>2.6</v>
      </c>
      <c r="I108" s="115">
        <v>5.2</v>
      </c>
      <c r="J108" s="115">
        <v>9.8000000000000007</v>
      </c>
      <c r="K108" s="115">
        <v>15.1</v>
      </c>
      <c r="L108" s="115">
        <v>15.1</v>
      </c>
      <c r="M108" s="115">
        <v>14.8</v>
      </c>
      <c r="N108" s="115">
        <v>20.8</v>
      </c>
      <c r="O108" s="115">
        <v>12</v>
      </c>
      <c r="P108" s="115">
        <v>11.3</v>
      </c>
      <c r="Q108" s="115">
        <v>8.1999999999999993</v>
      </c>
      <c r="R108" s="115">
        <v>8.1999999999999993</v>
      </c>
      <c r="S108" s="115">
        <v>8.1999999999999993</v>
      </c>
      <c r="T108" s="115">
        <v>8.1999999999999993</v>
      </c>
      <c r="U108" s="115">
        <v>8.1999999999999993</v>
      </c>
      <c r="V108" s="115">
        <v>8.1999999999999993</v>
      </c>
      <c r="W108" s="115">
        <v>22.2</v>
      </c>
      <c r="X108" s="115">
        <v>26</v>
      </c>
      <c r="Y108" s="115">
        <v>29.3</v>
      </c>
      <c r="Z108" s="115">
        <v>29.2</v>
      </c>
      <c r="AA108" s="115">
        <v>29.3</v>
      </c>
      <c r="AB108" s="115">
        <v>23.7</v>
      </c>
      <c r="AC108" s="115">
        <v>20.9</v>
      </c>
      <c r="AD108" s="115">
        <v>18.899999999999999</v>
      </c>
      <c r="AE108" s="115">
        <v>13.1</v>
      </c>
      <c r="AF108" s="115">
        <v>5.0999999999999996</v>
      </c>
      <c r="AG108" s="114">
        <v>60</v>
      </c>
      <c r="AH108" s="47">
        <f t="shared" si="8"/>
        <v>29.3</v>
      </c>
      <c r="AI108" s="48">
        <f t="shared" si="9"/>
        <v>-2.5</v>
      </c>
    </row>
    <row r="109" spans="1:35" x14ac:dyDescent="0.25">
      <c r="A109" s="116" t="s">
        <v>117</v>
      </c>
      <c r="B109" s="117">
        <v>52</v>
      </c>
      <c r="C109" s="117">
        <v>61</v>
      </c>
      <c r="D109" s="117">
        <v>62</v>
      </c>
      <c r="E109" s="117">
        <v>51.1</v>
      </c>
      <c r="F109" s="117">
        <v>51.1</v>
      </c>
      <c r="G109" s="117">
        <v>83.6</v>
      </c>
      <c r="H109" s="117">
        <v>88.1</v>
      </c>
      <c r="I109" s="117">
        <v>94.1</v>
      </c>
      <c r="J109" s="117">
        <v>93.8</v>
      </c>
      <c r="K109" s="117">
        <v>111.4</v>
      </c>
      <c r="L109" s="117">
        <v>121.6</v>
      </c>
      <c r="M109" s="117">
        <v>121.5</v>
      </c>
      <c r="N109" s="117">
        <v>119</v>
      </c>
      <c r="O109" s="117">
        <v>108.9</v>
      </c>
      <c r="P109" s="117">
        <v>85.8</v>
      </c>
      <c r="Q109" s="117">
        <v>93.3</v>
      </c>
      <c r="R109" s="117">
        <v>93.3</v>
      </c>
      <c r="S109" s="117">
        <v>93.3</v>
      </c>
      <c r="T109" s="117">
        <v>93.3</v>
      </c>
      <c r="U109" s="117">
        <v>93.3</v>
      </c>
      <c r="V109" s="117">
        <v>93.3</v>
      </c>
      <c r="W109" s="117">
        <v>89.7</v>
      </c>
      <c r="X109" s="117">
        <v>80</v>
      </c>
      <c r="Y109" s="117">
        <v>88.3</v>
      </c>
      <c r="Z109" s="117">
        <v>88.4</v>
      </c>
      <c r="AA109" s="117">
        <v>87</v>
      </c>
      <c r="AB109" s="117">
        <v>80.400000000000006</v>
      </c>
      <c r="AC109" s="117">
        <v>113.7</v>
      </c>
      <c r="AD109" s="117">
        <v>113.3</v>
      </c>
      <c r="AE109" s="117">
        <v>89.3</v>
      </c>
      <c r="AF109" s="117">
        <v>88.6</v>
      </c>
      <c r="AG109" s="118">
        <v>120</v>
      </c>
      <c r="AH109" s="47">
        <f t="shared" si="8"/>
        <v>121.6</v>
      </c>
      <c r="AI109" s="48">
        <f t="shared" si="9"/>
        <v>51.1</v>
      </c>
    </row>
    <row r="110" spans="1:35" x14ac:dyDescent="0.25">
      <c r="A110" s="116" t="s">
        <v>118</v>
      </c>
      <c r="B110" s="117">
        <v>61</v>
      </c>
      <c r="C110" s="117">
        <v>70</v>
      </c>
      <c r="D110" s="117">
        <v>68</v>
      </c>
      <c r="E110" s="117">
        <v>61.5</v>
      </c>
      <c r="F110" s="117">
        <v>61.5</v>
      </c>
      <c r="G110" s="117">
        <v>84</v>
      </c>
      <c r="H110" s="117">
        <v>86.2</v>
      </c>
      <c r="I110" s="117">
        <v>84.9</v>
      </c>
      <c r="J110" s="117">
        <v>70.5</v>
      </c>
      <c r="K110" s="117">
        <v>72</v>
      </c>
      <c r="L110" s="117">
        <v>82.6</v>
      </c>
      <c r="M110" s="117">
        <v>82.2</v>
      </c>
      <c r="N110" s="117">
        <v>104</v>
      </c>
      <c r="O110" s="117">
        <v>104.5</v>
      </c>
      <c r="P110" s="117">
        <v>98</v>
      </c>
      <c r="Q110" s="117">
        <v>87.5</v>
      </c>
      <c r="R110" s="117">
        <v>87.5</v>
      </c>
      <c r="S110" s="117">
        <v>87.5</v>
      </c>
      <c r="T110" s="117">
        <v>87.5</v>
      </c>
      <c r="U110" s="117">
        <v>87.5</v>
      </c>
      <c r="V110" s="117">
        <v>87.5</v>
      </c>
      <c r="W110" s="117">
        <v>66</v>
      </c>
      <c r="X110" s="117">
        <v>63</v>
      </c>
      <c r="Y110" s="117">
        <v>77</v>
      </c>
      <c r="Z110" s="117">
        <v>92.4</v>
      </c>
      <c r="AA110" s="117">
        <v>93</v>
      </c>
      <c r="AB110" s="117">
        <v>97.1</v>
      </c>
      <c r="AC110" s="117">
        <v>92.3</v>
      </c>
      <c r="AD110" s="117">
        <v>92.7</v>
      </c>
      <c r="AE110" s="117">
        <v>89.5</v>
      </c>
      <c r="AF110" s="117">
        <v>95</v>
      </c>
      <c r="AG110" s="118"/>
      <c r="AH110" s="47">
        <f t="shared" si="8"/>
        <v>104.5</v>
      </c>
      <c r="AI110" s="48">
        <f t="shared" si="9"/>
        <v>61</v>
      </c>
    </row>
    <row r="111" spans="1:35" x14ac:dyDescent="0.25">
      <c r="A111" s="116" t="s">
        <v>119</v>
      </c>
      <c r="B111" s="117">
        <v>34</v>
      </c>
      <c r="C111" s="117">
        <v>33</v>
      </c>
      <c r="D111" s="117">
        <v>32</v>
      </c>
      <c r="E111" s="117">
        <v>30.4</v>
      </c>
      <c r="F111" s="117">
        <v>30.4</v>
      </c>
      <c r="G111" s="117">
        <v>36</v>
      </c>
      <c r="H111" s="117">
        <v>25</v>
      </c>
      <c r="I111" s="117">
        <v>21.1</v>
      </c>
      <c r="J111" s="117">
        <v>4.7</v>
      </c>
      <c r="K111" s="117">
        <v>7.6</v>
      </c>
      <c r="L111" s="117">
        <v>7.6</v>
      </c>
      <c r="M111" s="117">
        <v>4.9000000000000004</v>
      </c>
      <c r="N111" s="117">
        <v>9</v>
      </c>
      <c r="O111" s="117">
        <v>7.2</v>
      </c>
      <c r="P111" s="117">
        <v>12.1</v>
      </c>
      <c r="Q111" s="117">
        <v>21.6</v>
      </c>
      <c r="R111" s="117">
        <v>21.6</v>
      </c>
      <c r="S111" s="117">
        <v>21.6</v>
      </c>
      <c r="T111" s="117">
        <v>21.6</v>
      </c>
      <c r="U111" s="117">
        <v>21.6</v>
      </c>
      <c r="V111" s="117">
        <v>21.6</v>
      </c>
      <c r="W111" s="117">
        <v>7.1</v>
      </c>
      <c r="X111" s="117">
        <v>-4</v>
      </c>
      <c r="Y111" s="117">
        <v>-1.4</v>
      </c>
      <c r="Z111" s="117">
        <v>5.0999999999999996</v>
      </c>
      <c r="AA111" s="117">
        <v>2.1</v>
      </c>
      <c r="AB111" s="117">
        <v>0.3</v>
      </c>
      <c r="AC111" s="117">
        <v>11.8</v>
      </c>
      <c r="AD111" s="117">
        <v>18.899999999999999</v>
      </c>
      <c r="AE111" s="117">
        <v>29</v>
      </c>
      <c r="AF111" s="117">
        <v>33.4</v>
      </c>
      <c r="AG111" s="119"/>
      <c r="AH111" s="47">
        <f t="shared" si="8"/>
        <v>36</v>
      </c>
      <c r="AI111" s="48">
        <f t="shared" si="9"/>
        <v>-4</v>
      </c>
    </row>
    <row r="112" spans="1:35" x14ac:dyDescent="0.25">
      <c r="A112" s="120" t="s">
        <v>120</v>
      </c>
      <c r="B112" s="106">
        <v>39</v>
      </c>
      <c r="C112" s="106">
        <v>396</v>
      </c>
      <c r="D112" s="106">
        <v>43</v>
      </c>
      <c r="E112" s="106">
        <v>41.7</v>
      </c>
      <c r="F112" s="106">
        <v>41.7</v>
      </c>
      <c r="G112" s="106">
        <v>35.6</v>
      </c>
      <c r="H112" s="106">
        <v>19.3</v>
      </c>
      <c r="I112" s="106">
        <v>9.4</v>
      </c>
      <c r="J112" s="106">
        <v>-4.9000000000000004</v>
      </c>
      <c r="K112" s="106">
        <v>-7.1</v>
      </c>
      <c r="L112" s="106">
        <v>-7.1</v>
      </c>
      <c r="M112" s="106">
        <v>-7.8</v>
      </c>
      <c r="N112" s="106">
        <v>-6</v>
      </c>
      <c r="O112" s="106">
        <v>2.1</v>
      </c>
      <c r="P112" s="106">
        <v>13.7</v>
      </c>
      <c r="Q112" s="106">
        <v>18.100000000000001</v>
      </c>
      <c r="R112" s="106">
        <v>18.100000000000001</v>
      </c>
      <c r="S112" s="106">
        <v>18.100000000000001</v>
      </c>
      <c r="T112" s="106">
        <v>18.100000000000001</v>
      </c>
      <c r="U112" s="106">
        <v>18.100000000000001</v>
      </c>
      <c r="V112" s="106">
        <v>18.100000000000001</v>
      </c>
      <c r="W112" s="106">
        <v>-18.3</v>
      </c>
      <c r="X112" s="106">
        <v>-26.1</v>
      </c>
      <c r="Y112" s="106">
        <v>-22</v>
      </c>
      <c r="Z112" s="106">
        <v>-16</v>
      </c>
      <c r="AA112" s="106">
        <v>-11</v>
      </c>
      <c r="AB112" s="106">
        <v>0</v>
      </c>
      <c r="AC112" s="106">
        <v>6.1</v>
      </c>
      <c r="AD112" s="106">
        <v>16</v>
      </c>
      <c r="AE112" s="106">
        <v>31</v>
      </c>
      <c r="AF112" s="106">
        <v>40.4</v>
      </c>
      <c r="AG112" s="119"/>
      <c r="AH112" s="47">
        <f t="shared" si="8"/>
        <v>396</v>
      </c>
      <c r="AI112" s="48">
        <f t="shared" si="9"/>
        <v>-26.1</v>
      </c>
    </row>
    <row r="113" spans="1:37" ht="15.75" thickBot="1" x14ac:dyDescent="0.3">
      <c r="A113" s="120" t="s">
        <v>121</v>
      </c>
      <c r="B113" s="106">
        <v>33</v>
      </c>
      <c r="C113" s="106">
        <v>17</v>
      </c>
      <c r="D113" s="106">
        <v>19</v>
      </c>
      <c r="E113" s="106">
        <v>17.5</v>
      </c>
      <c r="F113" s="106">
        <v>17.5</v>
      </c>
      <c r="G113" s="106">
        <v>1.8</v>
      </c>
      <c r="H113" s="106">
        <v>8.1999999999999993</v>
      </c>
      <c r="I113" s="106">
        <v>9.6999999999999993</v>
      </c>
      <c r="J113" s="106">
        <v>5.3</v>
      </c>
      <c r="K113" s="106">
        <v>-4.5999999999999996</v>
      </c>
      <c r="L113" s="106">
        <v>-4.5999999999999996</v>
      </c>
      <c r="M113" s="106">
        <v>0</v>
      </c>
      <c r="N113" s="106">
        <v>9.1</v>
      </c>
      <c r="O113" s="106">
        <v>15.6</v>
      </c>
      <c r="P113" s="106">
        <v>24.3</v>
      </c>
      <c r="Q113" s="106">
        <v>18.2</v>
      </c>
      <c r="R113" s="106">
        <v>18.2</v>
      </c>
      <c r="S113" s="106">
        <v>18.2</v>
      </c>
      <c r="T113" s="106">
        <v>18.2</v>
      </c>
      <c r="U113" s="106">
        <v>18.2</v>
      </c>
      <c r="V113" s="106">
        <v>18.2</v>
      </c>
      <c r="W113" s="106">
        <v>-11</v>
      </c>
      <c r="X113" s="106">
        <v>-8.5</v>
      </c>
      <c r="Y113" s="106">
        <v>-16</v>
      </c>
      <c r="Z113" s="106">
        <v>-16</v>
      </c>
      <c r="AA113" s="106">
        <v>-12.5</v>
      </c>
      <c r="AB113" s="106">
        <v>-4.5999999999999996</v>
      </c>
      <c r="AC113" s="106">
        <v>1.6</v>
      </c>
      <c r="AD113" s="106">
        <v>4.0999999999999996</v>
      </c>
      <c r="AE113" s="106">
        <v>7.4</v>
      </c>
      <c r="AF113" s="106">
        <v>13.4</v>
      </c>
      <c r="AG113" s="119"/>
      <c r="AH113" s="47">
        <f t="shared" si="8"/>
        <v>33</v>
      </c>
      <c r="AI113" s="48">
        <f t="shared" si="9"/>
        <v>-16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7">SUM(B115:B219)</f>
        <v>0</v>
      </c>
      <c r="C220" s="136">
        <f t="shared" si="17"/>
        <v>0</v>
      </c>
      <c r="D220" s="136">
        <f t="shared" si="17"/>
        <v>0</v>
      </c>
      <c r="E220" s="136">
        <f t="shared" si="17"/>
        <v>0</v>
      </c>
      <c r="F220" s="136">
        <f t="shared" si="17"/>
        <v>0</v>
      </c>
      <c r="G220" s="136">
        <f t="shared" si="17"/>
        <v>0</v>
      </c>
      <c r="H220" s="136">
        <f t="shared" si="17"/>
        <v>0</v>
      </c>
      <c r="I220" s="136">
        <f t="shared" si="17"/>
        <v>0</v>
      </c>
      <c r="J220" s="136">
        <f t="shared" si="17"/>
        <v>0</v>
      </c>
      <c r="K220" s="136">
        <f t="shared" si="17"/>
        <v>0</v>
      </c>
      <c r="L220" s="136">
        <f t="shared" si="17"/>
        <v>0</v>
      </c>
      <c r="M220" s="136">
        <f t="shared" si="17"/>
        <v>0</v>
      </c>
      <c r="N220" s="136">
        <f t="shared" si="17"/>
        <v>0</v>
      </c>
      <c r="O220" s="136">
        <f t="shared" si="17"/>
        <v>0</v>
      </c>
      <c r="P220" s="136">
        <f t="shared" si="17"/>
        <v>0</v>
      </c>
      <c r="Q220" s="136">
        <f t="shared" si="17"/>
        <v>0</v>
      </c>
      <c r="R220" s="136">
        <f t="shared" si="17"/>
        <v>0</v>
      </c>
      <c r="S220" s="136">
        <f t="shared" si="17"/>
        <v>0</v>
      </c>
      <c r="T220" s="136">
        <f t="shared" si="17"/>
        <v>0</v>
      </c>
      <c r="U220" s="136">
        <f t="shared" si="17"/>
        <v>0</v>
      </c>
      <c r="V220" s="136">
        <f t="shared" si="17"/>
        <v>0</v>
      </c>
      <c r="W220" s="136">
        <f t="shared" si="17"/>
        <v>0</v>
      </c>
      <c r="X220" s="136">
        <f t="shared" si="17"/>
        <v>0</v>
      </c>
      <c r="Y220" s="136">
        <f t="shared" si="17"/>
        <v>0</v>
      </c>
      <c r="Z220" s="136">
        <f t="shared" si="17"/>
        <v>0</v>
      </c>
      <c r="AA220" s="136">
        <f t="shared" si="17"/>
        <v>0</v>
      </c>
      <c r="AB220" s="136">
        <f t="shared" si="17"/>
        <v>0</v>
      </c>
      <c r="AC220" s="136">
        <f t="shared" si="17"/>
        <v>0</v>
      </c>
      <c r="AD220" s="136">
        <f t="shared" si="17"/>
        <v>0</v>
      </c>
      <c r="AE220" s="136">
        <f t="shared" si="17"/>
        <v>0</v>
      </c>
      <c r="AF220" s="137">
        <f t="shared" si="17"/>
        <v>0</v>
      </c>
      <c r="AG220" s="138">
        <f t="shared" si="17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8">AF222</f>
        <v>0</v>
      </c>
      <c r="C222" s="140">
        <v>0.3</v>
      </c>
      <c r="D222" s="140">
        <f t="shared" ref="D222:P227" si="19">C222</f>
        <v>0.3</v>
      </c>
      <c r="E222" s="140">
        <f t="shared" si="19"/>
        <v>0.3</v>
      </c>
      <c r="F222" s="140">
        <f t="shared" si="19"/>
        <v>0.3</v>
      </c>
      <c r="G222" s="140">
        <f t="shared" si="19"/>
        <v>0.3</v>
      </c>
      <c r="H222" s="140">
        <f t="shared" si="19"/>
        <v>0.3</v>
      </c>
      <c r="I222" s="140">
        <f t="shared" si="19"/>
        <v>0.3</v>
      </c>
      <c r="J222" s="140">
        <f t="shared" si="19"/>
        <v>0.3</v>
      </c>
      <c r="K222" s="140">
        <f t="shared" si="19"/>
        <v>0.3</v>
      </c>
      <c r="L222" s="140">
        <f t="shared" si="19"/>
        <v>0.3</v>
      </c>
      <c r="M222" s="140">
        <f t="shared" si="19"/>
        <v>0.3</v>
      </c>
      <c r="N222" s="140">
        <f t="shared" si="19"/>
        <v>0.3</v>
      </c>
      <c r="O222" s="140">
        <f t="shared" si="19"/>
        <v>0.3</v>
      </c>
      <c r="P222" s="140">
        <f t="shared" si="19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8"/>
        <v>0</v>
      </c>
      <c r="C223" s="128">
        <v>0.4</v>
      </c>
      <c r="D223" s="128">
        <f t="shared" si="19"/>
        <v>0.4</v>
      </c>
      <c r="E223" s="128">
        <f t="shared" si="19"/>
        <v>0.4</v>
      </c>
      <c r="F223" s="128">
        <f t="shared" si="19"/>
        <v>0.4</v>
      </c>
      <c r="G223" s="128">
        <f t="shared" si="19"/>
        <v>0.4</v>
      </c>
      <c r="H223" s="128">
        <f t="shared" si="19"/>
        <v>0.4</v>
      </c>
      <c r="I223" s="128">
        <f t="shared" si="19"/>
        <v>0.4</v>
      </c>
      <c r="J223" s="128">
        <f t="shared" si="19"/>
        <v>0.4</v>
      </c>
      <c r="K223" s="128">
        <f t="shared" si="19"/>
        <v>0.4</v>
      </c>
      <c r="L223" s="128">
        <f t="shared" si="19"/>
        <v>0.4</v>
      </c>
      <c r="M223" s="128">
        <f t="shared" si="19"/>
        <v>0.4</v>
      </c>
      <c r="N223" s="128">
        <f t="shared" si="19"/>
        <v>0.4</v>
      </c>
      <c r="O223" s="128">
        <f t="shared" si="19"/>
        <v>0.4</v>
      </c>
      <c r="P223" s="128">
        <f t="shared" si="19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8"/>
        <v>0</v>
      </c>
      <c r="C224" s="128">
        <v>1.5</v>
      </c>
      <c r="D224" s="128">
        <f t="shared" si="19"/>
        <v>1.5</v>
      </c>
      <c r="E224" s="128">
        <f t="shared" si="19"/>
        <v>1.5</v>
      </c>
      <c r="F224" s="128">
        <f t="shared" si="19"/>
        <v>1.5</v>
      </c>
      <c r="G224" s="128">
        <f t="shared" si="19"/>
        <v>1.5</v>
      </c>
      <c r="H224" s="128">
        <f t="shared" si="19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19"/>
        <v>1.5</v>
      </c>
      <c r="K224" s="128">
        <f t="shared" ca="1" si="19"/>
        <v>1.5</v>
      </c>
      <c r="L224" s="128">
        <f t="shared" ca="1" si="19"/>
        <v>1.5</v>
      </c>
      <c r="M224" s="128">
        <f t="shared" ca="1" si="19"/>
        <v>1.5</v>
      </c>
      <c r="N224" s="128">
        <f t="shared" ca="1" si="19"/>
        <v>1.5</v>
      </c>
      <c r="O224" s="128">
        <f t="shared" ca="1" si="19"/>
        <v>1.5</v>
      </c>
      <c r="P224" s="128">
        <f t="shared" ca="1" si="19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8"/>
        <v>0</v>
      </c>
      <c r="C225" s="128">
        <v>0.3</v>
      </c>
      <c r="D225" s="128">
        <f t="shared" si="19"/>
        <v>0.3</v>
      </c>
      <c r="E225" s="128">
        <f t="shared" si="19"/>
        <v>0.3</v>
      </c>
      <c r="F225" s="128">
        <f t="shared" si="19"/>
        <v>0.3</v>
      </c>
      <c r="G225" s="128">
        <f t="shared" si="19"/>
        <v>0.3</v>
      </c>
      <c r="H225" s="128">
        <f t="shared" si="19"/>
        <v>0.3</v>
      </c>
      <c r="I225" s="128">
        <f t="shared" si="19"/>
        <v>0.3</v>
      </c>
      <c r="J225" s="128">
        <f t="shared" si="19"/>
        <v>0.3</v>
      </c>
      <c r="K225" s="128">
        <f t="shared" si="19"/>
        <v>0.3</v>
      </c>
      <c r="L225" s="128">
        <f t="shared" si="19"/>
        <v>0.3</v>
      </c>
      <c r="M225" s="128">
        <f t="shared" si="19"/>
        <v>0.3</v>
      </c>
      <c r="N225" s="128">
        <f t="shared" si="19"/>
        <v>0.3</v>
      </c>
      <c r="O225" s="128">
        <f t="shared" si="19"/>
        <v>0.3</v>
      </c>
      <c r="P225" s="128">
        <f t="shared" si="19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8"/>
        <v>0</v>
      </c>
      <c r="C226" s="128">
        <v>0.4</v>
      </c>
      <c r="D226" s="128">
        <f t="shared" si="19"/>
        <v>0.4</v>
      </c>
      <c r="E226" s="128">
        <f t="shared" si="19"/>
        <v>0.4</v>
      </c>
      <c r="F226" s="128">
        <f t="shared" si="19"/>
        <v>0.4</v>
      </c>
      <c r="G226" s="128">
        <f t="shared" si="19"/>
        <v>0.4</v>
      </c>
      <c r="H226" s="128">
        <f t="shared" si="19"/>
        <v>0.4</v>
      </c>
      <c r="I226" s="128">
        <f t="shared" si="19"/>
        <v>0.4</v>
      </c>
      <c r="J226" s="128">
        <f t="shared" si="19"/>
        <v>0.4</v>
      </c>
      <c r="K226" s="128">
        <f t="shared" si="19"/>
        <v>0.4</v>
      </c>
      <c r="L226" s="128">
        <f t="shared" si="19"/>
        <v>0.4</v>
      </c>
      <c r="M226" s="128">
        <f t="shared" si="19"/>
        <v>0.4</v>
      </c>
      <c r="N226" s="128">
        <f t="shared" si="19"/>
        <v>0.4</v>
      </c>
      <c r="O226" s="128">
        <f t="shared" si="19"/>
        <v>0.4</v>
      </c>
      <c r="P226" s="128">
        <f t="shared" si="19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8"/>
        <v>0</v>
      </c>
      <c r="C227" s="132">
        <v>0.64</v>
      </c>
      <c r="D227" s="132">
        <f t="shared" si="19"/>
        <v>0.64</v>
      </c>
      <c r="E227" s="132">
        <f t="shared" si="19"/>
        <v>0.64</v>
      </c>
      <c r="F227" s="132">
        <f t="shared" si="19"/>
        <v>0.64</v>
      </c>
      <c r="G227" s="132">
        <f t="shared" si="19"/>
        <v>0.64</v>
      </c>
      <c r="H227" s="132">
        <f t="shared" si="19"/>
        <v>0.64</v>
      </c>
      <c r="I227" s="132">
        <f t="shared" si="19"/>
        <v>0.64</v>
      </c>
      <c r="J227" s="132">
        <f t="shared" si="19"/>
        <v>0.64</v>
      </c>
      <c r="K227" s="132">
        <f t="shared" si="19"/>
        <v>0.64</v>
      </c>
      <c r="L227" s="132">
        <f t="shared" si="19"/>
        <v>0.64</v>
      </c>
      <c r="M227" s="132">
        <f t="shared" si="19"/>
        <v>0.64</v>
      </c>
      <c r="N227" s="132">
        <f t="shared" si="19"/>
        <v>0.64</v>
      </c>
      <c r="O227" s="132">
        <f t="shared" si="19"/>
        <v>0.64</v>
      </c>
      <c r="P227" s="132">
        <f t="shared" si="19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20">SUM(B222:B227)</f>
        <v>0</v>
      </c>
      <c r="C228" s="136">
        <f t="shared" si="20"/>
        <v>3.54</v>
      </c>
      <c r="D228" s="136">
        <f t="shared" si="20"/>
        <v>3.54</v>
      </c>
      <c r="E228" s="136">
        <f t="shared" si="20"/>
        <v>3.54</v>
      </c>
      <c r="F228" s="136">
        <f t="shared" si="20"/>
        <v>3.54</v>
      </c>
      <c r="G228" s="136">
        <f t="shared" si="20"/>
        <v>3.54</v>
      </c>
      <c r="H228" s="136">
        <f t="shared" si="20"/>
        <v>3.54</v>
      </c>
      <c r="I228" s="136">
        <f t="shared" ca="1" si="20"/>
        <v>3.54</v>
      </c>
      <c r="J228" s="136">
        <f t="shared" ca="1" si="20"/>
        <v>3.54</v>
      </c>
      <c r="K228" s="136">
        <f t="shared" ca="1" si="20"/>
        <v>3.54</v>
      </c>
      <c r="L228" s="136">
        <f t="shared" ca="1" si="20"/>
        <v>3.54</v>
      </c>
      <c r="M228" s="136">
        <f t="shared" ca="1" si="20"/>
        <v>3.54</v>
      </c>
      <c r="N228" s="136">
        <f t="shared" ca="1" si="20"/>
        <v>3.54</v>
      </c>
      <c r="O228" s="136">
        <f t="shared" ca="1" si="20"/>
        <v>3.54</v>
      </c>
      <c r="P228" s="136">
        <f t="shared" ca="1" si="20"/>
        <v>3.54</v>
      </c>
      <c r="Q228" s="136">
        <f t="shared" si="20"/>
        <v>0</v>
      </c>
      <c r="R228" s="136">
        <f t="shared" si="20"/>
        <v>0</v>
      </c>
      <c r="S228" s="136">
        <f t="shared" si="20"/>
        <v>0</v>
      </c>
      <c r="T228" s="136">
        <f t="shared" si="20"/>
        <v>0</v>
      </c>
      <c r="U228" s="136">
        <f t="shared" si="20"/>
        <v>0</v>
      </c>
      <c r="V228" s="136">
        <f t="shared" si="20"/>
        <v>0</v>
      </c>
      <c r="W228" s="136">
        <f t="shared" si="20"/>
        <v>0</v>
      </c>
      <c r="X228" s="136">
        <f t="shared" si="20"/>
        <v>0</v>
      </c>
      <c r="Y228" s="136">
        <f t="shared" si="20"/>
        <v>0</v>
      </c>
      <c r="Z228" s="136">
        <f t="shared" si="20"/>
        <v>0</v>
      </c>
      <c r="AA228" s="136">
        <f t="shared" si="20"/>
        <v>0</v>
      </c>
      <c r="AB228" s="136">
        <f t="shared" si="20"/>
        <v>0</v>
      </c>
      <c r="AC228" s="136">
        <f t="shared" si="20"/>
        <v>0</v>
      </c>
      <c r="AD228" s="136">
        <f t="shared" si="20"/>
        <v>0</v>
      </c>
      <c r="AE228" s="136">
        <f t="shared" si="20"/>
        <v>0</v>
      </c>
      <c r="AF228" s="136">
        <f t="shared" si="20"/>
        <v>0</v>
      </c>
      <c r="AG228" s="145">
        <f t="shared" si="20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1492.14</v>
      </c>
      <c r="C237" s="161">
        <f>INDEX(G9:N9,1,MATCH(MAX(G85:N85),G85:N85,0))</f>
        <v>0.375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1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str">
        <f ca="1">"Pie Chart of Daily Peak Demand(Inclusive of Export) of Nepal ("&amp;A4&amp;" "&amp;B4&amp;")"</f>
        <v>Pie Chart of Daily Peak Demand(Inclusive of Export) of Nepal (Nepali Date: 2079/09/1)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2079/09/1)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1">B85</f>
        <v>1070.54</v>
      </c>
      <c r="U242" s="170">
        <f t="shared" si="21"/>
        <v>1023.54</v>
      </c>
      <c r="V242" s="170">
        <f t="shared" si="21"/>
        <v>1022.44</v>
      </c>
      <c r="W242" s="170">
        <f t="shared" si="21"/>
        <v>1001.94</v>
      </c>
      <c r="X242" s="170">
        <f t="shared" si="21"/>
        <v>1001.94</v>
      </c>
      <c r="Y242" s="170">
        <f t="shared" si="21"/>
        <v>1044.3399999999999</v>
      </c>
      <c r="Z242" s="170">
        <f t="shared" si="21"/>
        <v>1162.6399999999999</v>
      </c>
      <c r="AA242" s="170">
        <f t="shared" si="21"/>
        <v>1261.54</v>
      </c>
      <c r="AB242" s="170">
        <f t="shared" si="21"/>
        <v>1313.7399999999998</v>
      </c>
      <c r="AC242" s="170">
        <f t="shared" si="21"/>
        <v>1448.34</v>
      </c>
      <c r="AD242" s="170">
        <f t="shared" si="21"/>
        <v>1456.3400000000001</v>
      </c>
      <c r="AE242" s="170">
        <f t="shared" si="21"/>
        <v>1394.44</v>
      </c>
      <c r="AF242" s="170">
        <f t="shared" si="21"/>
        <v>1492.14</v>
      </c>
      <c r="AG242" s="170">
        <f t="shared" si="21"/>
        <v>1433.2399999999998</v>
      </c>
      <c r="AH242" s="170">
        <f t="shared" si="21"/>
        <v>1375.44</v>
      </c>
      <c r="AI242" s="170">
        <f t="shared" si="21"/>
        <v>1263.1399999999999</v>
      </c>
      <c r="AJ242" s="170">
        <f t="shared" si="21"/>
        <v>1178.54</v>
      </c>
      <c r="AK242" s="170">
        <f t="shared" si="21"/>
        <v>1204.54</v>
      </c>
      <c r="AL242" s="170">
        <f t="shared" si="21"/>
        <v>1157.54</v>
      </c>
      <c r="AM242" s="170">
        <f t="shared" si="21"/>
        <v>1101.54</v>
      </c>
      <c r="AN242" s="170">
        <f t="shared" si="21"/>
        <v>1159.1399999999999</v>
      </c>
      <c r="AO242" s="170">
        <f t="shared" si="21"/>
        <v>1369.74</v>
      </c>
      <c r="AP242" s="170">
        <f t="shared" si="21"/>
        <v>1557.04</v>
      </c>
      <c r="AQ242" s="170">
        <f t="shared" si="21"/>
        <v>1561.94</v>
      </c>
      <c r="AR242" s="170">
        <f t="shared" si="21"/>
        <v>1474.84</v>
      </c>
      <c r="AS242" s="170">
        <f t="shared" si="21"/>
        <v>1485.2399999999998</v>
      </c>
      <c r="AT242" s="170">
        <f t="shared" si="21"/>
        <v>1467.6399999999999</v>
      </c>
      <c r="AU242" s="170">
        <f t="shared" si="21"/>
        <v>1451.94</v>
      </c>
      <c r="AV242" s="170">
        <f t="shared" si="21"/>
        <v>1345.44</v>
      </c>
      <c r="AW242" s="170">
        <f t="shared" si="21"/>
        <v>1153.74</v>
      </c>
      <c r="AX242" s="170">
        <f t="shared" si="21"/>
        <v>1103.6399999999999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2">C227</f>
        <v>0.64</v>
      </c>
      <c r="C263" s="173">
        <f t="shared" si="22"/>
        <v>0.64</v>
      </c>
      <c r="D263" s="173">
        <f t="shared" si="22"/>
        <v>0.64</v>
      </c>
      <c r="E263" s="173">
        <f t="shared" si="22"/>
        <v>0.64</v>
      </c>
      <c r="F263" s="173">
        <f t="shared" si="22"/>
        <v>0.64</v>
      </c>
      <c r="G263" s="173">
        <f t="shared" si="22"/>
        <v>0.64</v>
      </c>
      <c r="H263" s="173">
        <f t="shared" si="22"/>
        <v>0.64</v>
      </c>
      <c r="I263" s="173">
        <f t="shared" si="22"/>
        <v>0.64</v>
      </c>
      <c r="J263" s="173">
        <f t="shared" si="22"/>
        <v>0.64</v>
      </c>
      <c r="K263" s="173">
        <f t="shared" si="22"/>
        <v>0.64</v>
      </c>
      <c r="L263" s="173">
        <f t="shared" si="22"/>
        <v>0.64</v>
      </c>
      <c r="M263" s="173">
        <f t="shared" si="22"/>
        <v>0.64</v>
      </c>
      <c r="N263" s="173">
        <f t="shared" si="22"/>
        <v>0.64</v>
      </c>
      <c r="O263" s="173">
        <f t="shared" si="22"/>
        <v>0.64</v>
      </c>
      <c r="P263" s="173">
        <f t="shared" si="22"/>
        <v>0</v>
      </c>
      <c r="Q263" s="173">
        <f t="shared" si="22"/>
        <v>0</v>
      </c>
      <c r="R263" s="173">
        <f t="shared" si="22"/>
        <v>0</v>
      </c>
      <c r="S263" s="173">
        <f t="shared" si="22"/>
        <v>0</v>
      </c>
      <c r="T263" s="173">
        <f t="shared" si="22"/>
        <v>0</v>
      </c>
      <c r="U263" s="173">
        <f t="shared" si="22"/>
        <v>0</v>
      </c>
      <c r="V263" s="173">
        <f t="shared" si="22"/>
        <v>0</v>
      </c>
      <c r="W263" s="173">
        <f t="shared" si="22"/>
        <v>0</v>
      </c>
      <c r="X263" s="173">
        <f t="shared" si="22"/>
        <v>0</v>
      </c>
      <c r="Y263" s="173">
        <f t="shared" si="22"/>
        <v>0</v>
      </c>
      <c r="Z263" s="173">
        <f t="shared" si="22"/>
        <v>0</v>
      </c>
      <c r="AA263" s="173">
        <f t="shared" si="22"/>
        <v>0</v>
      </c>
      <c r="AB263" s="173">
        <f t="shared" si="22"/>
        <v>0</v>
      </c>
      <c r="AC263" s="173">
        <f t="shared" si="22"/>
        <v>0</v>
      </c>
      <c r="AD263" s="173">
        <f t="shared" si="22"/>
        <v>0</v>
      </c>
      <c r="AE263" s="173">
        <f t="shared" si="22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3">IF(B231&lt;100,"",B231-520)</f>
        <v/>
      </c>
      <c r="C264" s="174" t="str">
        <f t="shared" si="23"/>
        <v/>
      </c>
      <c r="D264" s="174" t="str">
        <f t="shared" si="23"/>
        <v/>
      </c>
      <c r="E264" s="174" t="str">
        <f t="shared" si="23"/>
        <v/>
      </c>
      <c r="F264" s="174" t="str">
        <f t="shared" si="23"/>
        <v/>
      </c>
      <c r="G264" s="174" t="str">
        <f t="shared" si="23"/>
        <v/>
      </c>
      <c r="H264" s="174" t="str">
        <f t="shared" si="23"/>
        <v/>
      </c>
      <c r="I264" s="174" t="str">
        <f t="shared" si="23"/>
        <v/>
      </c>
      <c r="J264" s="174" t="str">
        <f t="shared" si="23"/>
        <v/>
      </c>
      <c r="K264" s="174" t="str">
        <f t="shared" si="23"/>
        <v/>
      </c>
      <c r="L264" s="174" t="str">
        <f t="shared" si="23"/>
        <v/>
      </c>
      <c r="M264" s="174" t="str">
        <f t="shared" si="23"/>
        <v/>
      </c>
      <c r="N264" s="174" t="str">
        <f t="shared" si="23"/>
        <v/>
      </c>
      <c r="O264" s="174" t="str">
        <f t="shared" si="23"/>
        <v/>
      </c>
      <c r="P264" s="174" t="str">
        <f t="shared" si="23"/>
        <v/>
      </c>
      <c r="Q264" s="174" t="str">
        <f t="shared" si="23"/>
        <v/>
      </c>
      <c r="R264" s="174" t="str">
        <f t="shared" si="23"/>
        <v/>
      </c>
      <c r="S264" s="174" t="str">
        <f t="shared" si="23"/>
        <v/>
      </c>
      <c r="T264" s="174" t="str">
        <f t="shared" si="23"/>
        <v/>
      </c>
      <c r="U264" s="174" t="str">
        <f t="shared" si="23"/>
        <v/>
      </c>
      <c r="V264" s="174" t="str">
        <f t="shared" si="23"/>
        <v/>
      </c>
      <c r="W264" s="174" t="str">
        <f t="shared" si="23"/>
        <v/>
      </c>
      <c r="X264" s="174" t="str">
        <f t="shared" si="23"/>
        <v/>
      </c>
      <c r="Y264" s="174" t="str">
        <f t="shared" si="23"/>
        <v/>
      </c>
      <c r="Z264" s="174" t="str">
        <f t="shared" si="23"/>
        <v/>
      </c>
      <c r="AA264" s="174" t="str">
        <f t="shared" si="23"/>
        <v/>
      </c>
      <c r="AB264" s="174" t="str">
        <f t="shared" si="23"/>
        <v/>
      </c>
      <c r="AC264" s="174" t="str">
        <f t="shared" si="23"/>
        <v/>
      </c>
      <c r="AD264" s="174" t="str">
        <f t="shared" si="23"/>
        <v/>
      </c>
      <c r="AE264" s="174" t="str">
        <f t="shared" si="23"/>
        <v/>
      </c>
      <c r="AF264" s="174" t="str">
        <f t="shared" si="23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4">IF(B232&lt;100,"",B232-620)</f>
        <v/>
      </c>
      <c r="C265" s="174" t="str">
        <f t="shared" si="24"/>
        <v/>
      </c>
      <c r="D265" s="174" t="str">
        <f t="shared" si="24"/>
        <v/>
      </c>
      <c r="E265" s="174" t="str">
        <f t="shared" si="24"/>
        <v/>
      </c>
      <c r="F265" s="174" t="str">
        <f t="shared" si="24"/>
        <v/>
      </c>
      <c r="G265" s="174" t="str">
        <f t="shared" si="24"/>
        <v/>
      </c>
      <c r="H265" s="174" t="str">
        <f t="shared" si="24"/>
        <v/>
      </c>
      <c r="I265" s="174" t="str">
        <f t="shared" si="24"/>
        <v/>
      </c>
      <c r="J265" s="174" t="str">
        <f t="shared" si="24"/>
        <v/>
      </c>
      <c r="K265" s="174" t="str">
        <f t="shared" si="24"/>
        <v/>
      </c>
      <c r="L265" s="174" t="str">
        <f t="shared" si="24"/>
        <v/>
      </c>
      <c r="M265" s="174" t="str">
        <f t="shared" si="24"/>
        <v/>
      </c>
      <c r="N265" s="174" t="str">
        <f t="shared" si="24"/>
        <v/>
      </c>
      <c r="O265" s="174" t="str">
        <f t="shared" si="24"/>
        <v/>
      </c>
      <c r="P265" s="174" t="str">
        <f t="shared" si="24"/>
        <v/>
      </c>
      <c r="Q265" s="174" t="str">
        <f t="shared" si="24"/>
        <v/>
      </c>
      <c r="R265" s="174" t="str">
        <f t="shared" si="24"/>
        <v/>
      </c>
      <c r="S265" s="174" t="str">
        <f t="shared" si="24"/>
        <v/>
      </c>
      <c r="T265" s="174" t="str">
        <f t="shared" si="24"/>
        <v/>
      </c>
      <c r="U265" s="174" t="str">
        <f t="shared" si="24"/>
        <v/>
      </c>
      <c r="V265" s="174" t="str">
        <f t="shared" si="24"/>
        <v/>
      </c>
      <c r="W265" s="174" t="str">
        <f t="shared" si="24"/>
        <v/>
      </c>
      <c r="X265" s="174" t="str">
        <f t="shared" si="24"/>
        <v/>
      </c>
      <c r="Y265" s="174" t="str">
        <f t="shared" si="24"/>
        <v/>
      </c>
      <c r="Z265" s="174" t="str">
        <f t="shared" si="24"/>
        <v/>
      </c>
      <c r="AA265" s="174" t="str">
        <f t="shared" si="24"/>
        <v/>
      </c>
      <c r="AB265" s="174" t="str">
        <f t="shared" si="24"/>
        <v/>
      </c>
      <c r="AC265" s="174" t="str">
        <f t="shared" si="24"/>
        <v/>
      </c>
      <c r="AD265" s="174" t="str">
        <f t="shared" si="24"/>
        <v/>
      </c>
      <c r="AE265" s="174" t="str">
        <f t="shared" si="24"/>
        <v/>
      </c>
      <c r="AF265" s="174" t="str">
        <f t="shared" si="24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5">IF(B233&lt;100,"",B233-330)</f>
        <v/>
      </c>
      <c r="C266" s="174" t="str">
        <f t="shared" si="25"/>
        <v/>
      </c>
      <c r="D266" s="174" t="str">
        <f t="shared" si="25"/>
        <v/>
      </c>
      <c r="E266" s="174" t="str">
        <f t="shared" si="25"/>
        <v/>
      </c>
      <c r="F266" s="174" t="str">
        <f t="shared" si="25"/>
        <v/>
      </c>
      <c r="G266" s="174" t="str">
        <f t="shared" si="25"/>
        <v/>
      </c>
      <c r="H266" s="174" t="str">
        <f t="shared" si="25"/>
        <v/>
      </c>
      <c r="I266" s="174" t="str">
        <f t="shared" si="25"/>
        <v/>
      </c>
      <c r="J266" s="174" t="str">
        <f t="shared" si="25"/>
        <v/>
      </c>
      <c r="K266" s="174" t="str">
        <f t="shared" si="25"/>
        <v/>
      </c>
      <c r="L266" s="174" t="str">
        <f t="shared" si="25"/>
        <v/>
      </c>
      <c r="M266" s="174" t="str">
        <f t="shared" si="25"/>
        <v/>
      </c>
      <c r="N266" s="174" t="str">
        <f t="shared" si="25"/>
        <v/>
      </c>
      <c r="O266" s="174" t="str">
        <f t="shared" si="25"/>
        <v/>
      </c>
      <c r="P266" s="174" t="str">
        <f t="shared" si="25"/>
        <v/>
      </c>
      <c r="Q266" s="174" t="str">
        <f t="shared" si="25"/>
        <v/>
      </c>
      <c r="R266" s="174" t="str">
        <f t="shared" si="25"/>
        <v/>
      </c>
      <c r="S266" s="174" t="str">
        <f t="shared" si="25"/>
        <v/>
      </c>
      <c r="T266" s="174" t="str">
        <f t="shared" si="25"/>
        <v/>
      </c>
      <c r="U266" s="174" t="str">
        <f t="shared" si="25"/>
        <v/>
      </c>
      <c r="V266" s="174" t="str">
        <f t="shared" si="25"/>
        <v/>
      </c>
      <c r="W266" s="174" t="str">
        <f t="shared" si="25"/>
        <v/>
      </c>
      <c r="X266" s="174" t="str">
        <f t="shared" si="25"/>
        <v/>
      </c>
      <c r="Y266" s="174" t="str">
        <f t="shared" si="25"/>
        <v/>
      </c>
      <c r="Z266" s="174" t="str">
        <f t="shared" si="25"/>
        <v/>
      </c>
      <c r="AA266" s="174" t="str">
        <f t="shared" si="25"/>
        <v/>
      </c>
      <c r="AB266" s="174" t="str">
        <f t="shared" si="25"/>
        <v/>
      </c>
      <c r="AC266" s="174" t="str">
        <f t="shared" si="25"/>
        <v/>
      </c>
      <c r="AD266" s="174" t="str">
        <f t="shared" si="25"/>
        <v/>
      </c>
      <c r="AE266" s="174" t="str">
        <f t="shared" si="25"/>
        <v/>
      </c>
      <c r="AF266" s="174" t="str">
        <f t="shared" si="25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6">IF(B234&lt;100,"",B234-1500)</f>
        <v/>
      </c>
      <c r="C267" s="174" t="str">
        <f t="shared" si="26"/>
        <v/>
      </c>
      <c r="D267" s="174" t="str">
        <f t="shared" si="26"/>
        <v/>
      </c>
      <c r="E267" s="174" t="str">
        <f t="shared" si="26"/>
        <v/>
      </c>
      <c r="F267" s="174" t="str">
        <f t="shared" si="26"/>
        <v/>
      </c>
      <c r="G267" s="174" t="str">
        <f t="shared" si="26"/>
        <v/>
      </c>
      <c r="H267" s="174" t="str">
        <f t="shared" si="26"/>
        <v/>
      </c>
      <c r="I267" s="174" t="str">
        <f t="shared" si="26"/>
        <v/>
      </c>
      <c r="J267" s="174" t="str">
        <f t="shared" si="26"/>
        <v/>
      </c>
      <c r="K267" s="174" t="str">
        <f t="shared" si="26"/>
        <v/>
      </c>
      <c r="L267" s="174" t="str">
        <f t="shared" si="26"/>
        <v/>
      </c>
      <c r="M267" s="174" t="str">
        <f t="shared" si="26"/>
        <v/>
      </c>
      <c r="N267" s="174" t="str">
        <f t="shared" si="26"/>
        <v/>
      </c>
      <c r="O267" s="174" t="str">
        <f t="shared" si="26"/>
        <v/>
      </c>
      <c r="P267" s="174" t="str">
        <f t="shared" si="26"/>
        <v/>
      </c>
      <c r="Q267" s="174" t="str">
        <f t="shared" si="26"/>
        <v/>
      </c>
      <c r="R267" s="174" t="str">
        <f t="shared" si="26"/>
        <v/>
      </c>
      <c r="S267" s="174" t="str">
        <f t="shared" si="26"/>
        <v/>
      </c>
      <c r="T267" s="174" t="str">
        <f t="shared" si="26"/>
        <v/>
      </c>
      <c r="U267" s="174" t="str">
        <f t="shared" si="26"/>
        <v/>
      </c>
      <c r="V267" s="174" t="str">
        <f t="shared" si="26"/>
        <v/>
      </c>
      <c r="W267" s="174" t="str">
        <f t="shared" si="26"/>
        <v/>
      </c>
      <c r="X267" s="174" t="str">
        <f t="shared" si="26"/>
        <v/>
      </c>
      <c r="Y267" s="174" t="str">
        <f t="shared" si="26"/>
        <v/>
      </c>
      <c r="Z267" s="174" t="str">
        <f t="shared" si="26"/>
        <v/>
      </c>
      <c r="AA267" s="174" t="str">
        <f t="shared" si="26"/>
        <v/>
      </c>
      <c r="AB267" s="174" t="str">
        <f t="shared" si="26"/>
        <v/>
      </c>
      <c r="AC267" s="174" t="str">
        <f t="shared" si="26"/>
        <v/>
      </c>
      <c r="AD267" s="174" t="str">
        <f t="shared" si="26"/>
        <v/>
      </c>
      <c r="AE267" s="174" t="str">
        <f t="shared" si="26"/>
        <v/>
      </c>
      <c r="AF267" s="174" t="str">
        <f t="shared" si="26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29">
    <cfRule type="expression" dxfId="1150" priority="139">
      <formula>$AH11=0</formula>
    </cfRule>
  </conditionalFormatting>
  <conditionalFormatting sqref="B8 M8 S8 AB8">
    <cfRule type="expression" dxfId="1149" priority="262">
      <formula>C$9&lt;8/24</formula>
    </cfRule>
    <cfRule type="expression" dxfId="1148" priority="261">
      <formula>AND(C$9&gt;=8/24,C$9&lt;14/24)</formula>
    </cfRule>
    <cfRule type="expression" dxfId="1147" priority="260">
      <formula>AND(C$9&gt;=14/24,C$9&lt;20/24)</formula>
    </cfRule>
  </conditionalFormatting>
  <conditionalFormatting sqref="B49:N51">
    <cfRule type="expression" dxfId="1142" priority="112">
      <formula>AND(B$9&gt;=8/24,B$9&lt;14/24)</formula>
    </cfRule>
    <cfRule type="expression" dxfId="1141" priority="111">
      <formula>AND(B$9&gt;=14/24,B$9&lt;20/24)</formula>
    </cfRule>
    <cfRule type="expression" dxfId="1140" priority="110">
      <formula>B$9&gt;=20/24</formula>
    </cfRule>
    <cfRule type="expression" dxfId="1139" priority="113">
      <formula>B$9&lt;8/24</formula>
    </cfRule>
  </conditionalFormatting>
  <conditionalFormatting sqref="B54:N54">
    <cfRule type="expression" dxfId="1138" priority="100">
      <formula>B$9&gt;=20/24</formula>
    </cfRule>
    <cfRule type="expression" dxfId="1137" priority="103">
      <formula>B$9&lt;8/24</formula>
    </cfRule>
    <cfRule type="expression" dxfId="1136" priority="102">
      <formula>AND(B$9&gt;=8/24,B$9&lt;14/24)</formula>
    </cfRule>
    <cfRule type="expression" dxfId="1135" priority="101">
      <formula>AND(B$9&gt;=14/24,B$9&lt;20/24)</formula>
    </cfRule>
  </conditionalFormatting>
  <conditionalFormatting sqref="B11:X11">
    <cfRule type="expression" dxfId="1134" priority="44">
      <formula>B$9&lt;8/24</formula>
    </cfRule>
    <cfRule type="expression" dxfId="1133" priority="43">
      <formula>AND(B$9&gt;=8/24,B$9&lt;14/24)</formula>
    </cfRule>
    <cfRule type="expression" dxfId="1132" priority="42">
      <formula>AND(B$9&gt;=14/24,B$9&lt;20/24)</formula>
    </cfRule>
    <cfRule type="expression" dxfId="1131" priority="41">
      <formula>B$9&gt;=20/24</formula>
    </cfRule>
  </conditionalFormatting>
  <conditionalFormatting sqref="B12:X14">
    <cfRule type="expression" dxfId="1130" priority="36">
      <formula>B$9&gt;=20/24</formula>
    </cfRule>
    <cfRule type="expression" dxfId="1129" priority="38">
      <formula>AND(B$9&gt;=8/24,B$9&lt;14/24)</formula>
    </cfRule>
    <cfRule type="expression" dxfId="1128" priority="39">
      <formula>B$9&lt;8/24</formula>
    </cfRule>
    <cfRule type="expression" dxfId="1127" priority="37">
      <formula>AND(B$9&gt;=14/24,B$9&lt;20/24)</formula>
    </cfRule>
  </conditionalFormatting>
  <conditionalFormatting sqref="B15:X40">
    <cfRule type="expression" dxfId="1126" priority="130">
      <formula>B$9&lt;8/24</formula>
    </cfRule>
    <cfRule type="expression" dxfId="1125" priority="127">
      <formula>B$9&gt;=20/24</formula>
    </cfRule>
    <cfRule type="expression" dxfId="1124" priority="128">
      <formula>AND(B$9&gt;=14/24,B$9&lt;20/24)</formula>
    </cfRule>
    <cfRule type="expression" dxfId="1123" priority="129">
      <formula>AND(B$9&gt;=8/24,B$9&lt;14/24)</formula>
    </cfRule>
  </conditionalFormatting>
  <conditionalFormatting sqref="B41:X41">
    <cfRule type="expression" dxfId="1122" priority="35">
      <formula>B$9&lt;8/24</formula>
    </cfRule>
    <cfRule type="expression" dxfId="1121" priority="32">
      <formula>B$9&gt;=20/24</formula>
    </cfRule>
    <cfRule type="expression" dxfId="1120" priority="34">
      <formula>AND(B$9&gt;=8/24,B$9&lt;14/24)</formula>
    </cfRule>
    <cfRule type="expression" dxfId="1119" priority="33">
      <formula>AND(B$9&gt;=14/24,B$9&lt;20/24)</formula>
    </cfRule>
  </conditionalFormatting>
  <conditionalFormatting sqref="B42:X42">
    <cfRule type="expression" dxfId="1118" priority="94">
      <formula>B$9&lt;8/24</formula>
    </cfRule>
    <cfRule type="expression" dxfId="1117" priority="93">
      <formula>AND(B$9&gt;=8/24,B$9&lt;14/24)</formula>
    </cfRule>
    <cfRule type="expression" dxfId="1116" priority="91">
      <formula>B$9&gt;=20/24</formula>
    </cfRule>
    <cfRule type="expression" dxfId="1115" priority="92">
      <formula>AND(B$9&gt;=14/24,B$9&lt;20/24)</formula>
    </cfRule>
  </conditionalFormatting>
  <conditionalFormatting sqref="B9:AF10 B220:AF220 D222:AF223 B222:B228 D224:H224 J224:AF224 D225:AF228 U241:AF241">
    <cfRule type="expression" dxfId="1114" priority="255">
      <formula>AND(B$9&gt;=8/24,B$9&lt;14/24)</formula>
    </cfRule>
    <cfRule type="expression" dxfId="1113" priority="253">
      <formula>B$9&gt;=20/24</formula>
    </cfRule>
    <cfRule type="expression" dxfId="1112" priority="256">
      <formula>B$9&lt;8/24</formula>
    </cfRule>
    <cfRule type="expression" dxfId="1111" priority="254">
      <formula>AND(B$9&gt;=14/24,B$9&lt;20/24)</formula>
    </cfRule>
  </conditionalFormatting>
  <conditionalFormatting sqref="B11:AF48">
    <cfRule type="expression" dxfId="1110" priority="40">
      <formula>B11&gt;$AG11</formula>
    </cfRule>
  </conditionalFormatting>
  <conditionalFormatting sqref="B43:AF43">
    <cfRule type="expression" dxfId="1109" priority="125">
      <formula>AND(B$9&gt;=8/24,B$9&lt;14/24)</formula>
    </cfRule>
    <cfRule type="expression" dxfId="1108" priority="126">
      <formula>B$9&lt;8/24</formula>
    </cfRule>
    <cfRule type="expression" dxfId="1107" priority="123">
      <formula>B$9&gt;=20/24</formula>
    </cfRule>
    <cfRule type="expression" dxfId="1106" priority="124">
      <formula>AND(B$9&gt;=14/24,B$9&lt;20/24)</formula>
    </cfRule>
  </conditionalFormatting>
  <conditionalFormatting sqref="B45:AF48">
    <cfRule type="expression" dxfId="1105" priority="70">
      <formula>AND(B$9&gt;=8/24,B$9&lt;14/24)</formula>
    </cfRule>
    <cfRule type="expression" dxfId="1104" priority="69">
      <formula>AND(B$9&gt;=14/24,B$9&lt;20/24)</formula>
    </cfRule>
    <cfRule type="expression" dxfId="1103" priority="68">
      <formula>B$9&gt;=20/24</formula>
    </cfRule>
    <cfRule type="expression" dxfId="1102" priority="71">
      <formula>B$9&lt;8/24</formula>
    </cfRule>
  </conditionalFormatting>
  <conditionalFormatting sqref="B49:AF66">
    <cfRule type="expression" dxfId="1101" priority="1">
      <formula>B49&gt;$AG49</formula>
    </cfRule>
  </conditionalFormatting>
  <conditionalFormatting sqref="B55:AF60">
    <cfRule type="expression" dxfId="1100" priority="5">
      <formula>B$9&lt;8/24</formula>
    </cfRule>
    <cfRule type="expression" dxfId="1099" priority="4">
      <formula>AND(B$9&gt;=8/24,B$9&lt;14/24)</formula>
    </cfRule>
    <cfRule type="expression" dxfId="1098" priority="3">
      <formula>AND(B$9&gt;=14/24,B$9&lt;20/24)</formula>
    </cfRule>
    <cfRule type="expression" dxfId="1097" priority="2">
      <formula>B$9&gt;=20/24</formula>
    </cfRule>
  </conditionalFormatting>
  <conditionalFormatting sqref="B63:AF85">
    <cfRule type="expression" dxfId="1096" priority="30">
      <formula>AND(B$9&gt;=8/24,B$9&lt;14/24)</formula>
    </cfRule>
    <cfRule type="expression" dxfId="1095" priority="31">
      <formula>B$9&lt;8/24</formula>
    </cfRule>
    <cfRule type="expression" dxfId="1094" priority="29">
      <formula>AND(B$9&gt;=14/24,B$9&lt;20/24)</formula>
    </cfRule>
    <cfRule type="expression" dxfId="1093" priority="28">
      <formula>B$9&gt;=20/24</formula>
    </cfRule>
  </conditionalFormatting>
  <conditionalFormatting sqref="B87:AF103">
    <cfRule type="expression" dxfId="1088" priority="66">
      <formula>B$9&lt;8/24</formula>
    </cfRule>
    <cfRule type="expression" dxfId="1087" priority="65">
      <formula>AND(B$9&gt;=8/24,B$9&lt;14/24)</formula>
    </cfRule>
    <cfRule type="expression" dxfId="1086" priority="64">
      <formula>AND(B$9&gt;=14/24,B$9&lt;20/24)</formula>
    </cfRule>
    <cfRule type="expression" dxfId="1085" priority="63">
      <formula>B$9&gt;=20/24</formula>
    </cfRule>
  </conditionalFormatting>
  <conditionalFormatting sqref="B105:AF112">
    <cfRule type="expression" dxfId="1084" priority="54">
      <formula>B$9&lt;8/24</formula>
    </cfRule>
    <cfRule type="expression" dxfId="1083" priority="53">
      <formula>AND(B$9&gt;=8/24,B$9&lt;14/24)</formula>
    </cfRule>
    <cfRule type="expression" dxfId="1082" priority="52">
      <formula>AND(B$9&gt;=14/24,B$9&lt;20/24)</formula>
    </cfRule>
    <cfRule type="expression" dxfId="1081" priority="51">
      <formula>B$9&gt;=20/24</formula>
    </cfRule>
  </conditionalFormatting>
  <conditionalFormatting sqref="M52:N53">
    <cfRule type="expression" dxfId="1076" priority="18">
      <formula>AND(M$9&gt;=8/24,M$9&lt;14/24)</formula>
    </cfRule>
    <cfRule type="expression" dxfId="1075" priority="16">
      <formula>M$9&gt;=20/24</formula>
    </cfRule>
    <cfRule type="expression" dxfId="1074" priority="19">
      <formula>M$9&lt;8/24</formula>
    </cfRule>
    <cfRule type="expression" dxfId="1073" priority="17">
      <formula>AND(M$9&gt;=14/24,M$9&lt;20/24)</formula>
    </cfRule>
  </conditionalFormatting>
  <conditionalFormatting sqref="O3:P3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R52:W54">
    <cfRule type="expression" dxfId="1072" priority="11">
      <formula>R$9&gt;=20/24</formula>
    </cfRule>
    <cfRule type="expression" dxfId="1071" priority="13">
      <formula>AND(R$9&gt;=8/24,R$9&lt;14/24)</formula>
    </cfRule>
    <cfRule type="expression" dxfId="1070" priority="14">
      <formula>R$9&lt;8/24</formula>
    </cfRule>
    <cfRule type="expression" dxfId="1069" priority="12">
      <formula>AND(R$9&gt;=14/24,R$9&lt;20/24)</formula>
    </cfRule>
  </conditionalFormatting>
  <conditionalFormatting sqref="R49:AA51">
    <cfRule type="expression" dxfId="1068" priority="8">
      <formula>AND(R$9&gt;=14/24,R$9&lt;20/24)</formula>
    </cfRule>
    <cfRule type="expression" dxfId="1067" priority="9">
      <formula>AND(R$9&gt;=8/24,R$9&lt;14/24)</formula>
    </cfRule>
    <cfRule type="expression" dxfId="1066" priority="10">
      <formula>R$9&lt;8/24</formula>
    </cfRule>
    <cfRule type="expression" dxfId="1065" priority="7">
      <formula>R$9&gt;=20/24</formula>
    </cfRule>
  </conditionalFormatting>
  <conditionalFormatting sqref="S8 AB8 B8 M8">
    <cfRule type="expression" dxfId="1064" priority="259">
      <formula>C$9&gt;=20/24</formula>
    </cfRule>
  </conditionalFormatting>
  <conditionalFormatting sqref="S8">
    <cfRule type="expression" dxfId="1063" priority="235">
      <formula>U$9&lt;8/24</formula>
    </cfRule>
    <cfRule type="expression" dxfId="1062" priority="234">
      <formula>AND(U$9&gt;=8/24,U$9&lt;14/24)</formula>
    </cfRule>
    <cfRule type="expression" dxfId="1061" priority="233">
      <formula>AND(U$9&gt;=14/24,U$9&lt;20/24)</formula>
    </cfRule>
    <cfRule type="expression" dxfId="1060" priority="232">
      <formula>U$9&gt;=20/24</formula>
    </cfRule>
  </conditionalFormatting>
  <conditionalFormatting sqref="T241">
    <cfRule type="expression" dxfId="1059" priority="274">
      <formula>AND(AX$9&gt;=8/24,AX$9&lt;14/24)</formula>
    </cfRule>
    <cfRule type="expression" dxfId="1058" priority="275">
      <formula>AX$9&lt;8/24</formula>
    </cfRule>
    <cfRule type="expression" dxfId="1057" priority="273">
      <formula>AND(AX$9&gt;=14/24,AX$9&lt;20/24)</formula>
    </cfRule>
    <cfRule type="expression" dxfId="1056" priority="272">
      <formula>AX$9&gt;=20/24</formula>
    </cfRule>
  </conditionalFormatting>
  <conditionalFormatting sqref="V3 AB3">
    <cfRule type="iconSet" priority="258">
      <iconSet iconSet="3TrafficLights2" reverse="1">
        <cfvo type="percent" val="0"/>
        <cfvo type="num" val="1"/>
        <cfvo type="num" val="1"/>
      </iconSet>
    </cfRule>
  </conditionalFormatting>
  <conditionalFormatting sqref="X54:AF54">
    <cfRule type="expression" dxfId="1055" priority="181">
      <formula>X$9&gt;=20/24</formula>
    </cfRule>
    <cfRule type="expression" dxfId="1054" priority="182">
      <formula>AND(X$9&gt;=14/24,X$9&lt;20/24)</formula>
    </cfRule>
    <cfRule type="expression" dxfId="1053" priority="183">
      <formula>AND(X$9&gt;=8/24,X$9&lt;14/24)</formula>
    </cfRule>
    <cfRule type="expression" dxfId="1052" priority="184">
      <formula>X$9&lt;8/24</formula>
    </cfRule>
  </conditionalFormatting>
  <conditionalFormatting sqref="Y11:AF42">
    <cfRule type="expression" dxfId="1051" priority="198">
      <formula>Y$9&lt;8/24</formula>
    </cfRule>
    <cfRule type="expression" dxfId="1050" priority="197">
      <formula>AND(Y$9&gt;=8/24,Y$9&lt;14/24)</formula>
    </cfRule>
    <cfRule type="expression" dxfId="1049" priority="196">
      <formula>AND(Y$9&gt;=14/24,Y$9&lt;20/24)</formula>
    </cfRule>
    <cfRule type="expression" dxfId="1048" priority="195">
      <formula>Y$9&gt;=20/24</formula>
    </cfRule>
  </conditionalFormatting>
  <conditionalFormatting sqref="AB8">
    <cfRule type="expression" dxfId="1047" priority="228">
      <formula>AD$9&gt;=20/24</formula>
    </cfRule>
    <cfRule type="expression" dxfId="1046" priority="229">
      <formula>AND(AD$9&gt;=14/24,AD$9&lt;20/24)</formula>
    </cfRule>
    <cfRule type="expression" dxfId="1045" priority="231">
      <formula>AD$9&lt;8/24</formula>
    </cfRule>
    <cfRule type="expression" dxfId="1044" priority="230">
      <formula>AND(AD$9&gt;=8/24,AD$9&lt;14/24)</formula>
    </cfRule>
  </conditionalFormatting>
  <conditionalFormatting sqref="AB50:AE51 AF50:AF53 X52:AE53">
    <cfRule type="expression" dxfId="1043" priority="224">
      <formula>AND(X$9&gt;=14/24,X$9&lt;20/24)</formula>
    </cfRule>
    <cfRule type="expression" dxfId="1042" priority="223">
      <formula>X$9&gt;=20/24</formula>
    </cfRule>
    <cfRule type="expression" dxfId="1041" priority="226">
      <formula>X$9&lt;8/24</formula>
    </cfRule>
    <cfRule type="expression" dxfId="1040" priority="225">
      <formula>AND(X$9&gt;=8/24,X$9&lt;14/24)</formula>
    </cfRule>
  </conditionalFormatting>
  <conditionalFormatting sqref="AB49:AF49 O49:Q54">
    <cfRule type="expression" dxfId="1039" priority="222">
      <formula>O$9&lt;8/24</formula>
    </cfRule>
    <cfRule type="expression" dxfId="1038" priority="219">
      <formula>O$9&gt;=20/24</formula>
    </cfRule>
    <cfRule type="expression" dxfId="1037" priority="220">
      <formula>AND(O$9&gt;=14/24,O$9&lt;20/24)</formula>
    </cfRule>
    <cfRule type="expression" dxfId="1036" priority="221">
      <formula>AND(O$9&gt;=8/24,O$9&lt;14/24)</formula>
    </cfRule>
  </conditionalFormatting>
  <conditionalFormatting sqref="AG44 AG61:AG62 AG66">
    <cfRule type="expression" dxfId="1035" priority="185">
      <formula>AG44&gt;$AG44</formula>
    </cfRule>
  </conditionalFormatting>
  <conditionalFormatting sqref="AG48">
    <cfRule type="expression" dxfId="1034" priority="166">
      <formula>AG$9&gt;=20/24</formula>
    </cfRule>
    <cfRule type="expression" dxfId="1033" priority="169">
      <formula>AG$9&lt;8/24</formula>
    </cfRule>
    <cfRule type="expression" dxfId="1032" priority="168">
      <formula>AND(AG$9&gt;=8/24,AG$9&lt;14/24)</formula>
    </cfRule>
    <cfRule type="expression" dxfId="1031" priority="167">
      <formula>AND(AG$9&gt;=14/24,AG$9&lt;20/24)</formula>
    </cfRule>
    <cfRule type="expression" dxfId="1030" priority="165">
      <formula>AG48&gt;$AG48</formula>
    </cfRule>
  </conditionalFormatting>
  <conditionalFormatting sqref="AG66 AG83">
    <cfRule type="expression" dxfId="1029" priority="189">
      <formula>AG$9&lt;8/24</formula>
    </cfRule>
    <cfRule type="expression" dxfId="1028" priority="188">
      <formula>AND(AG$9&gt;=8/24,AG$9&lt;14/24)</formula>
    </cfRule>
    <cfRule type="expression" dxfId="1027" priority="187">
      <formula>AND(AG$9&gt;=14/24,AG$9&lt;20/24)</formula>
    </cfRule>
    <cfRule type="expression" dxfId="1026" priority="186">
      <formula>AG$9&gt;=20/24</formula>
    </cfRule>
  </conditionalFormatting>
  <conditionalFormatting sqref="AG241">
    <cfRule type="expression" dxfId="1025" priority="265">
      <formula>AND(B$9&gt;=14/24,B$9&lt;20/24)</formula>
    </cfRule>
    <cfRule type="expression" dxfId="1024" priority="264">
      <formula>B$9&gt;=20/24</formula>
    </cfRule>
    <cfRule type="expression" dxfId="1023" priority="266">
      <formula>AND(B$9&gt;=8/24,B$9&lt;14/24)</formula>
    </cfRule>
    <cfRule type="expression" dxfId="1022" priority="267">
      <formula>B$9&lt;8/24</formula>
    </cfRule>
  </conditionalFormatting>
  <conditionalFormatting sqref="AH241:AX241">
    <cfRule type="expression" dxfId="1021" priority="268">
      <formula>AG$9&gt;=20/24</formula>
    </cfRule>
    <cfRule type="expression" dxfId="1020" priority="269">
      <formula>AND(AG$9&gt;=14/24,AG$9&lt;20/24)</formula>
    </cfRule>
    <cfRule type="expression" dxfId="1019" priority="270">
      <formula>AND(AG$9&gt;=8/24,AG$9&lt;14/24)</formula>
    </cfRule>
    <cfRule type="expression" dxfId="1018" priority="271">
      <formula>AG$9&lt;8/24</formula>
    </cfRule>
  </conditionalFormatting>
  <conditionalFormatting sqref="AL4:AL6">
    <cfRule type="iconSet" priority="252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142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140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160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48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236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276">
      <iconSet iconSet="3TrafficLights2" reverse="1">
        <cfvo type="percent" val="0"/>
        <cfvo type="num" val="1"/>
        <cfvo type="num" val="1"/>
      </iconSet>
    </cfRule>
  </conditionalFormatting>
  <conditionalFormatting sqref="AL75:AM79">
    <cfRule type="expression" dxfId="1017" priority="279">
      <formula>AND(AJ$9&gt;=8/24,AJ$9&lt;14/24)</formula>
    </cfRule>
    <cfRule type="expression" dxfId="1016" priority="280">
      <formula>AJ$9&lt;8/24</formula>
    </cfRule>
    <cfRule type="expression" dxfId="1015" priority="277">
      <formula>AJ$9&gt;=20/24</formula>
    </cfRule>
    <cfRule type="expression" dxfId="1014" priority="278">
      <formula>AND(AJ$9&gt;=14/24,AJ$9&lt;20/24)</formula>
    </cfRule>
  </conditionalFormatting>
  <conditionalFormatting sqref="AL74:AN74 AL80:AN80">
    <cfRule type="expression" dxfId="1013" priority="26">
      <formula>AND(AL$9&gt;=8/24,AL$9&lt;14/24)</formula>
    </cfRule>
    <cfRule type="expression" dxfId="1012" priority="25">
      <formula>AND(AL$9&gt;=14/24,AL$9&lt;20/24)</formula>
    </cfRule>
    <cfRule type="expression" dxfId="1011" priority="24">
      <formula>AL$9&gt;=20/24</formula>
    </cfRule>
    <cfRule type="expression" dxfId="1010" priority="27">
      <formula>AL$9&lt;8/24</formula>
    </cfRule>
  </conditionalFormatting>
  <conditionalFormatting sqref="AN75:AN78">
    <cfRule type="expression" dxfId="1009" priority="22">
      <formula>AND(AN$9&gt;=8/24,AN$9&lt;14/24)</formula>
    </cfRule>
    <cfRule type="expression" dxfId="1008" priority="21">
      <formula>AND(AN$9&gt;=14/24,AN$9&lt;20/24)</formula>
    </cfRule>
    <cfRule type="expression" dxfId="1007" priority="20">
      <formula>AN$9&gt;=20/24</formula>
    </cfRule>
    <cfRule type="expression" dxfId="1006" priority="23">
      <formula>AN$9&lt;8/24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8" id="{5923D2B6-B313-4DB2-8F97-239E3FE362DD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55" id="{3B582592-ACA8-4BE6-8A14-9C7FAE9C14CA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C4FBF88A-F59F-4EFB-BB4F-12A01D9C186F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A718E5C3-C647-4A56-9BC4-55B0E03390D6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m:sqref>B113:C113</xm:sqref>
        </x14:conditionalFormatting>
        <x14:conditionalFormatting xmlns:xm="http://schemas.microsoft.com/office/excel/2006/main">
          <x14:cfRule type="expression" priority="60" id="{08B78120-177B-42A4-A8A5-C3F3AF795F9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1" id="{59755578-A872-4BD1-B6E7-D880929B86C0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2" id="{4A86B97E-B5D5-4602-B18C-A7AF3F335E3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59" id="{19EC3803-A5EF-414F-847A-558CA51A6F8A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155" id="{CB5B3D76-0D1C-405C-8984-ED9D2F9B7F55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54" id="{2BB0E7A0-93A4-4AC3-982D-1F4DEE8769C3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53" id="{0093247A-5F92-4FFF-BB2B-29F890D1A5CF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56" id="{9F7411C0-A5EF-4281-8F4D-FD4ED43408F1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J274"/>
  <sheetViews>
    <sheetView workbookViewId="0">
      <pane ySplit="10" topLeftCell="A20" activePane="bottomLeft" state="frozen"/>
      <selection activeCell="U80" sqref="U80"/>
      <selection pane="bottomLeft" activeCell="M32" sqref="M32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/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str">
        <f ca="1">"2079/"&amp;"09/"&amp;INT(MID(CELL("filename",D6),FIND("]",CELL("filename",D6))+1,200))</f>
        <v>2079/09/2</v>
      </c>
      <c r="C4" s="771"/>
      <c r="D4" s="771"/>
      <c r="E4" s="772" t="str">
        <f ca="1">"2079/"&amp;"09/"&amp;INT(MID(CELL("filename",G6),FIND("]",CELL("filename",G6))+1,200))</f>
        <v>2079/09/2</v>
      </c>
      <c r="F4" s="772"/>
      <c r="G4" s="772"/>
      <c r="H4" s="772" t="str">
        <f ca="1">TEXT(E4,"dddd")</f>
        <v>Saturday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299</v>
      </c>
      <c r="C5" s="30">
        <f t="shared" si="0"/>
        <v>270</v>
      </c>
      <c r="D5" s="30">
        <f t="shared" si="0"/>
        <v>265</v>
      </c>
      <c r="E5" s="30">
        <f t="shared" si="0"/>
        <v>254</v>
      </c>
      <c r="F5" s="30">
        <f t="shared" si="0"/>
        <v>261.8</v>
      </c>
      <c r="G5" s="30">
        <f t="shared" si="0"/>
        <v>335</v>
      </c>
      <c r="H5" s="30">
        <f t="shared" si="0"/>
        <v>330</v>
      </c>
      <c r="I5" s="30">
        <f t="shared" si="0"/>
        <v>357</v>
      </c>
      <c r="J5" s="30">
        <f t="shared" si="0"/>
        <v>368</v>
      </c>
      <c r="K5" s="30">
        <f t="shared" si="0"/>
        <v>460.3</v>
      </c>
      <c r="L5" s="30">
        <f t="shared" si="0"/>
        <v>361.09999999999997</v>
      </c>
      <c r="M5" s="30">
        <f t="shared" si="0"/>
        <v>229.7</v>
      </c>
      <c r="N5" s="30">
        <f t="shared" si="0"/>
        <v>357.90000000000003</v>
      </c>
      <c r="O5" s="30">
        <f t="shared" si="0"/>
        <v>463.9</v>
      </c>
      <c r="P5" s="30">
        <f t="shared" si="0"/>
        <v>481.8</v>
      </c>
      <c r="Q5" s="30">
        <f t="shared" si="0"/>
        <v>491</v>
      </c>
      <c r="R5" s="30">
        <f t="shared" si="0"/>
        <v>466.4</v>
      </c>
      <c r="S5" s="30">
        <f t="shared" si="0"/>
        <v>490</v>
      </c>
      <c r="T5" s="30">
        <f t="shared" si="0"/>
        <v>493.4</v>
      </c>
      <c r="U5" s="30">
        <f t="shared" si="0"/>
        <v>467.2</v>
      </c>
      <c r="V5" s="30">
        <f t="shared" si="0"/>
        <v>467.2</v>
      </c>
      <c r="W5" s="30">
        <f t="shared" si="0"/>
        <v>489.4</v>
      </c>
      <c r="X5" s="30">
        <f t="shared" si="0"/>
        <v>465.6</v>
      </c>
      <c r="Y5" s="30">
        <f t="shared" si="0"/>
        <v>496.90000000000003</v>
      </c>
      <c r="Z5" s="30">
        <f t="shared" si="0"/>
        <v>420.5</v>
      </c>
      <c r="AA5" s="30">
        <f t="shared" si="0"/>
        <v>442.8</v>
      </c>
      <c r="AB5" s="30">
        <f t="shared" si="0"/>
        <v>440.1</v>
      </c>
      <c r="AC5" s="30">
        <f t="shared" si="0"/>
        <v>417.7</v>
      </c>
      <c r="AD5" s="30">
        <f t="shared" si="0"/>
        <v>412.2</v>
      </c>
      <c r="AE5" s="30">
        <f t="shared" si="0"/>
        <v>411.29999999999995</v>
      </c>
      <c r="AF5" s="30">
        <f>B78</f>
        <v>374.2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1470MW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Load=972</v>
      </c>
      <c r="B7" s="35">
        <f t="shared" ref="B7:AF7" si="1">B85</f>
        <v>1120.8399999999999</v>
      </c>
      <c r="C7" s="35">
        <f t="shared" si="1"/>
        <v>1016.14</v>
      </c>
      <c r="D7" s="35">
        <f t="shared" si="1"/>
        <v>991.33999999999992</v>
      </c>
      <c r="E7" s="35">
        <f t="shared" si="1"/>
        <v>972.43999999999983</v>
      </c>
      <c r="F7" s="35">
        <f t="shared" si="1"/>
        <v>984.04</v>
      </c>
      <c r="G7" s="35">
        <f t="shared" si="1"/>
        <v>989.83999999999992</v>
      </c>
      <c r="H7" s="35">
        <f t="shared" si="1"/>
        <v>1063.54</v>
      </c>
      <c r="I7" s="35">
        <f t="shared" si="1"/>
        <v>1161.3399999999999</v>
      </c>
      <c r="J7" s="35">
        <f t="shared" si="1"/>
        <v>1244.8399999999999</v>
      </c>
      <c r="K7" s="35">
        <f t="shared" si="1"/>
        <v>1348.54</v>
      </c>
      <c r="L7" s="35">
        <f t="shared" si="1"/>
        <v>1462.94</v>
      </c>
      <c r="M7" s="35">
        <f t="shared" si="1"/>
        <v>1470.2399999999998</v>
      </c>
      <c r="N7" s="35">
        <f>N85</f>
        <v>1381.24</v>
      </c>
      <c r="O7" s="35">
        <f t="shared" si="1"/>
        <v>1497.64</v>
      </c>
      <c r="P7" s="35">
        <f t="shared" si="1"/>
        <v>1451.7399999999998</v>
      </c>
      <c r="Q7" s="35">
        <f t="shared" si="1"/>
        <v>1356.34</v>
      </c>
      <c r="R7" s="35">
        <f t="shared" si="1"/>
        <v>1317.8899999999999</v>
      </c>
      <c r="S7" s="35">
        <f t="shared" si="1"/>
        <v>1294.94</v>
      </c>
      <c r="T7" s="35">
        <f t="shared" si="1"/>
        <v>1305.74</v>
      </c>
      <c r="U7" s="35">
        <f t="shared" si="1"/>
        <v>1292.3400000000001</v>
      </c>
      <c r="V7" s="35">
        <f t="shared" si="1"/>
        <v>1431.44</v>
      </c>
      <c r="W7" s="35">
        <f t="shared" si="1"/>
        <v>1619.44</v>
      </c>
      <c r="X7" s="35">
        <f t="shared" si="1"/>
        <v>1737.2399999999998</v>
      </c>
      <c r="Y7" s="35">
        <f t="shared" si="1"/>
        <v>1770.7399999999998</v>
      </c>
      <c r="Z7" s="35">
        <f t="shared" si="1"/>
        <v>1725.04</v>
      </c>
      <c r="AA7" s="35">
        <f t="shared" si="1"/>
        <v>1648.6399999999999</v>
      </c>
      <c r="AB7" s="35">
        <f t="shared" si="1"/>
        <v>1668.1399999999999</v>
      </c>
      <c r="AC7" s="35">
        <f t="shared" si="1"/>
        <v>1637.3399999999997</v>
      </c>
      <c r="AD7" s="35">
        <f t="shared" si="1"/>
        <v>1544.94</v>
      </c>
      <c r="AE7" s="35">
        <f t="shared" si="1"/>
        <v>1268.04</v>
      </c>
      <c r="AF7" s="35">
        <f t="shared" si="1"/>
        <v>1104.04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20.5</v>
      </c>
      <c r="C11" s="45">
        <v>20.9</v>
      </c>
      <c r="D11" s="45">
        <v>20.5</v>
      </c>
      <c r="E11" s="45">
        <v>20.5</v>
      </c>
      <c r="F11" s="45">
        <v>19.899999999999999</v>
      </c>
      <c r="G11" s="45">
        <v>21.3</v>
      </c>
      <c r="H11" s="45">
        <v>21.3</v>
      </c>
      <c r="I11" s="45">
        <v>20.7</v>
      </c>
      <c r="J11" s="45">
        <v>20.7</v>
      </c>
      <c r="K11" s="45">
        <v>20.7</v>
      </c>
      <c r="L11" s="45">
        <v>20.7</v>
      </c>
      <c r="M11" s="45">
        <v>20.7</v>
      </c>
      <c r="N11" s="45">
        <v>20.7</v>
      </c>
      <c r="O11" s="45">
        <v>20.7</v>
      </c>
      <c r="P11" s="45">
        <v>20.7</v>
      </c>
      <c r="Q11" s="45">
        <v>19.399999999999999</v>
      </c>
      <c r="R11" s="45">
        <v>19.399999999999999</v>
      </c>
      <c r="S11" s="45">
        <v>19.399999999999999</v>
      </c>
      <c r="T11" s="45">
        <v>19.399999999999999</v>
      </c>
      <c r="U11" s="45">
        <v>19.600000000000001</v>
      </c>
      <c r="V11" s="45">
        <v>19.600000000000001</v>
      </c>
      <c r="W11" s="45">
        <v>19.600000000000001</v>
      </c>
      <c r="X11" s="45">
        <v>19.600000000000001</v>
      </c>
      <c r="Y11" s="45">
        <v>19.600000000000001</v>
      </c>
      <c r="Z11" s="45">
        <v>19.600000000000001</v>
      </c>
      <c r="AA11" s="45">
        <v>19.600000000000001</v>
      </c>
      <c r="AB11" s="45">
        <v>19.600000000000001</v>
      </c>
      <c r="AC11" s="45">
        <v>19.600000000000001</v>
      </c>
      <c r="AD11" s="45">
        <v>19.600000000000001</v>
      </c>
      <c r="AE11" s="45">
        <v>21.2</v>
      </c>
      <c r="AF11" s="45">
        <v>18.8</v>
      </c>
      <c r="AG11" s="46">
        <v>52.4</v>
      </c>
      <c r="AH11" s="47">
        <f t="shared" ref="AH11:AH74" si="2">MAX(B11:AF11)</f>
        <v>21.3</v>
      </c>
      <c r="AI11" s="48">
        <f t="shared" ref="AI11:AI74" si="3">MIN(B11:AF11)</f>
        <v>18.8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37.9</v>
      </c>
      <c r="C12" s="45">
        <v>37.9</v>
      </c>
      <c r="D12" s="45">
        <v>38.299999999999997</v>
      </c>
      <c r="E12" s="45">
        <v>38.299999999999997</v>
      </c>
      <c r="F12" s="45">
        <v>38.1</v>
      </c>
      <c r="G12" s="45">
        <v>37.1</v>
      </c>
      <c r="H12" s="45">
        <v>37.9</v>
      </c>
      <c r="I12" s="45">
        <v>37.9</v>
      </c>
      <c r="J12" s="45">
        <v>37.9</v>
      </c>
      <c r="K12" s="45">
        <v>37.9</v>
      </c>
      <c r="L12" s="45">
        <v>37.9</v>
      </c>
      <c r="M12" s="45">
        <v>37.9</v>
      </c>
      <c r="N12" s="45">
        <v>37.9</v>
      </c>
      <c r="O12" s="45">
        <v>37.9</v>
      </c>
      <c r="P12" s="45">
        <v>37.9</v>
      </c>
      <c r="Q12" s="45">
        <v>37.9</v>
      </c>
      <c r="R12" s="45">
        <v>37.9</v>
      </c>
      <c r="S12" s="45">
        <v>37.9</v>
      </c>
      <c r="T12" s="45">
        <v>37.9</v>
      </c>
      <c r="U12" s="45">
        <v>37</v>
      </c>
      <c r="V12" s="45">
        <v>37</v>
      </c>
      <c r="W12" s="45">
        <v>37</v>
      </c>
      <c r="X12" s="45">
        <v>37</v>
      </c>
      <c r="Y12" s="45">
        <v>37</v>
      </c>
      <c r="Z12" s="45">
        <v>37</v>
      </c>
      <c r="AA12" s="45">
        <v>37</v>
      </c>
      <c r="AB12" s="45">
        <v>37</v>
      </c>
      <c r="AC12" s="45">
        <v>37</v>
      </c>
      <c r="AD12" s="45">
        <v>37</v>
      </c>
      <c r="AE12" s="45">
        <v>36.6</v>
      </c>
      <c r="AF12" s="45">
        <v>37.4</v>
      </c>
      <c r="AG12" s="50">
        <v>50</v>
      </c>
      <c r="AH12" s="47">
        <f t="shared" si="2"/>
        <v>38.299999999999997</v>
      </c>
      <c r="AI12" s="48">
        <f t="shared" si="3"/>
        <v>36.6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21.6</v>
      </c>
      <c r="C13" s="45">
        <v>20.2</v>
      </c>
      <c r="D13" s="45">
        <v>19.5</v>
      </c>
      <c r="E13" s="45">
        <v>19.5</v>
      </c>
      <c r="F13" s="45">
        <v>19.600000000000001</v>
      </c>
      <c r="G13" s="45">
        <v>19.399999999999999</v>
      </c>
      <c r="H13" s="45">
        <v>19.600000000000001</v>
      </c>
      <c r="I13" s="45">
        <v>19.600000000000001</v>
      </c>
      <c r="J13" s="45">
        <v>19.600000000000001</v>
      </c>
      <c r="K13" s="45">
        <v>19.600000000000001</v>
      </c>
      <c r="L13" s="45">
        <v>19.600000000000001</v>
      </c>
      <c r="M13" s="45">
        <v>19.600000000000001</v>
      </c>
      <c r="N13" s="45">
        <v>19.600000000000001</v>
      </c>
      <c r="O13" s="45">
        <v>19.600000000000001</v>
      </c>
      <c r="P13" s="45">
        <v>19.600000000000001</v>
      </c>
      <c r="Q13" s="45">
        <v>19.600000000000001</v>
      </c>
      <c r="R13" s="45">
        <v>19.600000000000001</v>
      </c>
      <c r="S13" s="45">
        <v>19.600000000000001</v>
      </c>
      <c r="T13" s="45">
        <v>19.600000000000001</v>
      </c>
      <c r="U13" s="45">
        <v>19.600000000000001</v>
      </c>
      <c r="V13" s="45">
        <v>19.600000000000001</v>
      </c>
      <c r="W13" s="45">
        <v>19.600000000000001</v>
      </c>
      <c r="X13" s="45">
        <v>19.600000000000001</v>
      </c>
      <c r="Y13" s="45">
        <v>19.600000000000001</v>
      </c>
      <c r="Z13" s="45">
        <v>19.600000000000001</v>
      </c>
      <c r="AA13" s="45">
        <v>19.600000000000001</v>
      </c>
      <c r="AB13" s="45">
        <v>19.600000000000001</v>
      </c>
      <c r="AC13" s="45">
        <v>19.600000000000001</v>
      </c>
      <c r="AD13" s="45">
        <v>19.600000000000001</v>
      </c>
      <c r="AE13" s="45">
        <v>21.2</v>
      </c>
      <c r="AF13" s="45">
        <v>21.2</v>
      </c>
      <c r="AG13" s="50">
        <v>45</v>
      </c>
      <c r="AH13" s="47">
        <f t="shared" si="2"/>
        <v>21.6</v>
      </c>
      <c r="AI13" s="48">
        <f t="shared" si="3"/>
        <v>19.399999999999999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11</v>
      </c>
      <c r="C14" s="45">
        <v>11</v>
      </c>
      <c r="D14" s="45">
        <v>11</v>
      </c>
      <c r="E14" s="45">
        <v>11</v>
      </c>
      <c r="F14" s="45">
        <v>11</v>
      </c>
      <c r="G14" s="45">
        <v>10</v>
      </c>
      <c r="H14" s="45">
        <v>10</v>
      </c>
      <c r="I14" s="45">
        <v>10</v>
      </c>
      <c r="J14" s="45">
        <v>10</v>
      </c>
      <c r="K14" s="45">
        <v>10</v>
      </c>
      <c r="L14" s="45">
        <v>10</v>
      </c>
      <c r="M14" s="45">
        <v>10</v>
      </c>
      <c r="N14" s="45">
        <v>10</v>
      </c>
      <c r="O14" s="45">
        <v>10</v>
      </c>
      <c r="P14" s="45">
        <v>10</v>
      </c>
      <c r="Q14" s="45">
        <v>10</v>
      </c>
      <c r="R14" s="45">
        <v>10</v>
      </c>
      <c r="S14" s="45">
        <v>10</v>
      </c>
      <c r="T14" s="45">
        <v>10</v>
      </c>
      <c r="U14" s="45">
        <v>10</v>
      </c>
      <c r="V14" s="45">
        <v>10</v>
      </c>
      <c r="W14" s="45">
        <v>10</v>
      </c>
      <c r="X14" s="45">
        <v>10</v>
      </c>
      <c r="Y14" s="45">
        <v>10</v>
      </c>
      <c r="Z14" s="45">
        <v>10</v>
      </c>
      <c r="AA14" s="45">
        <v>10</v>
      </c>
      <c r="AB14" s="45">
        <v>10</v>
      </c>
      <c r="AC14" s="45">
        <v>10</v>
      </c>
      <c r="AD14" s="45">
        <v>10</v>
      </c>
      <c r="AE14" s="45">
        <v>11</v>
      </c>
      <c r="AF14" s="45">
        <v>11</v>
      </c>
      <c r="AG14" s="50">
        <v>42</v>
      </c>
      <c r="AH14" s="47">
        <f t="shared" si="2"/>
        <v>11</v>
      </c>
      <c r="AI14" s="48">
        <f t="shared" si="3"/>
        <v>10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17</v>
      </c>
      <c r="C15" s="45">
        <v>17</v>
      </c>
      <c r="D15" s="45">
        <v>17</v>
      </c>
      <c r="E15" s="45">
        <v>17</v>
      </c>
      <c r="F15" s="45">
        <v>17</v>
      </c>
      <c r="G15" s="45">
        <v>17</v>
      </c>
      <c r="H15" s="45">
        <v>17</v>
      </c>
      <c r="I15" s="45">
        <v>17</v>
      </c>
      <c r="J15" s="45">
        <v>17</v>
      </c>
      <c r="K15" s="45">
        <v>17</v>
      </c>
      <c r="L15" s="45">
        <v>17</v>
      </c>
      <c r="M15" s="45">
        <v>17</v>
      </c>
      <c r="N15" s="45">
        <v>17</v>
      </c>
      <c r="O15" s="45">
        <v>17</v>
      </c>
      <c r="P15" s="45">
        <v>17</v>
      </c>
      <c r="Q15" s="45">
        <v>17</v>
      </c>
      <c r="R15" s="45">
        <v>17</v>
      </c>
      <c r="S15" s="45">
        <v>17</v>
      </c>
      <c r="T15" s="45">
        <v>17</v>
      </c>
      <c r="U15" s="45">
        <v>17</v>
      </c>
      <c r="V15" s="45">
        <v>17</v>
      </c>
      <c r="W15" s="45">
        <v>17</v>
      </c>
      <c r="X15" s="45">
        <v>17</v>
      </c>
      <c r="Y15" s="45">
        <v>17</v>
      </c>
      <c r="Z15" s="45">
        <v>17</v>
      </c>
      <c r="AA15" s="45">
        <v>17</v>
      </c>
      <c r="AB15" s="45">
        <v>17</v>
      </c>
      <c r="AC15" s="45">
        <v>17</v>
      </c>
      <c r="AD15" s="45">
        <v>17</v>
      </c>
      <c r="AE15" s="45">
        <v>17</v>
      </c>
      <c r="AF15" s="45">
        <v>17</v>
      </c>
      <c r="AG15" s="50">
        <v>36</v>
      </c>
      <c r="AH15" s="47">
        <f t="shared" si="2"/>
        <v>17</v>
      </c>
      <c r="AI15" s="48">
        <f t="shared" si="3"/>
        <v>17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9.8000000000000007</v>
      </c>
      <c r="C16" s="45">
        <v>9.8000000000000007</v>
      </c>
      <c r="D16" s="45">
        <v>9.8000000000000007</v>
      </c>
      <c r="E16" s="45">
        <v>9.8000000000000007</v>
      </c>
      <c r="F16" s="45">
        <v>9.8000000000000007</v>
      </c>
      <c r="G16" s="45">
        <v>9.8000000000000007</v>
      </c>
      <c r="H16" s="45">
        <v>9.8000000000000007</v>
      </c>
      <c r="I16" s="45">
        <v>10.1</v>
      </c>
      <c r="J16" s="45">
        <v>10.1</v>
      </c>
      <c r="K16" s="45">
        <v>10.1</v>
      </c>
      <c r="L16" s="45">
        <v>10.1</v>
      </c>
      <c r="M16" s="45">
        <v>10.1</v>
      </c>
      <c r="N16" s="45">
        <v>10.1</v>
      </c>
      <c r="O16" s="45">
        <v>10.1</v>
      </c>
      <c r="P16" s="45">
        <v>10.1</v>
      </c>
      <c r="Q16" s="45">
        <v>10.1</v>
      </c>
      <c r="R16" s="45">
        <v>10.1</v>
      </c>
      <c r="S16" s="45">
        <v>10.1</v>
      </c>
      <c r="T16" s="45">
        <v>10.1</v>
      </c>
      <c r="U16" s="45">
        <v>10.1</v>
      </c>
      <c r="V16" s="45">
        <v>10.1</v>
      </c>
      <c r="W16" s="45">
        <v>10.1</v>
      </c>
      <c r="X16" s="45">
        <v>10.1</v>
      </c>
      <c r="Y16" s="45">
        <v>10.1</v>
      </c>
      <c r="Z16" s="45">
        <v>10.1</v>
      </c>
      <c r="AA16" s="45">
        <v>10.1</v>
      </c>
      <c r="AB16" s="45">
        <v>10.1</v>
      </c>
      <c r="AC16" s="45">
        <v>10.1</v>
      </c>
      <c r="AD16" s="45">
        <v>10.1</v>
      </c>
      <c r="AE16" s="45">
        <v>9.8000000000000007</v>
      </c>
      <c r="AF16" s="45">
        <v>9.1999999999999993</v>
      </c>
      <c r="AG16" s="51">
        <v>30</v>
      </c>
      <c r="AH16" s="47">
        <f t="shared" si="2"/>
        <v>10.1</v>
      </c>
      <c r="AI16" s="48">
        <f t="shared" si="3"/>
        <v>9.1999999999999993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8.8000000000000007</v>
      </c>
      <c r="C17" s="45">
        <v>8.8000000000000007</v>
      </c>
      <c r="D17" s="45">
        <v>8.8000000000000007</v>
      </c>
      <c r="E17" s="45">
        <v>8.8000000000000007</v>
      </c>
      <c r="F17" s="45">
        <v>8.8000000000000007</v>
      </c>
      <c r="G17" s="45">
        <v>8.8000000000000007</v>
      </c>
      <c r="H17" s="45">
        <v>8.8000000000000007</v>
      </c>
      <c r="I17" s="45">
        <v>8.5</v>
      </c>
      <c r="J17" s="45">
        <v>8.5</v>
      </c>
      <c r="K17" s="45">
        <v>8.5</v>
      </c>
      <c r="L17" s="45">
        <v>8.5</v>
      </c>
      <c r="M17" s="45">
        <v>8.5</v>
      </c>
      <c r="N17" s="45">
        <v>8.5</v>
      </c>
      <c r="O17" s="45">
        <v>8.5</v>
      </c>
      <c r="P17" s="45">
        <v>8.5</v>
      </c>
      <c r="Q17" s="45">
        <v>8.5</v>
      </c>
      <c r="R17" s="45">
        <v>8.5</v>
      </c>
      <c r="S17" s="45">
        <v>8.5</v>
      </c>
      <c r="T17" s="45">
        <v>8.5</v>
      </c>
      <c r="U17" s="45">
        <v>8.5</v>
      </c>
      <c r="V17" s="45">
        <v>8.5</v>
      </c>
      <c r="W17" s="45">
        <v>8.5</v>
      </c>
      <c r="X17" s="45">
        <v>8.5</v>
      </c>
      <c r="Y17" s="45">
        <v>8.5</v>
      </c>
      <c r="Z17" s="45">
        <v>8.5</v>
      </c>
      <c r="AA17" s="45">
        <v>8.5</v>
      </c>
      <c r="AB17" s="45">
        <v>8.5</v>
      </c>
      <c r="AC17" s="45">
        <v>8.5</v>
      </c>
      <c r="AD17" s="45">
        <v>8.5</v>
      </c>
      <c r="AE17" s="45">
        <v>9.3000000000000007</v>
      </c>
      <c r="AF17" s="45">
        <v>9.3000000000000007</v>
      </c>
      <c r="AG17" s="50">
        <v>24.2</v>
      </c>
      <c r="AH17" s="47">
        <f t="shared" si="2"/>
        <v>9.3000000000000007</v>
      </c>
      <c r="AI17" s="48">
        <f t="shared" si="3"/>
        <v>8.5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0">
        <v>28</v>
      </c>
      <c r="AH18" s="47">
        <f t="shared" si="2"/>
        <v>13</v>
      </c>
      <c r="AI18" s="48">
        <f t="shared" si="3"/>
        <v>13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>
        <v>10</v>
      </c>
      <c r="L20" s="45">
        <v>10</v>
      </c>
      <c r="M20" s="45">
        <v>10</v>
      </c>
      <c r="N20" s="45">
        <v>10</v>
      </c>
      <c r="O20" s="45">
        <v>10</v>
      </c>
      <c r="P20" s="45">
        <v>10</v>
      </c>
      <c r="Q20" s="45">
        <v>10</v>
      </c>
      <c r="R20" s="45">
        <v>10</v>
      </c>
      <c r="S20" s="45">
        <v>10</v>
      </c>
      <c r="T20" s="45">
        <v>10</v>
      </c>
      <c r="U20" s="45">
        <v>10</v>
      </c>
      <c r="V20" s="45">
        <v>10</v>
      </c>
      <c r="W20" s="45">
        <v>10</v>
      </c>
      <c r="X20" s="45">
        <v>10</v>
      </c>
      <c r="Y20" s="45">
        <v>10</v>
      </c>
      <c r="Z20" s="45">
        <v>10</v>
      </c>
      <c r="AA20" s="45">
        <v>10</v>
      </c>
      <c r="AB20" s="45">
        <v>10</v>
      </c>
      <c r="AC20" s="45">
        <v>10</v>
      </c>
      <c r="AD20" s="45">
        <v>10</v>
      </c>
      <c r="AE20" s="45">
        <v>10</v>
      </c>
      <c r="AF20" s="45">
        <v>10</v>
      </c>
      <c r="AG20" s="50">
        <v>25</v>
      </c>
      <c r="AH20" s="47">
        <f t="shared" si="2"/>
        <v>10</v>
      </c>
      <c r="AI20" s="48">
        <f t="shared" si="3"/>
        <v>10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0">
        <v>25</v>
      </c>
      <c r="AH22" s="47">
        <f t="shared" si="2"/>
        <v>11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9</v>
      </c>
      <c r="C24" s="45">
        <v>9</v>
      </c>
      <c r="D24" s="45">
        <v>9</v>
      </c>
      <c r="E24" s="45">
        <v>9</v>
      </c>
      <c r="F24" s="45">
        <v>9</v>
      </c>
      <c r="G24" s="45">
        <v>9</v>
      </c>
      <c r="H24" s="45">
        <v>9</v>
      </c>
      <c r="I24" s="45">
        <v>9</v>
      </c>
      <c r="J24" s="45">
        <v>9</v>
      </c>
      <c r="K24" s="45">
        <v>9</v>
      </c>
      <c r="L24" s="45">
        <v>9</v>
      </c>
      <c r="M24" s="45">
        <v>9</v>
      </c>
      <c r="N24" s="45">
        <v>9</v>
      </c>
      <c r="O24" s="45">
        <v>9</v>
      </c>
      <c r="P24" s="45">
        <v>9</v>
      </c>
      <c r="Q24" s="45">
        <v>9</v>
      </c>
      <c r="R24" s="45">
        <v>9</v>
      </c>
      <c r="S24" s="45">
        <v>9</v>
      </c>
      <c r="T24" s="45">
        <v>9</v>
      </c>
      <c r="U24" s="45">
        <v>9</v>
      </c>
      <c r="V24" s="45">
        <v>9</v>
      </c>
      <c r="W24" s="45">
        <v>9</v>
      </c>
      <c r="X24" s="45">
        <v>9</v>
      </c>
      <c r="Y24" s="45">
        <v>9</v>
      </c>
      <c r="Z24" s="45">
        <v>9</v>
      </c>
      <c r="AA24" s="45">
        <v>9</v>
      </c>
      <c r="AB24" s="45">
        <v>9</v>
      </c>
      <c r="AC24" s="45">
        <v>9</v>
      </c>
      <c r="AD24" s="45">
        <v>9</v>
      </c>
      <c r="AE24" s="45">
        <v>9.5</v>
      </c>
      <c r="AF24" s="45">
        <v>9.5</v>
      </c>
      <c r="AG24" s="50">
        <v>23.5</v>
      </c>
      <c r="AH24" s="47">
        <f t="shared" si="2"/>
        <v>9.5</v>
      </c>
      <c r="AI24" s="48">
        <f t="shared" si="3"/>
        <v>9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9.4</v>
      </c>
      <c r="C28" s="45">
        <v>9.4</v>
      </c>
      <c r="D28" s="45">
        <v>9.4</v>
      </c>
      <c r="E28" s="45">
        <v>9.4</v>
      </c>
      <c r="F28" s="45">
        <v>9.4</v>
      </c>
      <c r="G28" s="45">
        <v>9.4</v>
      </c>
      <c r="H28" s="45">
        <v>9.4</v>
      </c>
      <c r="I28" s="45">
        <v>9.4</v>
      </c>
      <c r="J28" s="45">
        <v>9.4</v>
      </c>
      <c r="K28" s="45">
        <v>9.4</v>
      </c>
      <c r="L28" s="45">
        <v>9.4</v>
      </c>
      <c r="M28" s="45">
        <v>9.4</v>
      </c>
      <c r="N28" s="45">
        <v>9.4</v>
      </c>
      <c r="O28" s="45">
        <v>9.4</v>
      </c>
      <c r="P28" s="45">
        <v>9.4</v>
      </c>
      <c r="Q28" s="45">
        <v>9.4</v>
      </c>
      <c r="R28" s="45">
        <v>9.4</v>
      </c>
      <c r="S28" s="45">
        <v>9.4</v>
      </c>
      <c r="T28" s="45">
        <v>9.4</v>
      </c>
      <c r="U28" s="45">
        <v>9.4</v>
      </c>
      <c r="V28" s="45">
        <v>9.4</v>
      </c>
      <c r="W28" s="45">
        <v>9.4</v>
      </c>
      <c r="X28" s="45">
        <v>9.4</v>
      </c>
      <c r="Y28" s="45">
        <v>9.4</v>
      </c>
      <c r="Z28" s="45">
        <v>9.4</v>
      </c>
      <c r="AA28" s="45">
        <v>9.4</v>
      </c>
      <c r="AB28" s="45">
        <v>9.4</v>
      </c>
      <c r="AC28" s="45">
        <v>9.4</v>
      </c>
      <c r="AD28" s="45">
        <v>9.4</v>
      </c>
      <c r="AE28" s="45">
        <v>13.2</v>
      </c>
      <c r="AF28" s="45">
        <v>13.2</v>
      </c>
      <c r="AG28" s="50">
        <v>22</v>
      </c>
      <c r="AH28" s="47">
        <f t="shared" si="2"/>
        <v>13.2</v>
      </c>
      <c r="AI28" s="48">
        <f t="shared" si="3"/>
        <v>9.4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7.7</v>
      </c>
      <c r="C30" s="45">
        <v>7.7</v>
      </c>
      <c r="D30" s="45">
        <v>7.7</v>
      </c>
      <c r="E30" s="45">
        <v>7.7</v>
      </c>
      <c r="F30" s="45">
        <v>7.7</v>
      </c>
      <c r="G30" s="45">
        <v>7.7</v>
      </c>
      <c r="H30" s="45">
        <v>7.7</v>
      </c>
      <c r="I30" s="45">
        <v>7.7</v>
      </c>
      <c r="J30" s="45">
        <v>7.7</v>
      </c>
      <c r="K30" s="45">
        <v>7.7</v>
      </c>
      <c r="L30" s="45">
        <v>7.7</v>
      </c>
      <c r="M30" s="45">
        <v>7.7</v>
      </c>
      <c r="N30" s="45">
        <v>7.7</v>
      </c>
      <c r="O30" s="45">
        <v>7.7</v>
      </c>
      <c r="P30" s="45">
        <v>7.7</v>
      </c>
      <c r="Q30" s="45">
        <v>7.7</v>
      </c>
      <c r="R30" s="45">
        <v>7.7</v>
      </c>
      <c r="S30" s="45">
        <v>7.7</v>
      </c>
      <c r="T30" s="45">
        <v>7.7</v>
      </c>
      <c r="U30" s="45">
        <v>7.7</v>
      </c>
      <c r="V30" s="45">
        <v>7.7</v>
      </c>
      <c r="W30" s="45">
        <v>7.7</v>
      </c>
      <c r="X30" s="45">
        <v>7.7</v>
      </c>
      <c r="Y30" s="45">
        <v>7.7</v>
      </c>
      <c r="Z30" s="45">
        <v>7.7</v>
      </c>
      <c r="AA30" s="45">
        <v>7.7</v>
      </c>
      <c r="AB30" s="45">
        <v>7.7</v>
      </c>
      <c r="AC30" s="45">
        <v>7.7</v>
      </c>
      <c r="AD30" s="45">
        <v>7.7</v>
      </c>
      <c r="AE30" s="45">
        <v>5</v>
      </c>
      <c r="AF30" s="45">
        <v>5</v>
      </c>
      <c r="AG30" s="50">
        <v>18</v>
      </c>
      <c r="AH30" s="47">
        <f t="shared" si="2"/>
        <v>7.7</v>
      </c>
      <c r="AI30" s="48">
        <f t="shared" si="3"/>
        <v>5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1.2</v>
      </c>
      <c r="C32" s="45">
        <v>1.2</v>
      </c>
      <c r="D32" s="45">
        <v>1.2</v>
      </c>
      <c r="E32" s="45">
        <v>1.2</v>
      </c>
      <c r="F32" s="45">
        <v>1.2</v>
      </c>
      <c r="G32" s="45">
        <v>1.2</v>
      </c>
      <c r="H32" s="45">
        <v>1.2</v>
      </c>
      <c r="I32" s="45">
        <v>1.2</v>
      </c>
      <c r="J32" s="45">
        <v>1.2</v>
      </c>
      <c r="K32" s="45">
        <v>1.2</v>
      </c>
      <c r="L32" s="45">
        <v>1.2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1.2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12</v>
      </c>
      <c r="H35" s="45">
        <v>12</v>
      </c>
      <c r="I35" s="45">
        <v>12</v>
      </c>
      <c r="J35" s="45">
        <v>12</v>
      </c>
      <c r="K35" s="45">
        <v>12</v>
      </c>
      <c r="L35" s="45">
        <v>12</v>
      </c>
      <c r="M35" s="45">
        <v>12</v>
      </c>
      <c r="N35" s="45">
        <v>12</v>
      </c>
      <c r="O35" s="45">
        <v>12</v>
      </c>
      <c r="P35" s="45">
        <v>12</v>
      </c>
      <c r="Q35" s="45">
        <v>12</v>
      </c>
      <c r="R35" s="45">
        <v>12</v>
      </c>
      <c r="S35" s="45">
        <v>12</v>
      </c>
      <c r="T35" s="45">
        <v>12</v>
      </c>
      <c r="U35" s="45">
        <v>12</v>
      </c>
      <c r="V35" s="45">
        <v>12</v>
      </c>
      <c r="W35" s="45">
        <v>12</v>
      </c>
      <c r="X35" s="45">
        <v>12</v>
      </c>
      <c r="Y35" s="45">
        <v>12</v>
      </c>
      <c r="Z35" s="45">
        <v>12</v>
      </c>
      <c r="AA35" s="45">
        <v>12</v>
      </c>
      <c r="AB35" s="45">
        <v>12</v>
      </c>
      <c r="AC35" s="45">
        <v>12</v>
      </c>
      <c r="AD35" s="45">
        <v>12</v>
      </c>
      <c r="AE35" s="45">
        <v>12</v>
      </c>
      <c r="AF35" s="45">
        <v>12</v>
      </c>
      <c r="AG35" s="50">
        <v>12</v>
      </c>
      <c r="AH35" s="47">
        <f t="shared" si="2"/>
        <v>12</v>
      </c>
      <c r="AI35" s="48">
        <f t="shared" si="3"/>
        <v>12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150</v>
      </c>
      <c r="C42" s="56">
        <v>150</v>
      </c>
      <c r="D42" s="56">
        <v>150</v>
      </c>
      <c r="E42" s="56">
        <v>150</v>
      </c>
      <c r="F42" s="56">
        <v>150</v>
      </c>
      <c r="G42" s="56">
        <v>150</v>
      </c>
      <c r="H42" s="56">
        <v>150</v>
      </c>
      <c r="I42" s="56">
        <v>150</v>
      </c>
      <c r="J42" s="56">
        <v>150</v>
      </c>
      <c r="K42" s="56">
        <v>150</v>
      </c>
      <c r="L42" s="56">
        <v>150</v>
      </c>
      <c r="M42" s="56">
        <v>150</v>
      </c>
      <c r="N42" s="56">
        <v>150</v>
      </c>
      <c r="O42" s="56">
        <v>150</v>
      </c>
      <c r="P42" s="56">
        <v>150</v>
      </c>
      <c r="Q42" s="56">
        <v>150</v>
      </c>
      <c r="R42" s="56">
        <v>150</v>
      </c>
      <c r="S42" s="56">
        <v>150</v>
      </c>
      <c r="T42" s="56">
        <v>150</v>
      </c>
      <c r="U42" s="56">
        <v>150</v>
      </c>
      <c r="V42" s="56">
        <v>150</v>
      </c>
      <c r="W42" s="56">
        <v>150</v>
      </c>
      <c r="X42" s="56">
        <v>150</v>
      </c>
      <c r="Y42" s="56">
        <v>150</v>
      </c>
      <c r="Z42" s="56">
        <v>150</v>
      </c>
      <c r="AA42" s="56">
        <v>150</v>
      </c>
      <c r="AB42" s="56">
        <v>150</v>
      </c>
      <c r="AC42" s="56">
        <v>150</v>
      </c>
      <c r="AD42" s="56">
        <v>150</v>
      </c>
      <c r="AE42" s="56">
        <v>150</v>
      </c>
      <c r="AF42" s="56">
        <v>150</v>
      </c>
      <c r="AG42" s="54">
        <v>85</v>
      </c>
      <c r="AH42" s="47">
        <f t="shared" si="2"/>
        <v>150</v>
      </c>
      <c r="AI42" s="48">
        <f t="shared" si="3"/>
        <v>150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v>463.09999999999997</v>
      </c>
      <c r="C44" s="60">
        <f t="shared" ref="C44:AG44" si="4">SUM(C11:C42)</f>
        <v>462.79999999999995</v>
      </c>
      <c r="D44" s="60">
        <f t="shared" si="4"/>
        <v>462.09999999999997</v>
      </c>
      <c r="E44" s="60">
        <f t="shared" si="4"/>
        <v>462.09999999999997</v>
      </c>
      <c r="F44" s="60">
        <f t="shared" si="4"/>
        <v>461.4</v>
      </c>
      <c r="G44" s="60">
        <f t="shared" si="4"/>
        <v>460.59999999999997</v>
      </c>
      <c r="H44" s="60">
        <f t="shared" si="4"/>
        <v>461.59999999999997</v>
      </c>
      <c r="I44" s="60">
        <f t="shared" si="4"/>
        <v>460.99999999999994</v>
      </c>
      <c r="J44" s="60">
        <f t="shared" si="4"/>
        <v>460.99999999999994</v>
      </c>
      <c r="K44" s="60">
        <f t="shared" si="4"/>
        <v>460.99999999999994</v>
      </c>
      <c r="L44" s="60">
        <f t="shared" si="4"/>
        <v>460.99999999999994</v>
      </c>
      <c r="M44" s="60">
        <f t="shared" si="4"/>
        <v>459.79999999999995</v>
      </c>
      <c r="N44" s="60">
        <f t="shared" si="4"/>
        <v>459.79999999999995</v>
      </c>
      <c r="O44" s="60">
        <f t="shared" si="4"/>
        <v>459.79999999999995</v>
      </c>
      <c r="P44" s="60">
        <f t="shared" si="4"/>
        <v>459.79999999999995</v>
      </c>
      <c r="Q44" s="60">
        <f t="shared" si="4"/>
        <v>458.49999999999994</v>
      </c>
      <c r="R44" s="60">
        <f t="shared" si="4"/>
        <v>458.49999999999994</v>
      </c>
      <c r="S44" s="60">
        <f t="shared" si="4"/>
        <v>458.49999999999994</v>
      </c>
      <c r="T44" s="60">
        <f t="shared" si="4"/>
        <v>458.49999999999994</v>
      </c>
      <c r="U44" s="60">
        <f t="shared" si="4"/>
        <v>457.8</v>
      </c>
      <c r="V44" s="60">
        <f t="shared" si="4"/>
        <v>457.8</v>
      </c>
      <c r="W44" s="60">
        <f t="shared" si="4"/>
        <v>457.8</v>
      </c>
      <c r="X44" s="60">
        <f t="shared" si="4"/>
        <v>457.8</v>
      </c>
      <c r="Y44" s="60">
        <f t="shared" si="4"/>
        <v>457.8</v>
      </c>
      <c r="Z44" s="60">
        <f t="shared" si="4"/>
        <v>457.8</v>
      </c>
      <c r="AA44" s="60">
        <f>SUM(AA11:AA42)</f>
        <v>457.8</v>
      </c>
      <c r="AB44" s="60">
        <f t="shared" si="4"/>
        <v>457.8</v>
      </c>
      <c r="AC44" s="60">
        <f t="shared" si="4"/>
        <v>457.8</v>
      </c>
      <c r="AD44" s="60">
        <f t="shared" si="4"/>
        <v>457.8</v>
      </c>
      <c r="AE44" s="60">
        <f>SUM(AE11:AE42)</f>
        <v>463.7</v>
      </c>
      <c r="AF44" s="60">
        <f t="shared" si="4"/>
        <v>461.5</v>
      </c>
      <c r="AG44" s="61">
        <f t="shared" si="4"/>
        <v>814.78000000000009</v>
      </c>
      <c r="AH44" s="47">
        <f t="shared" si="2"/>
        <v>463.7</v>
      </c>
      <c r="AI44" s="48">
        <f t="shared" si="3"/>
        <v>457.8</v>
      </c>
      <c r="AK44" s="49"/>
    </row>
    <row r="45" spans="1:88" x14ac:dyDescent="0.25">
      <c r="A45" s="62" t="s">
        <v>53</v>
      </c>
      <c r="B45" s="45">
        <v>50</v>
      </c>
      <c r="C45" s="45">
        <v>85</v>
      </c>
      <c r="D45" s="45">
        <v>90</v>
      </c>
      <c r="E45" s="45">
        <v>65</v>
      </c>
      <c r="F45" s="45">
        <v>40</v>
      </c>
      <c r="G45" s="45">
        <v>15</v>
      </c>
      <c r="H45" s="45">
        <v>15</v>
      </c>
      <c r="I45" s="45">
        <v>60</v>
      </c>
      <c r="J45" s="45">
        <v>45</v>
      </c>
      <c r="K45" s="45">
        <v>95</v>
      </c>
      <c r="L45" s="45">
        <v>95</v>
      </c>
      <c r="M45" s="63">
        <v>230</v>
      </c>
      <c r="N45" s="63">
        <v>250</v>
      </c>
      <c r="O45" s="45">
        <v>230</v>
      </c>
      <c r="P45" s="45">
        <v>120</v>
      </c>
      <c r="Q45" s="45">
        <v>85</v>
      </c>
      <c r="R45" s="45">
        <v>70</v>
      </c>
      <c r="S45" s="45">
        <v>70</v>
      </c>
      <c r="T45" s="45">
        <v>60</v>
      </c>
      <c r="U45" s="45">
        <v>70</v>
      </c>
      <c r="V45" s="45">
        <v>70</v>
      </c>
      <c r="W45" s="45">
        <v>100</v>
      </c>
      <c r="X45" s="45">
        <v>100</v>
      </c>
      <c r="Y45" s="45">
        <v>140</v>
      </c>
      <c r="Z45" s="45">
        <v>100</v>
      </c>
      <c r="AA45" s="45">
        <v>100</v>
      </c>
      <c r="AB45" s="45">
        <v>150</v>
      </c>
      <c r="AC45" s="45">
        <v>150</v>
      </c>
      <c r="AD45" s="45">
        <v>130</v>
      </c>
      <c r="AE45" s="45">
        <v>70</v>
      </c>
      <c r="AF45" s="45">
        <v>60</v>
      </c>
      <c r="AG45" s="51">
        <v>456</v>
      </c>
      <c r="AH45" s="47">
        <f t="shared" si="2"/>
        <v>250</v>
      </c>
      <c r="AI45" s="48">
        <f t="shared" si="3"/>
        <v>15</v>
      </c>
      <c r="AK45" s="49"/>
    </row>
    <row r="46" spans="1:88" x14ac:dyDescent="0.25">
      <c r="A46" s="64" t="s">
        <v>54</v>
      </c>
      <c r="B46" s="65">
        <v>35</v>
      </c>
      <c r="C46" s="65">
        <v>35</v>
      </c>
      <c r="D46" s="65">
        <v>35</v>
      </c>
      <c r="E46" s="65">
        <v>35</v>
      </c>
      <c r="F46" s="65">
        <v>35</v>
      </c>
      <c r="G46" s="65">
        <v>35</v>
      </c>
      <c r="H46" s="65">
        <v>35</v>
      </c>
      <c r="I46" s="65">
        <v>35</v>
      </c>
      <c r="J46" s="65">
        <v>35</v>
      </c>
      <c r="K46" s="65">
        <v>35</v>
      </c>
      <c r="L46" s="65">
        <v>35</v>
      </c>
      <c r="M46" s="65">
        <v>35</v>
      </c>
      <c r="N46" s="65">
        <v>35</v>
      </c>
      <c r="O46" s="65">
        <v>35</v>
      </c>
      <c r="P46" s="65">
        <v>35</v>
      </c>
      <c r="Q46" s="65">
        <v>35</v>
      </c>
      <c r="R46" s="65">
        <v>35</v>
      </c>
      <c r="S46" s="65">
        <v>35</v>
      </c>
      <c r="T46" s="65">
        <v>35</v>
      </c>
      <c r="U46" s="65">
        <v>8</v>
      </c>
      <c r="V46" s="65">
        <v>35</v>
      </c>
      <c r="W46" s="65">
        <v>35</v>
      </c>
      <c r="X46" s="65">
        <v>41</v>
      </c>
      <c r="Y46" s="65">
        <v>41</v>
      </c>
      <c r="Z46" s="65">
        <v>41</v>
      </c>
      <c r="AA46" s="65">
        <v>41</v>
      </c>
      <c r="AB46" s="65">
        <v>41</v>
      </c>
      <c r="AC46" s="65">
        <v>41</v>
      </c>
      <c r="AD46" s="65">
        <v>41</v>
      </c>
      <c r="AE46" s="65">
        <v>41</v>
      </c>
      <c r="AF46" s="65">
        <v>41</v>
      </c>
      <c r="AG46" s="54">
        <v>60</v>
      </c>
      <c r="AH46" s="47">
        <f t="shared" si="2"/>
        <v>41</v>
      </c>
      <c r="AI46" s="48">
        <f t="shared" si="3"/>
        <v>8</v>
      </c>
      <c r="AK46" s="49"/>
    </row>
    <row r="47" spans="1:88" ht="15.75" thickBot="1" x14ac:dyDescent="0.3">
      <c r="A47" s="66" t="s">
        <v>55</v>
      </c>
      <c r="B47" s="67">
        <v>12.4</v>
      </c>
      <c r="C47" s="67">
        <v>12.5</v>
      </c>
      <c r="D47" s="67">
        <v>12.5</v>
      </c>
      <c r="E47" s="67">
        <v>12.5</v>
      </c>
      <c r="F47" s="67">
        <v>12.4</v>
      </c>
      <c r="G47" s="67">
        <v>12.4</v>
      </c>
      <c r="H47" s="67">
        <v>12.4</v>
      </c>
      <c r="I47" s="67">
        <v>12.4</v>
      </c>
      <c r="J47" s="67">
        <v>12.5</v>
      </c>
      <c r="K47" s="67">
        <v>12.4</v>
      </c>
      <c r="L47" s="67">
        <v>12</v>
      </c>
      <c r="M47" s="67">
        <v>10.5</v>
      </c>
      <c r="N47" s="67">
        <v>10.5</v>
      </c>
      <c r="O47" s="67">
        <v>10.5</v>
      </c>
      <c r="P47" s="67">
        <v>10.5</v>
      </c>
      <c r="Q47" s="67">
        <v>10.5</v>
      </c>
      <c r="R47" s="67">
        <v>10.5</v>
      </c>
      <c r="S47" s="67">
        <v>10.5</v>
      </c>
      <c r="T47" s="67">
        <v>10.5</v>
      </c>
      <c r="U47" s="67">
        <v>11.4</v>
      </c>
      <c r="V47" s="67">
        <v>11.4</v>
      </c>
      <c r="W47" s="67">
        <v>11.4</v>
      </c>
      <c r="X47" s="67">
        <v>20</v>
      </c>
      <c r="Y47" s="67">
        <v>20</v>
      </c>
      <c r="Z47" s="67">
        <v>20</v>
      </c>
      <c r="AA47" s="67">
        <v>20</v>
      </c>
      <c r="AB47" s="67">
        <v>12</v>
      </c>
      <c r="AC47" s="67">
        <v>12</v>
      </c>
      <c r="AD47" s="67">
        <v>12</v>
      </c>
      <c r="AE47" s="67">
        <v>12</v>
      </c>
      <c r="AF47" s="67">
        <v>12</v>
      </c>
      <c r="AG47" s="68">
        <v>22.1</v>
      </c>
      <c r="AH47" s="47">
        <f t="shared" si="2"/>
        <v>20</v>
      </c>
      <c r="AI47" s="48">
        <f t="shared" si="3"/>
        <v>10.5</v>
      </c>
      <c r="AK47" s="49"/>
    </row>
    <row r="48" spans="1:88" ht="15.75" thickBot="1" x14ac:dyDescent="0.3">
      <c r="A48" s="69" t="s">
        <v>56</v>
      </c>
      <c r="B48" s="60">
        <v>152.4</v>
      </c>
      <c r="C48" s="60">
        <f t="shared" ref="C48:AG48" si="5">SUM(C45:C47)</f>
        <v>132.5</v>
      </c>
      <c r="D48" s="60">
        <f t="shared" si="5"/>
        <v>137.5</v>
      </c>
      <c r="E48" s="60">
        <f t="shared" si="5"/>
        <v>112.5</v>
      </c>
      <c r="F48" s="60">
        <f t="shared" si="5"/>
        <v>87.4</v>
      </c>
      <c r="G48" s="60">
        <f t="shared" si="5"/>
        <v>62.4</v>
      </c>
      <c r="H48" s="60">
        <f t="shared" si="5"/>
        <v>62.4</v>
      </c>
      <c r="I48" s="60">
        <f t="shared" si="5"/>
        <v>107.4</v>
      </c>
      <c r="J48" s="60">
        <f t="shared" si="5"/>
        <v>92.5</v>
      </c>
      <c r="K48" s="60">
        <f t="shared" si="5"/>
        <v>142.4</v>
      </c>
      <c r="L48" s="60">
        <f t="shared" si="5"/>
        <v>142</v>
      </c>
      <c r="M48" s="60">
        <f t="shared" si="5"/>
        <v>275.5</v>
      </c>
      <c r="N48" s="60">
        <f t="shared" si="5"/>
        <v>295.5</v>
      </c>
      <c r="O48" s="60">
        <f t="shared" si="5"/>
        <v>275.5</v>
      </c>
      <c r="P48" s="60">
        <f t="shared" si="5"/>
        <v>165.5</v>
      </c>
      <c r="Q48" s="60">
        <f t="shared" si="5"/>
        <v>130.5</v>
      </c>
      <c r="R48" s="60">
        <f t="shared" si="5"/>
        <v>115.5</v>
      </c>
      <c r="S48" s="60">
        <f t="shared" si="5"/>
        <v>115.5</v>
      </c>
      <c r="T48" s="60">
        <f t="shared" si="5"/>
        <v>105.5</v>
      </c>
      <c r="U48" s="60">
        <f t="shared" si="5"/>
        <v>89.4</v>
      </c>
      <c r="V48" s="60">
        <f t="shared" si="5"/>
        <v>116.4</v>
      </c>
      <c r="W48" s="60">
        <f t="shared" si="5"/>
        <v>146.4</v>
      </c>
      <c r="X48" s="60">
        <f t="shared" si="5"/>
        <v>161</v>
      </c>
      <c r="Y48" s="60">
        <f t="shared" si="5"/>
        <v>201</v>
      </c>
      <c r="Z48" s="60">
        <f t="shared" si="5"/>
        <v>161</v>
      </c>
      <c r="AA48" s="60">
        <f>SUM(AA45:AA47)</f>
        <v>161</v>
      </c>
      <c r="AB48" s="60">
        <f t="shared" si="5"/>
        <v>203</v>
      </c>
      <c r="AC48" s="60">
        <f t="shared" si="5"/>
        <v>203</v>
      </c>
      <c r="AD48" s="60">
        <f t="shared" si="5"/>
        <v>183</v>
      </c>
      <c r="AE48" s="60">
        <f>SUM(AE45:AE47)</f>
        <v>123</v>
      </c>
      <c r="AF48" s="60">
        <f t="shared" si="5"/>
        <v>113</v>
      </c>
      <c r="AG48" s="61">
        <f t="shared" si="5"/>
        <v>538.1</v>
      </c>
      <c r="AH48" s="47">
        <f t="shared" si="2"/>
        <v>295.5</v>
      </c>
      <c r="AI48" s="48">
        <f t="shared" si="3"/>
        <v>62.4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40.9</v>
      </c>
      <c r="G49" s="45">
        <v>51.3</v>
      </c>
      <c r="H49" s="45">
        <v>50.9</v>
      </c>
      <c r="I49" s="45">
        <v>85.7</v>
      </c>
      <c r="J49" s="45">
        <v>143.1</v>
      </c>
      <c r="K49" s="45">
        <v>142.4</v>
      </c>
      <c r="L49" s="45">
        <v>142.6</v>
      </c>
      <c r="M49" s="45">
        <v>142.30000000000001</v>
      </c>
      <c r="N49" s="45">
        <v>142.30000000000001</v>
      </c>
      <c r="O49" s="45">
        <v>140.80000000000001</v>
      </c>
      <c r="P49" s="45">
        <v>113.9</v>
      </c>
      <c r="Q49" s="45">
        <v>91.3</v>
      </c>
      <c r="R49" s="45">
        <v>81.900000000000006</v>
      </c>
      <c r="S49" s="45">
        <v>81.3</v>
      </c>
      <c r="T49" s="45">
        <v>81.3</v>
      </c>
      <c r="U49" s="45">
        <v>81.599999999999994</v>
      </c>
      <c r="V49" s="45">
        <v>112</v>
      </c>
      <c r="W49" s="45">
        <v>130</v>
      </c>
      <c r="X49" s="45">
        <v>139.6</v>
      </c>
      <c r="Y49" s="45">
        <v>139.6</v>
      </c>
      <c r="Z49" s="45">
        <v>139.6</v>
      </c>
      <c r="AA49" s="45">
        <v>139.6</v>
      </c>
      <c r="AB49" s="45">
        <v>109</v>
      </c>
      <c r="AC49" s="45">
        <v>91.4</v>
      </c>
      <c r="AD49" s="45">
        <v>81.3</v>
      </c>
      <c r="AE49" s="45">
        <v>30.6</v>
      </c>
      <c r="AF49" s="45">
        <v>0</v>
      </c>
      <c r="AG49" s="51">
        <v>144</v>
      </c>
      <c r="AH49" s="47">
        <f t="shared" si="2"/>
        <v>143.1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20.7</v>
      </c>
      <c r="H50" s="65">
        <v>21.7</v>
      </c>
      <c r="I50" s="65">
        <v>45</v>
      </c>
      <c r="J50" s="65">
        <v>61.4</v>
      </c>
      <c r="K50" s="65">
        <v>69.400000000000006</v>
      </c>
      <c r="L50" s="65">
        <v>62</v>
      </c>
      <c r="M50" s="65">
        <v>46.6</v>
      </c>
      <c r="N50" s="65">
        <v>46.6</v>
      </c>
      <c r="O50" s="65">
        <v>69.099999999999994</v>
      </c>
      <c r="P50" s="65">
        <v>48.2</v>
      </c>
      <c r="Q50" s="65">
        <v>49.1</v>
      </c>
      <c r="R50" s="45">
        <v>25.2</v>
      </c>
      <c r="S50" s="45">
        <v>28</v>
      </c>
      <c r="T50" s="45">
        <v>29.5</v>
      </c>
      <c r="U50" s="45">
        <v>29.6</v>
      </c>
      <c r="V50" s="45">
        <v>35</v>
      </c>
      <c r="W50" s="45">
        <v>70</v>
      </c>
      <c r="X50" s="45">
        <v>70</v>
      </c>
      <c r="Y50" s="45">
        <v>67</v>
      </c>
      <c r="Z50" s="45">
        <v>67</v>
      </c>
      <c r="AA50" s="45">
        <v>67</v>
      </c>
      <c r="AB50" s="45">
        <v>65.8</v>
      </c>
      <c r="AC50" s="65">
        <v>65.8</v>
      </c>
      <c r="AD50" s="65">
        <v>49.5</v>
      </c>
      <c r="AE50" s="65">
        <v>0</v>
      </c>
      <c r="AF50" s="65">
        <v>0</v>
      </c>
      <c r="AG50" s="54">
        <v>70</v>
      </c>
      <c r="AH50" s="47">
        <f t="shared" si="2"/>
        <v>70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16.399999999999999</v>
      </c>
      <c r="C51" s="65">
        <v>22.6</v>
      </c>
      <c r="D51" s="65">
        <v>22.7</v>
      </c>
      <c r="E51" s="65">
        <v>33.799999999999997</v>
      </c>
      <c r="F51" s="65">
        <v>41.1</v>
      </c>
      <c r="G51" s="65">
        <v>33.799999999999997</v>
      </c>
      <c r="H51" s="65">
        <v>32.9</v>
      </c>
      <c r="I51" s="65">
        <v>33.200000000000003</v>
      </c>
      <c r="J51" s="65">
        <v>33.1</v>
      </c>
      <c r="K51" s="65">
        <v>68.3</v>
      </c>
      <c r="L51" s="65">
        <v>52.8</v>
      </c>
      <c r="M51" s="65">
        <v>70.5</v>
      </c>
      <c r="N51" s="65">
        <v>70.5</v>
      </c>
      <c r="O51" s="65">
        <v>66.8</v>
      </c>
      <c r="P51" s="65">
        <v>68.3</v>
      </c>
      <c r="Q51" s="65">
        <v>29.6</v>
      </c>
      <c r="R51" s="45">
        <v>45.85</v>
      </c>
      <c r="S51" s="45">
        <v>45.3</v>
      </c>
      <c r="T51" s="45">
        <v>40.700000000000003</v>
      </c>
      <c r="U51" s="45">
        <v>39.9</v>
      </c>
      <c r="V51" s="45">
        <v>33</v>
      </c>
      <c r="W51" s="45">
        <v>68</v>
      </c>
      <c r="X51" s="45">
        <v>68</v>
      </c>
      <c r="Y51" s="45">
        <v>59</v>
      </c>
      <c r="Z51" s="45">
        <v>52</v>
      </c>
      <c r="AA51" s="45">
        <v>52</v>
      </c>
      <c r="AB51" s="45">
        <v>68</v>
      </c>
      <c r="AC51" s="45">
        <v>68</v>
      </c>
      <c r="AD51" s="45">
        <v>66.3</v>
      </c>
      <c r="AE51" s="45">
        <v>33.4</v>
      </c>
      <c r="AF51" s="65">
        <v>16.5</v>
      </c>
      <c r="AG51" s="54">
        <v>69</v>
      </c>
      <c r="AH51" s="47">
        <f t="shared" si="2"/>
        <v>70.5</v>
      </c>
      <c r="AI51" s="48">
        <f t="shared" si="3"/>
        <v>16.399999999999999</v>
      </c>
      <c r="AK51" s="49"/>
    </row>
    <row r="52" spans="1:41" x14ac:dyDescent="0.25">
      <c r="A52" s="53" t="s">
        <v>60</v>
      </c>
      <c r="B52" s="56">
        <v>54.1</v>
      </c>
      <c r="C52" s="56">
        <v>51.6</v>
      </c>
      <c r="D52" s="56">
        <v>51.4</v>
      </c>
      <c r="E52" s="56">
        <v>51.4</v>
      </c>
      <c r="F52" s="56">
        <v>51.6</v>
      </c>
      <c r="G52" s="56">
        <v>51.6</v>
      </c>
      <c r="H52" s="56">
        <v>51.4</v>
      </c>
      <c r="I52" s="56">
        <v>51.4</v>
      </c>
      <c r="J52" s="56">
        <v>49.1</v>
      </c>
      <c r="K52" s="56">
        <v>49.4</v>
      </c>
      <c r="L52" s="56">
        <v>49.6</v>
      </c>
      <c r="M52" s="65">
        <v>51.4</v>
      </c>
      <c r="N52" s="65">
        <v>51.4</v>
      </c>
      <c r="O52" s="65">
        <v>51.1</v>
      </c>
      <c r="P52" s="65">
        <v>51.1</v>
      </c>
      <c r="Q52" s="65">
        <v>49</v>
      </c>
      <c r="R52" s="45">
        <v>48.3</v>
      </c>
      <c r="S52" s="45">
        <v>48.3</v>
      </c>
      <c r="T52" s="45">
        <v>48.6</v>
      </c>
      <c r="U52" s="45">
        <v>48.6</v>
      </c>
      <c r="V52" s="45">
        <v>8</v>
      </c>
      <c r="W52" s="65">
        <v>49.4</v>
      </c>
      <c r="X52" s="65">
        <v>49.4</v>
      </c>
      <c r="Y52" s="65">
        <v>49.4</v>
      </c>
      <c r="Z52" s="65">
        <v>49.4</v>
      </c>
      <c r="AA52" s="65">
        <v>49.4</v>
      </c>
      <c r="AB52" s="65">
        <v>51.4</v>
      </c>
      <c r="AC52" s="65">
        <v>51.4</v>
      </c>
      <c r="AD52" s="65">
        <v>51.4</v>
      </c>
      <c r="AE52" s="65">
        <v>55.9</v>
      </c>
      <c r="AF52" s="65">
        <v>52.1</v>
      </c>
      <c r="AG52" s="54">
        <v>60</v>
      </c>
      <c r="AH52" s="47">
        <f t="shared" si="2"/>
        <v>55.9</v>
      </c>
      <c r="AI52" s="48">
        <f t="shared" si="3"/>
        <v>8</v>
      </c>
      <c r="AK52" s="49"/>
    </row>
    <row r="53" spans="1:41" x14ac:dyDescent="0.25">
      <c r="A53" s="53" t="s">
        <v>61</v>
      </c>
      <c r="B53" s="56">
        <v>8</v>
      </c>
      <c r="C53" s="56">
        <v>0</v>
      </c>
      <c r="D53" s="56">
        <v>0</v>
      </c>
      <c r="E53" s="56">
        <v>0</v>
      </c>
      <c r="F53" s="56">
        <v>0</v>
      </c>
      <c r="G53" s="56">
        <v>0</v>
      </c>
      <c r="H53" s="56">
        <v>0</v>
      </c>
      <c r="I53" s="56">
        <v>0</v>
      </c>
      <c r="J53" s="56">
        <v>0</v>
      </c>
      <c r="K53" s="56">
        <v>0</v>
      </c>
      <c r="L53" s="56">
        <v>15</v>
      </c>
      <c r="M53" s="65">
        <v>13.4</v>
      </c>
      <c r="N53" s="65">
        <v>13.4</v>
      </c>
      <c r="O53" s="65">
        <v>25</v>
      </c>
      <c r="P53" s="65">
        <v>29.4</v>
      </c>
      <c r="Q53" s="65">
        <v>14.9</v>
      </c>
      <c r="R53" s="45">
        <v>0</v>
      </c>
      <c r="S53" s="45">
        <v>0</v>
      </c>
      <c r="T53" s="45">
        <v>0</v>
      </c>
      <c r="U53" s="45">
        <v>0</v>
      </c>
      <c r="V53" s="45">
        <v>0</v>
      </c>
      <c r="W53" s="65">
        <v>8.6</v>
      </c>
      <c r="X53" s="65">
        <v>20</v>
      </c>
      <c r="Y53" s="65">
        <v>30</v>
      </c>
      <c r="Z53" s="65">
        <v>30</v>
      </c>
      <c r="AA53" s="65">
        <v>30</v>
      </c>
      <c r="AB53" s="65">
        <v>25.3</v>
      </c>
      <c r="AC53" s="65">
        <v>25.3</v>
      </c>
      <c r="AD53" s="65">
        <v>12.8</v>
      </c>
      <c r="AE53" s="65">
        <v>0</v>
      </c>
      <c r="AF53" s="65">
        <v>0</v>
      </c>
      <c r="AG53" s="54">
        <v>30</v>
      </c>
      <c r="AH53" s="47">
        <f t="shared" si="2"/>
        <v>30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65">
        <v>2</v>
      </c>
      <c r="N54" s="65">
        <v>3</v>
      </c>
      <c r="O54" s="65">
        <v>4</v>
      </c>
      <c r="P54" s="65">
        <v>4</v>
      </c>
      <c r="Q54" s="65">
        <v>4</v>
      </c>
      <c r="R54" s="65">
        <v>4</v>
      </c>
      <c r="S54" s="65">
        <v>4</v>
      </c>
      <c r="T54" s="65">
        <v>4</v>
      </c>
      <c r="U54" s="45">
        <v>4</v>
      </c>
      <c r="V54" s="45">
        <v>4</v>
      </c>
      <c r="W54" s="45">
        <v>4</v>
      </c>
      <c r="X54" s="65">
        <v>4</v>
      </c>
      <c r="Y54" s="65">
        <v>4</v>
      </c>
      <c r="Z54" s="65">
        <v>4</v>
      </c>
      <c r="AA54" s="65">
        <v>4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4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17</v>
      </c>
      <c r="C55" s="65">
        <v>17</v>
      </c>
      <c r="D55" s="65">
        <v>17</v>
      </c>
      <c r="E55" s="65">
        <v>17</v>
      </c>
      <c r="F55" s="65">
        <v>17</v>
      </c>
      <c r="G55" s="65">
        <v>17</v>
      </c>
      <c r="H55" s="65">
        <v>17</v>
      </c>
      <c r="I55" s="65">
        <v>17</v>
      </c>
      <c r="J55" s="65">
        <v>17</v>
      </c>
      <c r="K55" s="65">
        <v>17</v>
      </c>
      <c r="L55" s="65">
        <v>17</v>
      </c>
      <c r="M55" s="65">
        <v>17</v>
      </c>
      <c r="N55" s="65">
        <v>17</v>
      </c>
      <c r="O55" s="65">
        <v>17</v>
      </c>
      <c r="P55" s="65">
        <v>17</v>
      </c>
      <c r="Q55" s="65">
        <v>17</v>
      </c>
      <c r="R55" s="65">
        <v>17</v>
      </c>
      <c r="S55" s="65">
        <v>17</v>
      </c>
      <c r="T55" s="65">
        <v>17</v>
      </c>
      <c r="U55" s="45">
        <v>17</v>
      </c>
      <c r="V55" s="45">
        <v>17</v>
      </c>
      <c r="W55" s="65">
        <v>17</v>
      </c>
      <c r="X55" s="65">
        <v>17</v>
      </c>
      <c r="Y55" s="65">
        <v>17</v>
      </c>
      <c r="Z55" s="65">
        <v>17</v>
      </c>
      <c r="AA55" s="65">
        <v>17</v>
      </c>
      <c r="AB55" s="65">
        <v>17</v>
      </c>
      <c r="AC55" s="65">
        <v>17</v>
      </c>
      <c r="AD55" s="65">
        <v>17</v>
      </c>
      <c r="AE55" s="65">
        <v>17</v>
      </c>
      <c r="AF55" s="65">
        <v>17</v>
      </c>
      <c r="AG55" s="54">
        <v>24</v>
      </c>
      <c r="AH55" s="47">
        <f t="shared" si="2"/>
        <v>17</v>
      </c>
      <c r="AI55" s="48">
        <f t="shared" si="3"/>
        <v>17</v>
      </c>
      <c r="AK55" s="49"/>
    </row>
    <row r="56" spans="1:41" x14ac:dyDescent="0.25">
      <c r="A56" s="53" t="s">
        <v>64</v>
      </c>
      <c r="B56" s="65">
        <v>2.5</v>
      </c>
      <c r="C56" s="65">
        <v>2.5</v>
      </c>
      <c r="D56" s="65">
        <v>2.5</v>
      </c>
      <c r="E56" s="65">
        <v>2.5</v>
      </c>
      <c r="F56" s="65">
        <v>2.5</v>
      </c>
      <c r="G56" s="65">
        <v>2.5</v>
      </c>
      <c r="H56" s="65">
        <v>2.5</v>
      </c>
      <c r="I56" s="65">
        <v>2.5</v>
      </c>
      <c r="J56" s="65">
        <v>2.5</v>
      </c>
      <c r="K56" s="65">
        <v>2.5</v>
      </c>
      <c r="L56" s="65">
        <v>2.5</v>
      </c>
      <c r="M56" s="65">
        <v>2.5</v>
      </c>
      <c r="N56" s="65">
        <v>2.5</v>
      </c>
      <c r="O56" s="65">
        <v>2.5</v>
      </c>
      <c r="P56" s="65">
        <v>2.5</v>
      </c>
      <c r="Q56" s="65">
        <v>2.5</v>
      </c>
      <c r="R56" s="65">
        <v>2.5</v>
      </c>
      <c r="S56" s="65">
        <v>2.5</v>
      </c>
      <c r="T56" s="65">
        <v>2.5</v>
      </c>
      <c r="U56" s="45">
        <v>3.2</v>
      </c>
      <c r="V56" s="4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4">
        <v>15</v>
      </c>
      <c r="AH56" s="47">
        <f t="shared" si="2"/>
        <v>3.2</v>
      </c>
      <c r="AI56" s="48">
        <f t="shared" si="3"/>
        <v>2.5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12.3</v>
      </c>
      <c r="C57" s="65">
        <v>12.3</v>
      </c>
      <c r="D57" s="65">
        <v>12.3</v>
      </c>
      <c r="E57" s="65">
        <v>12.3</v>
      </c>
      <c r="F57" s="65">
        <v>12.3</v>
      </c>
      <c r="G57" s="65">
        <v>12.3</v>
      </c>
      <c r="H57" s="65">
        <v>12.3</v>
      </c>
      <c r="I57" s="65">
        <v>12.3</v>
      </c>
      <c r="J57" s="65">
        <v>12.3</v>
      </c>
      <c r="K57" s="65">
        <v>12.3</v>
      </c>
      <c r="L57" s="65">
        <v>12.3</v>
      </c>
      <c r="M57" s="65">
        <v>12.3</v>
      </c>
      <c r="N57" s="65">
        <v>12.3</v>
      </c>
      <c r="O57" s="65">
        <v>12.3</v>
      </c>
      <c r="P57" s="65">
        <v>12.3</v>
      </c>
      <c r="Q57" s="65">
        <v>12.3</v>
      </c>
      <c r="R57" s="65">
        <v>12.3</v>
      </c>
      <c r="S57" s="65">
        <v>12.3</v>
      </c>
      <c r="T57" s="65">
        <v>12.3</v>
      </c>
      <c r="U57" s="65">
        <v>12</v>
      </c>
      <c r="V57" s="65">
        <v>12</v>
      </c>
      <c r="W57" s="65">
        <v>12</v>
      </c>
      <c r="X57" s="65">
        <v>12</v>
      </c>
      <c r="Y57" s="65">
        <v>12</v>
      </c>
      <c r="Z57" s="65">
        <v>12</v>
      </c>
      <c r="AA57" s="65">
        <v>12</v>
      </c>
      <c r="AB57" s="65">
        <v>12</v>
      </c>
      <c r="AC57" s="65">
        <v>12</v>
      </c>
      <c r="AD57" s="65">
        <v>12</v>
      </c>
      <c r="AE57" s="65">
        <v>12.5</v>
      </c>
      <c r="AF57" s="65">
        <v>12.6</v>
      </c>
      <c r="AG57" s="54">
        <v>14.1</v>
      </c>
      <c r="AH57" s="47">
        <f t="shared" si="2"/>
        <v>12.6</v>
      </c>
      <c r="AI57" s="48">
        <f t="shared" si="3"/>
        <v>12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3.9</v>
      </c>
      <c r="C58" s="65">
        <v>3.9</v>
      </c>
      <c r="D58" s="65">
        <v>3.9</v>
      </c>
      <c r="E58" s="65">
        <v>3.9</v>
      </c>
      <c r="F58" s="65">
        <v>3.9</v>
      </c>
      <c r="G58" s="65">
        <v>3.9</v>
      </c>
      <c r="H58" s="65">
        <v>3.9</v>
      </c>
      <c r="I58" s="65">
        <v>3.9</v>
      </c>
      <c r="J58" s="65">
        <v>3.9</v>
      </c>
      <c r="K58" s="65">
        <v>3.9</v>
      </c>
      <c r="L58" s="65">
        <v>3.9</v>
      </c>
      <c r="M58" s="65">
        <v>3.9</v>
      </c>
      <c r="N58" s="65">
        <v>3.9</v>
      </c>
      <c r="O58" s="65">
        <v>3.9</v>
      </c>
      <c r="P58" s="65">
        <v>3.9</v>
      </c>
      <c r="Q58" s="65">
        <v>3.9</v>
      </c>
      <c r="R58" s="65">
        <v>3.9</v>
      </c>
      <c r="S58" s="65">
        <v>3.9</v>
      </c>
      <c r="T58" s="65">
        <v>3.9</v>
      </c>
      <c r="U58" s="65">
        <v>3.9</v>
      </c>
      <c r="V58" s="65">
        <v>3.9</v>
      </c>
      <c r="W58" s="65">
        <v>3.9</v>
      </c>
      <c r="X58" s="65">
        <v>3.9</v>
      </c>
      <c r="Y58" s="65">
        <v>3.9</v>
      </c>
      <c r="Z58" s="65">
        <v>3.9</v>
      </c>
      <c r="AA58" s="65">
        <v>3.9</v>
      </c>
      <c r="AB58" s="65">
        <v>3.9</v>
      </c>
      <c r="AC58" s="65">
        <v>3.9</v>
      </c>
      <c r="AD58" s="65">
        <v>3.9</v>
      </c>
      <c r="AE58" s="65">
        <v>4.5999999999999996</v>
      </c>
      <c r="AF58" s="65">
        <v>4.9000000000000004</v>
      </c>
      <c r="AG58" s="54">
        <v>14</v>
      </c>
      <c r="AH58" s="47">
        <f t="shared" si="2"/>
        <v>4.9000000000000004</v>
      </c>
      <c r="AI58" s="48">
        <f t="shared" si="3"/>
        <v>3.9</v>
      </c>
      <c r="AK58" s="49"/>
    </row>
    <row r="59" spans="1:41" x14ac:dyDescent="0.25">
      <c r="A59" s="53" t="s">
        <v>67</v>
      </c>
      <c r="B59" s="65">
        <v>5.2</v>
      </c>
      <c r="C59" s="65">
        <v>5.2</v>
      </c>
      <c r="D59" s="65">
        <v>5.2</v>
      </c>
      <c r="E59" s="65">
        <v>5.2</v>
      </c>
      <c r="F59" s="65">
        <v>5.2</v>
      </c>
      <c r="G59" s="65">
        <v>5.2</v>
      </c>
      <c r="H59" s="65">
        <v>5.2</v>
      </c>
      <c r="I59" s="65">
        <v>5.2</v>
      </c>
      <c r="J59" s="65">
        <v>5.2</v>
      </c>
      <c r="K59" s="65">
        <v>5.2</v>
      </c>
      <c r="L59" s="65">
        <v>5.2</v>
      </c>
      <c r="M59" s="65">
        <v>5.2</v>
      </c>
      <c r="N59" s="65">
        <v>5.2</v>
      </c>
      <c r="O59" s="65">
        <v>5.2</v>
      </c>
      <c r="P59" s="65">
        <v>5.2</v>
      </c>
      <c r="Q59" s="65">
        <v>5.2</v>
      </c>
      <c r="R59" s="65">
        <v>5.2</v>
      </c>
      <c r="S59" s="65">
        <v>5.2</v>
      </c>
      <c r="T59" s="65">
        <v>5.2</v>
      </c>
      <c r="U59" s="65">
        <v>5.2</v>
      </c>
      <c r="V59" s="65">
        <v>5.2</v>
      </c>
      <c r="W59" s="65">
        <v>5.2</v>
      </c>
      <c r="X59" s="65">
        <v>5.2</v>
      </c>
      <c r="Y59" s="65">
        <v>5.2</v>
      </c>
      <c r="Z59" s="65">
        <v>5.2</v>
      </c>
      <c r="AA59" s="65">
        <v>5.2</v>
      </c>
      <c r="AB59" s="65">
        <v>5.2</v>
      </c>
      <c r="AC59" s="65">
        <v>5.2</v>
      </c>
      <c r="AD59" s="65">
        <v>5.2</v>
      </c>
      <c r="AE59" s="65">
        <v>5.2</v>
      </c>
      <c r="AF59" s="65">
        <v>5.2</v>
      </c>
      <c r="AG59" s="54">
        <v>10.050000000000001</v>
      </c>
      <c r="AH59" s="47">
        <f t="shared" si="2"/>
        <v>5.2</v>
      </c>
      <c r="AI59" s="48">
        <f t="shared" si="3"/>
        <v>5.2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v>131.14000000000001</v>
      </c>
      <c r="C62" s="60">
        <f t="shared" ref="C62:AG62" si="6">SUM(C49:C61)</f>
        <v>121.84000000000002</v>
      </c>
      <c r="D62" s="60">
        <f t="shared" si="6"/>
        <v>121.74000000000001</v>
      </c>
      <c r="E62" s="60">
        <f t="shared" si="6"/>
        <v>132.83999999999997</v>
      </c>
      <c r="F62" s="60">
        <f t="shared" si="6"/>
        <v>181.23999999999998</v>
      </c>
      <c r="G62" s="60">
        <f t="shared" si="6"/>
        <v>205.04</v>
      </c>
      <c r="H62" s="60">
        <f t="shared" si="6"/>
        <v>204.54</v>
      </c>
      <c r="I62" s="60">
        <f t="shared" si="6"/>
        <v>262.94</v>
      </c>
      <c r="J62" s="60">
        <f t="shared" si="6"/>
        <v>334.34</v>
      </c>
      <c r="K62" s="60">
        <f t="shared" si="6"/>
        <v>377.14</v>
      </c>
      <c r="L62" s="60">
        <f t="shared" si="6"/>
        <v>369.64</v>
      </c>
      <c r="M62" s="60">
        <f t="shared" si="6"/>
        <v>373.83999999999992</v>
      </c>
      <c r="N62" s="60">
        <f t="shared" si="6"/>
        <v>374.83999999999992</v>
      </c>
      <c r="O62" s="60">
        <f t="shared" si="6"/>
        <v>404.44</v>
      </c>
      <c r="P62" s="60">
        <f t="shared" si="6"/>
        <v>362.54</v>
      </c>
      <c r="Q62" s="60">
        <f t="shared" si="6"/>
        <v>285.53999999999996</v>
      </c>
      <c r="R62" s="60">
        <f t="shared" si="6"/>
        <v>252.89</v>
      </c>
      <c r="S62" s="60">
        <f t="shared" si="6"/>
        <v>254.53999999999996</v>
      </c>
      <c r="T62" s="60">
        <f t="shared" si="6"/>
        <v>251.73999999999998</v>
      </c>
      <c r="U62" s="60">
        <f t="shared" si="6"/>
        <v>251.73999999999995</v>
      </c>
      <c r="V62" s="60">
        <f t="shared" si="6"/>
        <v>240.03999999999996</v>
      </c>
      <c r="W62" s="60">
        <f t="shared" si="6"/>
        <v>378.03999999999996</v>
      </c>
      <c r="X62" s="60">
        <f t="shared" si="6"/>
        <v>399.03999999999996</v>
      </c>
      <c r="Y62" s="60">
        <f t="shared" si="6"/>
        <v>397.03999999999996</v>
      </c>
      <c r="Z62" s="60">
        <f t="shared" si="6"/>
        <v>390.03999999999996</v>
      </c>
      <c r="AA62" s="60">
        <f t="shared" si="6"/>
        <v>390.03999999999996</v>
      </c>
      <c r="AB62" s="60">
        <f t="shared" si="6"/>
        <v>367.53999999999996</v>
      </c>
      <c r="AC62" s="60">
        <f t="shared" si="6"/>
        <v>349.93999999999994</v>
      </c>
      <c r="AD62" s="60">
        <f t="shared" si="6"/>
        <v>309.33999999999997</v>
      </c>
      <c r="AE62" s="60">
        <f t="shared" si="6"/>
        <v>169.13999999999996</v>
      </c>
      <c r="AF62" s="60">
        <f t="shared" si="6"/>
        <v>118.24000000000001</v>
      </c>
      <c r="AG62" s="61">
        <f t="shared" si="6"/>
        <v>489.91</v>
      </c>
      <c r="AH62" s="47">
        <f t="shared" si="2"/>
        <v>404.44</v>
      </c>
      <c r="AI62" s="48">
        <f t="shared" si="3"/>
        <v>118.24000000000001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15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30</v>
      </c>
      <c r="Y63" s="45">
        <v>30</v>
      </c>
      <c r="Z63" s="45">
        <v>30</v>
      </c>
      <c r="AA63" s="45">
        <v>30</v>
      </c>
      <c r="AB63" s="45">
        <v>14</v>
      </c>
      <c r="AC63" s="45">
        <v>10</v>
      </c>
      <c r="AD63" s="45">
        <v>0</v>
      </c>
      <c r="AE63" s="45">
        <v>0</v>
      </c>
      <c r="AF63" s="45">
        <v>0</v>
      </c>
      <c r="AG63" s="51">
        <v>60</v>
      </c>
      <c r="AH63" s="47">
        <f t="shared" si="2"/>
        <v>30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4.7</v>
      </c>
      <c r="O64" s="65">
        <v>0</v>
      </c>
      <c r="P64" s="65">
        <v>0</v>
      </c>
      <c r="Q64" s="45">
        <v>0</v>
      </c>
      <c r="R64" s="45">
        <v>0</v>
      </c>
      <c r="S64" s="45">
        <v>0</v>
      </c>
      <c r="T64" s="4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14</v>
      </c>
      <c r="Z64" s="65">
        <v>14</v>
      </c>
      <c r="AA64" s="65">
        <v>14</v>
      </c>
      <c r="AB64" s="65">
        <v>9.5</v>
      </c>
      <c r="AC64" s="65">
        <v>4.8</v>
      </c>
      <c r="AD64" s="65">
        <v>5.2</v>
      </c>
      <c r="AE64" s="65">
        <v>0</v>
      </c>
      <c r="AF64" s="45">
        <v>0</v>
      </c>
      <c r="AG64" s="54">
        <v>32</v>
      </c>
      <c r="AH64" s="47">
        <f t="shared" si="2"/>
        <v>14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0</v>
      </c>
      <c r="N65" s="67">
        <v>1.7</v>
      </c>
      <c r="O65" s="67">
        <v>0</v>
      </c>
      <c r="P65" s="67">
        <v>0</v>
      </c>
      <c r="Q65" s="45">
        <v>0</v>
      </c>
      <c r="R65" s="45">
        <v>0</v>
      </c>
      <c r="S65" s="45">
        <v>0</v>
      </c>
      <c r="T65" s="45">
        <v>0</v>
      </c>
      <c r="U65" s="67">
        <v>0</v>
      </c>
      <c r="V65" s="67">
        <v>0</v>
      </c>
      <c r="W65" s="67">
        <v>0</v>
      </c>
      <c r="X65" s="67">
        <v>0</v>
      </c>
      <c r="Y65" s="67">
        <v>5.3</v>
      </c>
      <c r="Z65" s="67">
        <v>5.3</v>
      </c>
      <c r="AA65" s="67">
        <v>5.3</v>
      </c>
      <c r="AB65" s="67">
        <v>3.5</v>
      </c>
      <c r="AC65" s="67">
        <v>1.7</v>
      </c>
      <c r="AD65" s="67">
        <v>1.9</v>
      </c>
      <c r="AE65" s="67">
        <v>0</v>
      </c>
      <c r="AF65" s="45">
        <v>0</v>
      </c>
      <c r="AG65" s="68">
        <v>14</v>
      </c>
      <c r="AH65" s="47">
        <f t="shared" si="2"/>
        <v>5.3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f t="shared" ref="B66:K66" si="7">B63+B64+B65</f>
        <v>0</v>
      </c>
      <c r="C66" s="60">
        <f t="shared" si="7"/>
        <v>0</v>
      </c>
      <c r="D66" s="60">
        <f t="shared" si="7"/>
        <v>0</v>
      </c>
      <c r="E66" s="60">
        <f t="shared" si="7"/>
        <v>0</v>
      </c>
      <c r="F66" s="60">
        <f t="shared" si="7"/>
        <v>0</v>
      </c>
      <c r="G66" s="60">
        <f t="shared" si="7"/>
        <v>0</v>
      </c>
      <c r="H66" s="60">
        <f t="shared" si="7"/>
        <v>0</v>
      </c>
      <c r="I66" s="60">
        <f t="shared" si="7"/>
        <v>0</v>
      </c>
      <c r="J66" s="60">
        <f t="shared" si="7"/>
        <v>0</v>
      </c>
      <c r="K66" s="60">
        <f t="shared" si="7"/>
        <v>0</v>
      </c>
      <c r="L66" s="60">
        <f t="shared" ref="L66:AF66" si="8">L63+L64+L65</f>
        <v>0</v>
      </c>
      <c r="M66" s="60">
        <f>M63+M64+M65</f>
        <v>0</v>
      </c>
      <c r="N66" s="60">
        <f t="shared" si="8"/>
        <v>21.4</v>
      </c>
      <c r="O66" s="60">
        <f t="shared" si="8"/>
        <v>0</v>
      </c>
      <c r="P66" s="60">
        <f t="shared" si="8"/>
        <v>0</v>
      </c>
      <c r="Q66" s="60">
        <f t="shared" si="8"/>
        <v>0</v>
      </c>
      <c r="R66" s="60">
        <f t="shared" si="8"/>
        <v>0</v>
      </c>
      <c r="S66" s="60">
        <f t="shared" si="8"/>
        <v>0</v>
      </c>
      <c r="T66" s="60">
        <f t="shared" si="8"/>
        <v>0</v>
      </c>
      <c r="U66" s="60">
        <f t="shared" si="8"/>
        <v>0</v>
      </c>
      <c r="V66" s="60">
        <f t="shared" si="8"/>
        <v>0</v>
      </c>
      <c r="W66" s="60">
        <f t="shared" si="8"/>
        <v>0</v>
      </c>
      <c r="X66" s="60">
        <f t="shared" si="8"/>
        <v>30</v>
      </c>
      <c r="Y66" s="60">
        <f t="shared" si="8"/>
        <v>49.3</v>
      </c>
      <c r="Z66" s="60">
        <f t="shared" si="8"/>
        <v>49.3</v>
      </c>
      <c r="AA66" s="60">
        <f t="shared" si="8"/>
        <v>49.3</v>
      </c>
      <c r="AB66" s="60">
        <f t="shared" si="8"/>
        <v>27</v>
      </c>
      <c r="AC66" s="60">
        <f t="shared" si="8"/>
        <v>16.5</v>
      </c>
      <c r="AD66" s="60">
        <f t="shared" si="8"/>
        <v>7.1</v>
      </c>
      <c r="AE66" s="60">
        <f t="shared" si="8"/>
        <v>0</v>
      </c>
      <c r="AF66" s="60">
        <f t="shared" si="8"/>
        <v>0</v>
      </c>
      <c r="AG66" s="61">
        <f>SUM(AG63:AG65)</f>
        <v>106</v>
      </c>
      <c r="AH66" s="47">
        <f t="shared" si="2"/>
        <v>49.3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68.2</v>
      </c>
      <c r="C67" s="45">
        <v>63</v>
      </c>
      <c r="D67" s="45">
        <v>75</v>
      </c>
      <c r="E67" s="45">
        <v>69</v>
      </c>
      <c r="F67" s="45">
        <v>64</v>
      </c>
      <c r="G67" s="45">
        <v>65.8</v>
      </c>
      <c r="H67" s="45">
        <v>61</v>
      </c>
      <c r="I67" s="45">
        <v>64</v>
      </c>
      <c r="J67" s="45">
        <v>61</v>
      </c>
      <c r="K67" s="45">
        <v>73</v>
      </c>
      <c r="L67" s="45">
        <v>60</v>
      </c>
      <c r="M67" s="45">
        <v>58</v>
      </c>
      <c r="N67" s="45">
        <v>46.5</v>
      </c>
      <c r="O67" s="45">
        <v>51.8</v>
      </c>
      <c r="P67" s="45">
        <v>58.4</v>
      </c>
      <c r="Q67" s="45">
        <v>72.8</v>
      </c>
      <c r="R67" s="45">
        <v>62</v>
      </c>
      <c r="S67" s="45">
        <v>64</v>
      </c>
      <c r="T67" s="45">
        <v>66.099999999999994</v>
      </c>
      <c r="U67" s="45">
        <v>66.2</v>
      </c>
      <c r="V67" s="45">
        <v>61</v>
      </c>
      <c r="W67" s="45">
        <v>61</v>
      </c>
      <c r="X67" s="45">
        <v>72</v>
      </c>
      <c r="Y67" s="45">
        <v>72.3</v>
      </c>
      <c r="Z67" s="45">
        <v>71.599999999999994</v>
      </c>
      <c r="AA67" s="45">
        <v>69.599999999999994</v>
      </c>
      <c r="AB67" s="45">
        <v>68.5</v>
      </c>
      <c r="AC67" s="45">
        <v>64.8</v>
      </c>
      <c r="AD67" s="45">
        <v>67</v>
      </c>
      <c r="AE67" s="45">
        <v>65.2</v>
      </c>
      <c r="AF67" s="45">
        <v>62.9</v>
      </c>
      <c r="AG67" s="51"/>
      <c r="AH67" s="47">
        <f t="shared" si="2"/>
        <v>75</v>
      </c>
      <c r="AI67" s="48">
        <f t="shared" si="3"/>
        <v>46.5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235</v>
      </c>
      <c r="C69" s="65">
        <v>190</v>
      </c>
      <c r="D69" s="65">
        <v>189</v>
      </c>
      <c r="E69" s="65">
        <v>190</v>
      </c>
      <c r="F69" s="65">
        <v>184</v>
      </c>
      <c r="G69" s="65">
        <v>190</v>
      </c>
      <c r="H69" s="65">
        <v>268</v>
      </c>
      <c r="I69" s="65">
        <v>260</v>
      </c>
      <c r="J69" s="65">
        <v>290</v>
      </c>
      <c r="K69" s="65">
        <v>289</v>
      </c>
      <c r="L69" s="65">
        <v>315</v>
      </c>
      <c r="M69" s="65">
        <v>224.7</v>
      </c>
      <c r="N69" s="65">
        <v>105.5</v>
      </c>
      <c r="O69" s="65">
        <v>228.3</v>
      </c>
      <c r="P69" s="65">
        <v>326.7</v>
      </c>
      <c r="Q69" s="65">
        <v>335</v>
      </c>
      <c r="R69" s="65">
        <v>347</v>
      </c>
      <c r="S69" s="65">
        <v>316.89999999999998</v>
      </c>
      <c r="T69" s="65">
        <v>336</v>
      </c>
      <c r="U69" s="65">
        <v>339</v>
      </c>
      <c r="V69" s="65">
        <v>323</v>
      </c>
      <c r="W69" s="65">
        <v>323</v>
      </c>
      <c r="X69" s="65">
        <v>327</v>
      </c>
      <c r="Y69" s="65">
        <v>300</v>
      </c>
      <c r="Z69" s="65">
        <v>332</v>
      </c>
      <c r="AA69" s="65">
        <v>256</v>
      </c>
      <c r="AB69" s="65">
        <v>290.10000000000002</v>
      </c>
      <c r="AC69" s="65">
        <v>292</v>
      </c>
      <c r="AD69" s="65">
        <v>270</v>
      </c>
      <c r="AE69" s="65">
        <v>265.8</v>
      </c>
      <c r="AF69" s="65">
        <v>266</v>
      </c>
      <c r="AG69" s="75"/>
      <c r="AH69" s="47">
        <f t="shared" si="2"/>
        <v>347</v>
      </c>
      <c r="AI69" s="48">
        <f t="shared" si="3"/>
        <v>105.5</v>
      </c>
      <c r="AK69" s="49"/>
    </row>
    <row r="70" spans="1:40" x14ac:dyDescent="0.25">
      <c r="A70" s="53" t="s">
        <v>78</v>
      </c>
      <c r="B70" s="76">
        <v>51</v>
      </c>
      <c r="C70" s="76">
        <v>46</v>
      </c>
      <c r="D70" s="76">
        <v>6</v>
      </c>
      <c r="E70" s="76">
        <v>6</v>
      </c>
      <c r="F70" s="76">
        <v>6</v>
      </c>
      <c r="G70" s="76">
        <v>6</v>
      </c>
      <c r="H70" s="76">
        <v>6</v>
      </c>
      <c r="I70" s="76">
        <v>6</v>
      </c>
      <c r="J70" s="76">
        <v>6</v>
      </c>
      <c r="K70" s="76">
        <v>6</v>
      </c>
      <c r="L70" s="76">
        <v>59.3</v>
      </c>
      <c r="M70" s="76">
        <v>53.4</v>
      </c>
      <c r="N70" s="76">
        <v>52.7</v>
      </c>
      <c r="O70" s="76">
        <v>52.8</v>
      </c>
      <c r="P70" s="76">
        <v>53.8</v>
      </c>
      <c r="Q70" s="76">
        <v>49</v>
      </c>
      <c r="R70" s="76">
        <v>51</v>
      </c>
      <c r="S70" s="76">
        <v>50.5</v>
      </c>
      <c r="T70" s="76">
        <v>52.9</v>
      </c>
      <c r="U70" s="76">
        <v>55.2</v>
      </c>
      <c r="V70" s="76">
        <v>50.2</v>
      </c>
      <c r="W70" s="76">
        <v>50.2</v>
      </c>
      <c r="X70" s="65">
        <v>55.4</v>
      </c>
      <c r="Y70" s="65">
        <v>58.3</v>
      </c>
      <c r="Z70" s="65">
        <v>58.3</v>
      </c>
      <c r="AA70" s="65">
        <v>59.9</v>
      </c>
      <c r="AB70" s="65">
        <v>57.2</v>
      </c>
      <c r="AC70" s="65">
        <v>56.3</v>
      </c>
      <c r="AD70" s="65">
        <v>53.7</v>
      </c>
      <c r="AE70" s="65">
        <v>51.2</v>
      </c>
      <c r="AF70" s="65">
        <v>50.2</v>
      </c>
      <c r="AG70" s="75"/>
      <c r="AH70" s="47">
        <f t="shared" si="2"/>
        <v>59.9</v>
      </c>
      <c r="AI70" s="48">
        <f t="shared" si="3"/>
        <v>6</v>
      </c>
      <c r="AK70" s="49"/>
    </row>
    <row r="71" spans="1:40" x14ac:dyDescent="0.25">
      <c r="A71" s="53" t="s">
        <v>79</v>
      </c>
      <c r="B71" s="45">
        <v>20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0</v>
      </c>
      <c r="I71" s="45">
        <v>0</v>
      </c>
      <c r="J71" s="45">
        <v>0</v>
      </c>
      <c r="K71" s="45">
        <v>0</v>
      </c>
      <c r="L71" s="45">
        <v>26</v>
      </c>
      <c r="M71" s="45">
        <v>25</v>
      </c>
      <c r="N71" s="45">
        <v>25</v>
      </c>
      <c r="O71" s="45">
        <v>25</v>
      </c>
      <c r="P71" s="45">
        <v>25</v>
      </c>
      <c r="Q71" s="45">
        <v>25</v>
      </c>
      <c r="R71" s="45">
        <v>26</v>
      </c>
      <c r="S71" s="45">
        <v>30</v>
      </c>
      <c r="T71" s="45">
        <v>30</v>
      </c>
      <c r="U71" s="45">
        <v>28</v>
      </c>
      <c r="V71" s="45">
        <v>28</v>
      </c>
      <c r="W71" s="45">
        <v>28</v>
      </c>
      <c r="X71" s="45">
        <v>30</v>
      </c>
      <c r="Y71" s="45">
        <v>30</v>
      </c>
      <c r="Z71" s="45">
        <v>30</v>
      </c>
      <c r="AA71" s="45">
        <v>30</v>
      </c>
      <c r="AB71" s="45">
        <v>22</v>
      </c>
      <c r="AC71" s="45">
        <v>22</v>
      </c>
      <c r="AD71" s="45">
        <v>22</v>
      </c>
      <c r="AE71" s="45">
        <v>25</v>
      </c>
      <c r="AF71" s="45">
        <v>27.2</v>
      </c>
      <c r="AG71" s="75"/>
      <c r="AH71" s="47">
        <f t="shared" si="2"/>
        <v>30</v>
      </c>
      <c r="AI71" s="48">
        <f t="shared" si="3"/>
        <v>0</v>
      </c>
      <c r="AK71" s="49"/>
    </row>
    <row r="72" spans="1:40" x14ac:dyDescent="0.25">
      <c r="A72" s="53" t="s">
        <v>80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0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9">MAX(B75:AF75)</f>
        <v>0</v>
      </c>
      <c r="AI75" s="48">
        <f t="shared" ref="AI75:AI113" si="10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9"/>
        <v>0</v>
      </c>
      <c r="AI76" s="48">
        <f t="shared" si="10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9"/>
        <v>0</v>
      </c>
      <c r="AI77" s="48">
        <f t="shared" si="10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F78" si="11">SUMIF(B67:B77,"&gt;0")</f>
        <v>374.2</v>
      </c>
      <c r="C78" s="60">
        <f t="shared" si="11"/>
        <v>299</v>
      </c>
      <c r="D78" s="60">
        <f t="shared" si="11"/>
        <v>270</v>
      </c>
      <c r="E78" s="60">
        <f t="shared" si="11"/>
        <v>265</v>
      </c>
      <c r="F78" s="60">
        <f t="shared" si="11"/>
        <v>254</v>
      </c>
      <c r="G78" s="60">
        <f t="shared" si="11"/>
        <v>261.8</v>
      </c>
      <c r="H78" s="60">
        <f t="shared" si="11"/>
        <v>335</v>
      </c>
      <c r="I78" s="60">
        <f t="shared" si="11"/>
        <v>330</v>
      </c>
      <c r="J78" s="60">
        <f t="shared" si="11"/>
        <v>357</v>
      </c>
      <c r="K78" s="60">
        <f t="shared" si="11"/>
        <v>368</v>
      </c>
      <c r="L78" s="60">
        <f t="shared" si="11"/>
        <v>460.3</v>
      </c>
      <c r="M78" s="60">
        <f t="shared" si="11"/>
        <v>361.09999999999997</v>
      </c>
      <c r="N78" s="60">
        <f t="shared" si="11"/>
        <v>229.7</v>
      </c>
      <c r="O78" s="60">
        <f t="shared" si="11"/>
        <v>357.90000000000003</v>
      </c>
      <c r="P78" s="60">
        <f t="shared" si="11"/>
        <v>463.9</v>
      </c>
      <c r="Q78" s="60">
        <f t="shared" si="11"/>
        <v>481.8</v>
      </c>
      <c r="R78" s="60">
        <f t="shared" si="11"/>
        <v>491</v>
      </c>
      <c r="S78" s="60">
        <f t="shared" si="11"/>
        <v>466.4</v>
      </c>
      <c r="T78" s="60">
        <f t="shared" si="11"/>
        <v>490</v>
      </c>
      <c r="U78" s="60">
        <f t="shared" si="11"/>
        <v>493.4</v>
      </c>
      <c r="V78" s="60">
        <f t="shared" si="11"/>
        <v>467.2</v>
      </c>
      <c r="W78" s="60">
        <f t="shared" si="11"/>
        <v>467.2</v>
      </c>
      <c r="X78" s="60">
        <f t="shared" si="11"/>
        <v>489.4</v>
      </c>
      <c r="Y78" s="60">
        <f t="shared" si="11"/>
        <v>465.6</v>
      </c>
      <c r="Z78" s="60">
        <f t="shared" si="11"/>
        <v>496.90000000000003</v>
      </c>
      <c r="AA78" s="60">
        <f t="shared" si="11"/>
        <v>420.5</v>
      </c>
      <c r="AB78" s="60">
        <f t="shared" si="11"/>
        <v>442.8</v>
      </c>
      <c r="AC78" s="60">
        <f t="shared" si="11"/>
        <v>440.1</v>
      </c>
      <c r="AD78" s="60">
        <f t="shared" si="11"/>
        <v>417.7</v>
      </c>
      <c r="AE78" s="60">
        <f t="shared" si="11"/>
        <v>412.2</v>
      </c>
      <c r="AF78" s="60">
        <f t="shared" si="11"/>
        <v>411.29999999999995</v>
      </c>
      <c r="AG78" s="88">
        <f>SUM(AG67:AG77)</f>
        <v>0</v>
      </c>
      <c r="AH78" s="47">
        <f t="shared" si="9"/>
        <v>496.90000000000003</v>
      </c>
      <c r="AI78" s="48">
        <f t="shared" si="10"/>
        <v>229.7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9"/>
        <v>0</v>
      </c>
      <c r="AI79" s="48">
        <f t="shared" si="10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9"/>
        <v>0</v>
      </c>
      <c r="AI80" s="48">
        <f t="shared" si="10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9"/>
        <v>0</v>
      </c>
      <c r="AI81" s="48">
        <f t="shared" si="10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9"/>
        <v>0</v>
      </c>
      <c r="AI82" s="48">
        <f t="shared" si="10"/>
        <v>0</v>
      </c>
    </row>
    <row r="83" spans="1:37" ht="15.75" thickBot="1" x14ac:dyDescent="0.3">
      <c r="A83" s="74" t="s">
        <v>94</v>
      </c>
      <c r="B83" s="95">
        <f>B44+B48+B66+B62+B78+B82</f>
        <v>1120.8399999999999</v>
      </c>
      <c r="C83" s="95">
        <f t="shared" ref="C83:AG83" si="12">C44+C48+C66+C62+C78+C82</f>
        <v>1016.14</v>
      </c>
      <c r="D83" s="95">
        <f t="shared" si="12"/>
        <v>991.33999999999992</v>
      </c>
      <c r="E83" s="95">
        <f t="shared" si="12"/>
        <v>972.43999999999983</v>
      </c>
      <c r="F83" s="95">
        <f t="shared" si="12"/>
        <v>984.04</v>
      </c>
      <c r="G83" s="95">
        <f t="shared" si="12"/>
        <v>989.83999999999992</v>
      </c>
      <c r="H83" s="95">
        <f t="shared" si="12"/>
        <v>1063.54</v>
      </c>
      <c r="I83" s="95">
        <f t="shared" si="12"/>
        <v>1161.3399999999999</v>
      </c>
      <c r="J83" s="95">
        <f t="shared" si="12"/>
        <v>1244.8399999999999</v>
      </c>
      <c r="K83" s="95">
        <f t="shared" si="12"/>
        <v>1348.54</v>
      </c>
      <c r="L83" s="95">
        <f t="shared" si="12"/>
        <v>1432.94</v>
      </c>
      <c r="M83" s="95">
        <f t="shared" si="12"/>
        <v>1470.2399999999998</v>
      </c>
      <c r="N83" s="95">
        <f t="shared" si="12"/>
        <v>1381.24</v>
      </c>
      <c r="O83" s="95">
        <f t="shared" si="12"/>
        <v>1497.64</v>
      </c>
      <c r="P83" s="95">
        <f t="shared" si="12"/>
        <v>1451.7399999999998</v>
      </c>
      <c r="Q83" s="95">
        <f t="shared" si="12"/>
        <v>1356.34</v>
      </c>
      <c r="R83" s="95">
        <f t="shared" si="12"/>
        <v>1317.8899999999999</v>
      </c>
      <c r="S83" s="95">
        <f t="shared" ref="S83:AA83" si="13">S44+S48+S66+S62+S78+S82</f>
        <v>1294.94</v>
      </c>
      <c r="T83" s="95">
        <f t="shared" si="13"/>
        <v>1305.74</v>
      </c>
      <c r="U83" s="95">
        <f t="shared" si="13"/>
        <v>1292.3400000000001</v>
      </c>
      <c r="V83" s="95">
        <f t="shared" si="13"/>
        <v>1281.44</v>
      </c>
      <c r="W83" s="95">
        <f t="shared" si="13"/>
        <v>1449.44</v>
      </c>
      <c r="X83" s="95">
        <f t="shared" si="13"/>
        <v>1537.2399999999998</v>
      </c>
      <c r="Y83" s="95">
        <f t="shared" si="13"/>
        <v>1570.7399999999998</v>
      </c>
      <c r="Z83" s="95">
        <f t="shared" si="13"/>
        <v>1555.04</v>
      </c>
      <c r="AA83" s="95">
        <f t="shared" si="13"/>
        <v>1478.6399999999999</v>
      </c>
      <c r="AB83" s="95">
        <f t="shared" si="12"/>
        <v>1498.1399999999999</v>
      </c>
      <c r="AC83" s="95">
        <f t="shared" si="12"/>
        <v>1467.3399999999997</v>
      </c>
      <c r="AD83" s="95">
        <f t="shared" si="12"/>
        <v>1374.94</v>
      </c>
      <c r="AE83" s="95">
        <f t="shared" si="12"/>
        <v>1168.04</v>
      </c>
      <c r="AF83" s="95">
        <f t="shared" si="12"/>
        <v>1104.04</v>
      </c>
      <c r="AG83" s="61">
        <f t="shared" si="12"/>
        <v>2004.1900000000003</v>
      </c>
      <c r="AH83" s="47">
        <f>MAX(B83:AF83)</f>
        <v>1570.7399999999998</v>
      </c>
      <c r="AI83" s="48">
        <f>MIN(B83:AF83)</f>
        <v>972.43999999999983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>
        <v>30</v>
      </c>
      <c r="M84" s="97"/>
      <c r="N84" s="97"/>
      <c r="O84" s="97"/>
      <c r="P84" s="97"/>
      <c r="Q84" s="97"/>
      <c r="R84" s="97"/>
      <c r="S84" s="97"/>
      <c r="T84" s="97"/>
      <c r="U84" s="97"/>
      <c r="V84" s="97">
        <v>150</v>
      </c>
      <c r="W84" s="97">
        <v>170</v>
      </c>
      <c r="X84" s="97">
        <v>200</v>
      </c>
      <c r="Y84" s="97">
        <v>200</v>
      </c>
      <c r="Z84" s="97">
        <v>170</v>
      </c>
      <c r="AA84" s="97">
        <v>170</v>
      </c>
      <c r="AB84" s="97">
        <v>170</v>
      </c>
      <c r="AC84" s="97">
        <v>170</v>
      </c>
      <c r="AD84" s="97">
        <v>170</v>
      </c>
      <c r="AE84" s="97">
        <v>100</v>
      </c>
      <c r="AF84" s="97"/>
      <c r="AG84" s="88"/>
      <c r="AH84" s="47">
        <f t="shared" si="9"/>
        <v>200</v>
      </c>
      <c r="AI84" s="48">
        <f t="shared" si="10"/>
        <v>30</v>
      </c>
    </row>
    <row r="85" spans="1:37" ht="15.75" thickBot="1" x14ac:dyDescent="0.3">
      <c r="A85" s="74" t="s">
        <v>96</v>
      </c>
      <c r="B85" s="95">
        <f>B83+B84</f>
        <v>1120.8399999999999</v>
      </c>
      <c r="C85" s="95">
        <f t="shared" ref="C85:AF85" si="14">C83+C84</f>
        <v>1016.14</v>
      </c>
      <c r="D85" s="95">
        <f t="shared" si="14"/>
        <v>991.33999999999992</v>
      </c>
      <c r="E85" s="95">
        <f t="shared" si="14"/>
        <v>972.43999999999983</v>
      </c>
      <c r="F85" s="95">
        <f t="shared" si="14"/>
        <v>984.04</v>
      </c>
      <c r="G85" s="95">
        <f t="shared" si="14"/>
        <v>989.83999999999992</v>
      </c>
      <c r="H85" s="95">
        <f t="shared" si="14"/>
        <v>1063.54</v>
      </c>
      <c r="I85" s="95">
        <f t="shared" si="14"/>
        <v>1161.3399999999999</v>
      </c>
      <c r="J85" s="95">
        <f t="shared" si="14"/>
        <v>1244.8399999999999</v>
      </c>
      <c r="K85" s="95">
        <f t="shared" si="14"/>
        <v>1348.54</v>
      </c>
      <c r="L85" s="95">
        <f t="shared" si="14"/>
        <v>1462.94</v>
      </c>
      <c r="M85" s="95">
        <f t="shared" si="14"/>
        <v>1470.2399999999998</v>
      </c>
      <c r="N85" s="95">
        <f t="shared" si="14"/>
        <v>1381.24</v>
      </c>
      <c r="O85" s="95">
        <f t="shared" si="14"/>
        <v>1497.64</v>
      </c>
      <c r="P85" s="95">
        <f t="shared" si="14"/>
        <v>1451.7399999999998</v>
      </c>
      <c r="Q85" s="95">
        <f t="shared" si="14"/>
        <v>1356.34</v>
      </c>
      <c r="R85" s="95">
        <f t="shared" si="14"/>
        <v>1317.8899999999999</v>
      </c>
      <c r="S85" s="95">
        <f t="shared" si="14"/>
        <v>1294.94</v>
      </c>
      <c r="T85" s="95">
        <f t="shared" si="14"/>
        <v>1305.74</v>
      </c>
      <c r="U85" s="95">
        <f t="shared" si="14"/>
        <v>1292.3400000000001</v>
      </c>
      <c r="V85" s="95">
        <f t="shared" si="14"/>
        <v>1431.44</v>
      </c>
      <c r="W85" s="95">
        <f t="shared" si="14"/>
        <v>1619.44</v>
      </c>
      <c r="X85" s="95">
        <f t="shared" si="14"/>
        <v>1737.2399999999998</v>
      </c>
      <c r="Y85" s="95">
        <f t="shared" si="14"/>
        <v>1770.7399999999998</v>
      </c>
      <c r="Z85" s="95">
        <f t="shared" si="14"/>
        <v>1725.04</v>
      </c>
      <c r="AA85" s="95">
        <f t="shared" si="14"/>
        <v>1648.6399999999999</v>
      </c>
      <c r="AB85" s="95">
        <f t="shared" si="14"/>
        <v>1668.1399999999999</v>
      </c>
      <c r="AC85" s="95">
        <f t="shared" si="14"/>
        <v>1637.3399999999997</v>
      </c>
      <c r="AD85" s="95">
        <f t="shared" si="14"/>
        <v>1544.94</v>
      </c>
      <c r="AE85" s="95">
        <f t="shared" si="14"/>
        <v>1268.04</v>
      </c>
      <c r="AF85" s="95">
        <f t="shared" si="14"/>
        <v>1104.04</v>
      </c>
      <c r="AG85" s="88">
        <f>AG82+AG78+AG66+AG62+AG44+AG84</f>
        <v>1466.0900000000001</v>
      </c>
      <c r="AH85" s="47">
        <f t="shared" si="9"/>
        <v>1770.7399999999998</v>
      </c>
      <c r="AI85" s="48">
        <f t="shared" si="10"/>
        <v>972.43999999999983</v>
      </c>
    </row>
    <row r="86" spans="1:37" ht="15.75" thickBot="1" x14ac:dyDescent="0.3">
      <c r="A86" s="74" t="s">
        <v>97</v>
      </c>
      <c r="B86" s="95">
        <f t="shared" ref="B86:AF86" si="15">B85-B93</f>
        <v>1120.8399999999999</v>
      </c>
      <c r="C86" s="95">
        <f t="shared" si="15"/>
        <v>1016.14</v>
      </c>
      <c r="D86" s="95">
        <f t="shared" si="15"/>
        <v>991.33999999999992</v>
      </c>
      <c r="E86" s="95">
        <f t="shared" si="15"/>
        <v>972.43999999999983</v>
      </c>
      <c r="F86" s="95">
        <f t="shared" si="15"/>
        <v>984.04</v>
      </c>
      <c r="G86" s="95">
        <f t="shared" si="15"/>
        <v>989.83999999999992</v>
      </c>
      <c r="H86" s="95">
        <f t="shared" si="15"/>
        <v>1063.54</v>
      </c>
      <c r="I86" s="95">
        <f t="shared" si="15"/>
        <v>1161.3399999999999</v>
      </c>
      <c r="J86" s="95">
        <f t="shared" si="15"/>
        <v>1244.8399999999999</v>
      </c>
      <c r="K86" s="95">
        <f t="shared" si="15"/>
        <v>1348.54</v>
      </c>
      <c r="L86" s="95">
        <f t="shared" si="15"/>
        <v>1462.94</v>
      </c>
      <c r="M86" s="95">
        <f t="shared" si="15"/>
        <v>1470.2399999999998</v>
      </c>
      <c r="N86" s="95">
        <f t="shared" si="15"/>
        <v>1381.24</v>
      </c>
      <c r="O86" s="95">
        <f t="shared" si="15"/>
        <v>1497.64</v>
      </c>
      <c r="P86" s="95">
        <f t="shared" si="15"/>
        <v>1451.7399999999998</v>
      </c>
      <c r="Q86" s="95">
        <f t="shared" si="15"/>
        <v>1356.34</v>
      </c>
      <c r="R86" s="95">
        <f t="shared" si="15"/>
        <v>1317.8899999999999</v>
      </c>
      <c r="S86" s="95">
        <f t="shared" si="15"/>
        <v>1294.94</v>
      </c>
      <c r="T86" s="95">
        <f t="shared" si="15"/>
        <v>1305.74</v>
      </c>
      <c r="U86" s="95">
        <f t="shared" si="15"/>
        <v>1292.3400000000001</v>
      </c>
      <c r="V86" s="95">
        <f t="shared" si="15"/>
        <v>1431.44</v>
      </c>
      <c r="W86" s="95">
        <f t="shared" si="15"/>
        <v>1619.44</v>
      </c>
      <c r="X86" s="95">
        <v>1704.6399999999999</v>
      </c>
      <c r="Y86" s="95">
        <f t="shared" si="15"/>
        <v>1770.7399999999998</v>
      </c>
      <c r="Z86" s="95">
        <f t="shared" si="15"/>
        <v>1725.04</v>
      </c>
      <c r="AA86" s="95">
        <f t="shared" si="15"/>
        <v>1648.6399999999999</v>
      </c>
      <c r="AB86" s="95">
        <f t="shared" si="15"/>
        <v>1668.1399999999999</v>
      </c>
      <c r="AC86" s="95">
        <f t="shared" si="15"/>
        <v>1637.3399999999997</v>
      </c>
      <c r="AD86" s="95">
        <f t="shared" si="15"/>
        <v>1544.94</v>
      </c>
      <c r="AE86" s="95">
        <f t="shared" si="15"/>
        <v>1268.04</v>
      </c>
      <c r="AF86" s="95">
        <f t="shared" si="15"/>
        <v>1104.04</v>
      </c>
      <c r="AG86" s="88"/>
      <c r="AH86" s="47">
        <f t="shared" si="9"/>
        <v>1770.7399999999998</v>
      </c>
      <c r="AI86" s="48">
        <f t="shared" si="10"/>
        <v>972.43999999999983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9"/>
        <v>0</v>
      </c>
      <c r="AI87" s="48">
        <f t="shared" si="10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9"/>
        <v>0</v>
      </c>
      <c r="AI88" s="48">
        <f t="shared" si="10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9"/>
        <v>0</v>
      </c>
      <c r="AI89" s="48">
        <f t="shared" si="10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9"/>
        <v>0</v>
      </c>
      <c r="AI90" s="48">
        <f t="shared" si="10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9"/>
        <v>0</v>
      </c>
      <c r="AI91" s="48">
        <f t="shared" si="10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9"/>
        <v>0</v>
      </c>
      <c r="AI92" s="48">
        <f t="shared" si="10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>
        <v>0</v>
      </c>
      <c r="Y93" s="60"/>
      <c r="Z93" s="60"/>
      <c r="AA93" s="60"/>
      <c r="AB93" s="60"/>
      <c r="AC93" s="60"/>
      <c r="AD93" s="60"/>
      <c r="AE93" s="60"/>
      <c r="AF93" s="60"/>
      <c r="AG93" s="88"/>
      <c r="AH93" s="47">
        <f t="shared" si="9"/>
        <v>0</v>
      </c>
      <c r="AI93" s="48">
        <f t="shared" si="10"/>
        <v>0</v>
      </c>
      <c r="AK93" s="49"/>
    </row>
    <row r="94" spans="1:37" ht="15.75" thickBot="1" x14ac:dyDescent="0.3">
      <c r="A94" s="74" t="s">
        <v>102</v>
      </c>
      <c r="B94" s="60">
        <f t="shared" ref="B94:AF94" si="16">B78-B93</f>
        <v>374.2</v>
      </c>
      <c r="C94" s="60">
        <f t="shared" si="16"/>
        <v>299</v>
      </c>
      <c r="D94" s="60">
        <f t="shared" si="16"/>
        <v>270</v>
      </c>
      <c r="E94" s="60">
        <f t="shared" si="16"/>
        <v>265</v>
      </c>
      <c r="F94" s="60">
        <f t="shared" si="16"/>
        <v>254</v>
      </c>
      <c r="G94" s="60">
        <f t="shared" si="16"/>
        <v>261.8</v>
      </c>
      <c r="H94" s="60">
        <f t="shared" si="16"/>
        <v>335</v>
      </c>
      <c r="I94" s="60">
        <f t="shared" si="16"/>
        <v>330</v>
      </c>
      <c r="J94" s="60">
        <f t="shared" si="16"/>
        <v>357</v>
      </c>
      <c r="K94" s="60">
        <f t="shared" si="16"/>
        <v>368</v>
      </c>
      <c r="L94" s="60">
        <f t="shared" si="16"/>
        <v>460.3</v>
      </c>
      <c r="M94" s="60">
        <f t="shared" si="16"/>
        <v>361.09999999999997</v>
      </c>
      <c r="N94" s="60">
        <f t="shared" si="16"/>
        <v>229.7</v>
      </c>
      <c r="O94" s="60">
        <f t="shared" si="16"/>
        <v>357.90000000000003</v>
      </c>
      <c r="P94" s="60">
        <f t="shared" si="16"/>
        <v>463.9</v>
      </c>
      <c r="Q94" s="60">
        <f t="shared" si="16"/>
        <v>481.8</v>
      </c>
      <c r="R94" s="60">
        <f t="shared" si="16"/>
        <v>491</v>
      </c>
      <c r="S94" s="60">
        <f t="shared" si="16"/>
        <v>466.4</v>
      </c>
      <c r="T94" s="60">
        <f t="shared" si="16"/>
        <v>490</v>
      </c>
      <c r="U94" s="60">
        <f t="shared" si="16"/>
        <v>493.4</v>
      </c>
      <c r="V94" s="60">
        <f t="shared" si="16"/>
        <v>467.2</v>
      </c>
      <c r="W94" s="60">
        <f t="shared" si="16"/>
        <v>467.2</v>
      </c>
      <c r="X94" s="60">
        <f t="shared" si="16"/>
        <v>489.4</v>
      </c>
      <c r="Y94" s="60">
        <f t="shared" si="16"/>
        <v>465.6</v>
      </c>
      <c r="Z94" s="60">
        <f t="shared" si="16"/>
        <v>496.90000000000003</v>
      </c>
      <c r="AA94" s="60">
        <f t="shared" si="16"/>
        <v>420.5</v>
      </c>
      <c r="AB94" s="60">
        <f t="shared" si="16"/>
        <v>442.8</v>
      </c>
      <c r="AC94" s="60">
        <f t="shared" si="16"/>
        <v>440.1</v>
      </c>
      <c r="AD94" s="60">
        <f t="shared" si="16"/>
        <v>417.7</v>
      </c>
      <c r="AE94" s="60">
        <f t="shared" si="16"/>
        <v>412.2</v>
      </c>
      <c r="AF94" s="60">
        <f t="shared" si="16"/>
        <v>411.29999999999995</v>
      </c>
      <c r="AG94" s="88"/>
      <c r="AH94" s="47">
        <f t="shared" si="9"/>
        <v>496.90000000000003</v>
      </c>
      <c r="AI94" s="48">
        <f t="shared" si="10"/>
        <v>229.7</v>
      </c>
    </row>
    <row r="95" spans="1:37" x14ac:dyDescent="0.25">
      <c r="A95" s="100" t="s">
        <v>103</v>
      </c>
      <c r="B95" s="101">
        <v>50.156999999999996</v>
      </c>
      <c r="C95" s="101">
        <v>50.026000000000003</v>
      </c>
      <c r="D95" s="101">
        <v>50.02</v>
      </c>
      <c r="E95" s="101">
        <v>49.975999999999999</v>
      </c>
      <c r="F95" s="101">
        <v>49.968000000000004</v>
      </c>
      <c r="G95" s="101">
        <v>49.923999999999999</v>
      </c>
      <c r="H95" s="101">
        <v>49.926000000000002</v>
      </c>
      <c r="I95" s="101">
        <v>50.1</v>
      </c>
      <c r="J95" s="101">
        <v>49.991</v>
      </c>
      <c r="K95" s="101">
        <v>49.938000000000002</v>
      </c>
      <c r="L95" s="101">
        <v>49.948</v>
      </c>
      <c r="M95" s="101">
        <v>50.220999999999997</v>
      </c>
      <c r="N95" s="101">
        <v>50.115000000000002</v>
      </c>
      <c r="O95" s="101">
        <v>50.192</v>
      </c>
      <c r="P95" s="101">
        <v>50.247</v>
      </c>
      <c r="Q95" s="101">
        <v>49.988</v>
      </c>
      <c r="R95" s="101">
        <v>49.987000000000002</v>
      </c>
      <c r="S95" s="101">
        <v>50.116</v>
      </c>
      <c r="T95" s="101">
        <v>50.000999999999998</v>
      </c>
      <c r="U95" s="101">
        <v>49.972999999999999</v>
      </c>
      <c r="V95" s="101">
        <v>50.055999999999997</v>
      </c>
      <c r="W95" s="101">
        <v>50.055999999999997</v>
      </c>
      <c r="X95" s="101">
        <v>50.023000000000003</v>
      </c>
      <c r="Y95" s="101">
        <v>50.009</v>
      </c>
      <c r="Z95" s="101">
        <v>50.031999999999996</v>
      </c>
      <c r="AA95" s="101">
        <v>49.831000000000003</v>
      </c>
      <c r="AB95" s="101">
        <v>50.106000000000002</v>
      </c>
      <c r="AC95" s="101">
        <v>50.024999999999999</v>
      </c>
      <c r="AD95" s="101">
        <v>49.954000000000001</v>
      </c>
      <c r="AE95" s="101">
        <v>50.02</v>
      </c>
      <c r="AF95" s="101">
        <v>50</v>
      </c>
      <c r="AG95" s="102"/>
      <c r="AH95" s="47">
        <f t="shared" si="9"/>
        <v>50.247</v>
      </c>
      <c r="AI95" s="48">
        <f t="shared" si="10"/>
        <v>49.831000000000003</v>
      </c>
    </row>
    <row r="96" spans="1:37" x14ac:dyDescent="0.25">
      <c r="A96" s="103" t="s">
        <v>104</v>
      </c>
      <c r="B96" s="65">
        <v>128.5</v>
      </c>
      <c r="C96" s="65">
        <v>129.4</v>
      </c>
      <c r="D96" s="65">
        <v>128.69999999999999</v>
      </c>
      <c r="E96" s="65">
        <v>129.6</v>
      </c>
      <c r="F96" s="65">
        <v>129</v>
      </c>
      <c r="G96" s="65">
        <v>129.4</v>
      </c>
      <c r="H96" s="65">
        <v>128.30000000000001</v>
      </c>
      <c r="I96" s="65">
        <v>127.7</v>
      </c>
      <c r="J96" s="65">
        <v>125.1</v>
      </c>
      <c r="K96" s="65">
        <v>123.8</v>
      </c>
      <c r="L96" s="65">
        <v>126</v>
      </c>
      <c r="M96" s="65">
        <v>123.8</v>
      </c>
      <c r="N96" s="65">
        <v>127.3</v>
      </c>
      <c r="O96" s="65">
        <v>124</v>
      </c>
      <c r="P96" s="65">
        <v>126.5</v>
      </c>
      <c r="Q96" s="65">
        <v>124</v>
      </c>
      <c r="R96" s="65">
        <v>123.7</v>
      </c>
      <c r="S96" s="65">
        <v>125.4</v>
      </c>
      <c r="T96" s="65">
        <v>125.5</v>
      </c>
      <c r="U96" s="65">
        <v>125</v>
      </c>
      <c r="V96" s="65">
        <v>128</v>
      </c>
      <c r="W96" s="65">
        <v>128</v>
      </c>
      <c r="X96" s="65">
        <v>126.1</v>
      </c>
      <c r="Y96" s="65">
        <v>126.8</v>
      </c>
      <c r="Z96" s="65">
        <v>127.1</v>
      </c>
      <c r="AA96" s="65">
        <v>127.6</v>
      </c>
      <c r="AB96" s="65">
        <v>127.7</v>
      </c>
      <c r="AC96" s="65">
        <v>127.1</v>
      </c>
      <c r="AD96" s="65">
        <v>128</v>
      </c>
      <c r="AE96" s="65">
        <v>129.4</v>
      </c>
      <c r="AF96" s="65">
        <v>127</v>
      </c>
      <c r="AG96" s="104"/>
      <c r="AH96" s="47">
        <f t="shared" si="9"/>
        <v>129.6</v>
      </c>
      <c r="AI96" s="48">
        <f t="shared" si="10"/>
        <v>123.7</v>
      </c>
    </row>
    <row r="97" spans="1:35" x14ac:dyDescent="0.25">
      <c r="A97" s="103" t="s">
        <v>105</v>
      </c>
      <c r="B97" s="65">
        <v>132.5</v>
      </c>
      <c r="C97" s="65">
        <v>133.1</v>
      </c>
      <c r="D97" s="65">
        <v>132.5</v>
      </c>
      <c r="E97" s="65">
        <v>133.5</v>
      </c>
      <c r="F97" s="65">
        <v>133.30000000000001</v>
      </c>
      <c r="G97" s="65">
        <v>133.5</v>
      </c>
      <c r="H97" s="65">
        <v>132.19999999999999</v>
      </c>
      <c r="I97" s="65">
        <v>131.4</v>
      </c>
      <c r="J97" s="65">
        <v>129.1</v>
      </c>
      <c r="K97" s="65">
        <v>128.1</v>
      </c>
      <c r="L97" s="65">
        <v>128.19999999999999</v>
      </c>
      <c r="M97" s="65">
        <v>126.4</v>
      </c>
      <c r="N97" s="65">
        <v>129.19999999999999</v>
      </c>
      <c r="O97" s="65">
        <v>127.2</v>
      </c>
      <c r="P97" s="65">
        <v>129.69999999999999</v>
      </c>
      <c r="Q97" s="65">
        <v>127</v>
      </c>
      <c r="R97" s="65">
        <v>127</v>
      </c>
      <c r="S97" s="65">
        <v>128.69999999999999</v>
      </c>
      <c r="T97" s="65">
        <v>129</v>
      </c>
      <c r="U97" s="65">
        <v>128.30000000000001</v>
      </c>
      <c r="V97" s="65">
        <v>129.9</v>
      </c>
      <c r="W97" s="65">
        <v>129.9</v>
      </c>
      <c r="X97" s="65">
        <v>127.3</v>
      </c>
      <c r="Y97" s="65">
        <v>128</v>
      </c>
      <c r="Z97" s="65">
        <v>128.4</v>
      </c>
      <c r="AA97" s="65">
        <v>129.5</v>
      </c>
      <c r="AB97" s="65">
        <v>129.5</v>
      </c>
      <c r="AC97" s="65">
        <v>129.1</v>
      </c>
      <c r="AD97" s="65">
        <v>129.5</v>
      </c>
      <c r="AE97" s="65">
        <v>131.6</v>
      </c>
      <c r="AF97" s="65">
        <v>130.69999999999999</v>
      </c>
      <c r="AG97" s="104"/>
      <c r="AH97" s="47">
        <f t="shared" si="9"/>
        <v>133.5</v>
      </c>
      <c r="AI97" s="48">
        <f t="shared" si="10"/>
        <v>126.4</v>
      </c>
    </row>
    <row r="98" spans="1:35" x14ac:dyDescent="0.25">
      <c r="A98" s="103" t="s">
        <v>106</v>
      </c>
      <c r="B98" s="65">
        <v>133.4</v>
      </c>
      <c r="C98" s="65">
        <v>133.19999999999999</v>
      </c>
      <c r="D98" s="65">
        <v>134.1</v>
      </c>
      <c r="E98" s="65">
        <v>132.4</v>
      </c>
      <c r="F98" s="65">
        <v>132.30000000000001</v>
      </c>
      <c r="G98" s="65">
        <v>131.69999999999999</v>
      </c>
      <c r="H98" s="65">
        <v>130.30000000000001</v>
      </c>
      <c r="I98" s="65">
        <v>129.6</v>
      </c>
      <c r="J98" s="65">
        <v>129</v>
      </c>
      <c r="K98" s="65">
        <v>128.80000000000001</v>
      </c>
      <c r="L98" s="65">
        <v>128.1</v>
      </c>
      <c r="M98" s="65">
        <v>129.69999999999999</v>
      </c>
      <c r="N98" s="65">
        <v>126.4</v>
      </c>
      <c r="O98" s="65">
        <v>130</v>
      </c>
      <c r="P98" s="65">
        <v>128</v>
      </c>
      <c r="Q98" s="65">
        <v>130</v>
      </c>
      <c r="R98" s="65">
        <v>130.6</v>
      </c>
      <c r="S98" s="65">
        <v>129.19999999999999</v>
      </c>
      <c r="T98" s="65">
        <v>129.6</v>
      </c>
      <c r="U98" s="65">
        <v>129.80000000000001</v>
      </c>
      <c r="V98" s="65">
        <v>129.6</v>
      </c>
      <c r="W98" s="65">
        <v>129.6</v>
      </c>
      <c r="X98" s="65"/>
      <c r="Y98" s="65">
        <v>132.19999999999999</v>
      </c>
      <c r="Z98" s="65">
        <v>129.30000000000001</v>
      </c>
      <c r="AA98" s="65">
        <v>129.30000000000001</v>
      </c>
      <c r="AB98" s="65">
        <v>130.6</v>
      </c>
      <c r="AC98" s="65">
        <v>130.19999999999999</v>
      </c>
      <c r="AD98" s="65">
        <v>132.19999999999999</v>
      </c>
      <c r="AE98" s="65">
        <v>132.5</v>
      </c>
      <c r="AF98" s="65">
        <v>132.30000000000001</v>
      </c>
      <c r="AG98" s="104"/>
      <c r="AH98" s="47">
        <f t="shared" si="9"/>
        <v>134.1</v>
      </c>
      <c r="AI98" s="48">
        <f t="shared" si="10"/>
        <v>126.4</v>
      </c>
    </row>
    <row r="99" spans="1:35" x14ac:dyDescent="0.25">
      <c r="A99" s="105" t="s">
        <v>107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104"/>
      <c r="AH99" s="47">
        <f t="shared" si="9"/>
        <v>0</v>
      </c>
      <c r="AI99" s="48">
        <f t="shared" si="10"/>
        <v>0</v>
      </c>
    </row>
    <row r="100" spans="1:35" x14ac:dyDescent="0.25">
      <c r="A100" s="105" t="s">
        <v>108</v>
      </c>
      <c r="B100" s="106">
        <v>133.80000000000001</v>
      </c>
      <c r="C100" s="106">
        <v>134</v>
      </c>
      <c r="D100" s="106">
        <v>132</v>
      </c>
      <c r="E100" s="106">
        <v>132.6</v>
      </c>
      <c r="F100" s="106">
        <v>134.30000000000001</v>
      </c>
      <c r="G100" s="106">
        <v>135.19999999999999</v>
      </c>
      <c r="H100" s="106">
        <v>134</v>
      </c>
      <c r="I100" s="106">
        <v>133.1</v>
      </c>
      <c r="J100" s="106">
        <v>133.4</v>
      </c>
      <c r="K100" s="106">
        <v>132.80000000000001</v>
      </c>
      <c r="L100" s="106">
        <v>135.69999999999999</v>
      </c>
      <c r="M100" s="106">
        <v>133.5</v>
      </c>
      <c r="N100" s="106">
        <v>136.1</v>
      </c>
      <c r="O100" s="106">
        <v>134.5</v>
      </c>
      <c r="P100" s="106">
        <v>134.69999999999999</v>
      </c>
      <c r="Q100" s="106">
        <v>133</v>
      </c>
      <c r="R100" s="106">
        <v>133.6</v>
      </c>
      <c r="S100" s="106">
        <v>133.30000000000001</v>
      </c>
      <c r="T100" s="106">
        <v>136.4</v>
      </c>
      <c r="U100" s="106">
        <v>133.4</v>
      </c>
      <c r="V100" s="106">
        <v>134.80000000000001</v>
      </c>
      <c r="W100" s="106">
        <v>134.80000000000001</v>
      </c>
      <c r="X100" s="106">
        <v>133.1</v>
      </c>
      <c r="Y100" s="106">
        <v>136</v>
      </c>
      <c r="Z100" s="106">
        <v>134</v>
      </c>
      <c r="AA100" s="106">
        <v>135</v>
      </c>
      <c r="AB100" s="106">
        <v>136.9</v>
      </c>
      <c r="AC100" s="106">
        <v>134.4</v>
      </c>
      <c r="AD100" s="106">
        <v>135.30000000000001</v>
      </c>
      <c r="AE100" s="106">
        <v>135.5</v>
      </c>
      <c r="AF100" s="106">
        <v>133.69999999999999</v>
      </c>
      <c r="AG100" s="107"/>
      <c r="AH100" s="47">
        <f t="shared" si="9"/>
        <v>136.9</v>
      </c>
      <c r="AI100" s="48">
        <f t="shared" si="10"/>
        <v>132</v>
      </c>
    </row>
    <row r="101" spans="1:35" x14ac:dyDescent="0.25">
      <c r="A101" s="103" t="s">
        <v>109</v>
      </c>
      <c r="B101" s="65">
        <v>130.69999999999999</v>
      </c>
      <c r="C101" s="65">
        <v>132.19999999999999</v>
      </c>
      <c r="D101" s="65">
        <v>135</v>
      </c>
      <c r="E101" s="65">
        <v>132.6</v>
      </c>
      <c r="F101" s="65">
        <v>133.69999999999999</v>
      </c>
      <c r="G101" s="65">
        <v>133.1</v>
      </c>
      <c r="H101" s="65">
        <v>132.80000000000001</v>
      </c>
      <c r="I101" s="65">
        <v>132.1</v>
      </c>
      <c r="J101" s="65">
        <v>130.1</v>
      </c>
      <c r="K101" s="65">
        <v>129.5</v>
      </c>
      <c r="L101" s="65">
        <v>131.1</v>
      </c>
      <c r="M101" s="65">
        <v>128.6</v>
      </c>
      <c r="N101" s="65">
        <v>130.4</v>
      </c>
      <c r="O101" s="65">
        <v>128.19999999999999</v>
      </c>
      <c r="P101" s="65">
        <v>127.6</v>
      </c>
      <c r="Q101" s="65">
        <v>128.69999999999999</v>
      </c>
      <c r="R101" s="65">
        <v>128</v>
      </c>
      <c r="S101" s="65">
        <v>128.9</v>
      </c>
      <c r="T101" s="65">
        <v>126.9</v>
      </c>
      <c r="U101" s="65">
        <v>130</v>
      </c>
      <c r="V101" s="65">
        <v>134.69999999999999</v>
      </c>
      <c r="W101" s="65">
        <v>134.69999999999999</v>
      </c>
      <c r="X101" s="65">
        <v>130</v>
      </c>
      <c r="Y101" s="65">
        <v>129.6</v>
      </c>
      <c r="Z101" s="65">
        <v>132</v>
      </c>
      <c r="AA101" s="65">
        <v>130.6</v>
      </c>
      <c r="AB101" s="65">
        <v>133.9</v>
      </c>
      <c r="AC101" s="65">
        <v>135</v>
      </c>
      <c r="AD101" s="65">
        <v>131.6</v>
      </c>
      <c r="AE101" s="65">
        <v>135.1</v>
      </c>
      <c r="AF101" s="65">
        <v>134.6</v>
      </c>
      <c r="AG101" s="104"/>
      <c r="AH101" s="47">
        <f t="shared" si="9"/>
        <v>135.1</v>
      </c>
      <c r="AI101" s="48">
        <f t="shared" si="10"/>
        <v>126.9</v>
      </c>
    </row>
    <row r="102" spans="1:35" ht="15.75" thickBot="1" x14ac:dyDescent="0.3">
      <c r="A102" s="103" t="s">
        <v>110</v>
      </c>
      <c r="B102" s="92">
        <v>66.5</v>
      </c>
      <c r="C102" s="92">
        <v>67.099999999999994</v>
      </c>
      <c r="D102" s="92">
        <v>66.8</v>
      </c>
      <c r="E102" s="92">
        <v>67.099999999999994</v>
      </c>
      <c r="F102" s="92">
        <v>67.099999999999994</v>
      </c>
      <c r="G102" s="92">
        <v>66.900000000000006</v>
      </c>
      <c r="H102" s="92">
        <v>66.3</v>
      </c>
      <c r="I102" s="92">
        <v>66.099999999999994</v>
      </c>
      <c r="J102" s="92">
        <v>64.8</v>
      </c>
      <c r="K102" s="92">
        <v>64.2</v>
      </c>
      <c r="L102" s="92">
        <v>64.3</v>
      </c>
      <c r="M102" s="92">
        <v>63</v>
      </c>
      <c r="N102" s="92">
        <v>64.7</v>
      </c>
      <c r="O102" s="92">
        <v>64.099999999999994</v>
      </c>
      <c r="P102" s="92">
        <v>64.7</v>
      </c>
      <c r="Q102" s="92">
        <v>63.8</v>
      </c>
      <c r="R102" s="92">
        <v>63.9</v>
      </c>
      <c r="S102" s="92">
        <v>64.599999999999994</v>
      </c>
      <c r="T102" s="92">
        <v>64.5</v>
      </c>
      <c r="U102" s="92">
        <v>64.3</v>
      </c>
      <c r="V102" s="92">
        <v>65.2</v>
      </c>
      <c r="W102" s="92">
        <v>65.2</v>
      </c>
      <c r="X102" s="92">
        <v>63.8</v>
      </c>
      <c r="Y102" s="92">
        <v>63.9</v>
      </c>
      <c r="Z102" s="92">
        <v>64.3</v>
      </c>
      <c r="AA102" s="92">
        <v>64.3</v>
      </c>
      <c r="AB102" s="92">
        <v>64.7</v>
      </c>
      <c r="AC102" s="92">
        <v>64.7</v>
      </c>
      <c r="AD102" s="92">
        <v>64.900000000000006</v>
      </c>
      <c r="AE102" s="92">
        <v>65.7</v>
      </c>
      <c r="AF102" s="92">
        <v>65.5</v>
      </c>
      <c r="AG102" s="108"/>
      <c r="AH102" s="47">
        <f t="shared" si="9"/>
        <v>67.099999999999994</v>
      </c>
      <c r="AI102" s="48">
        <f t="shared" si="10"/>
        <v>63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9"/>
        <v>0</v>
      </c>
      <c r="AI103" s="48">
        <f t="shared" si="10"/>
        <v>0</v>
      </c>
    </row>
    <row r="104" spans="1:35" ht="15.75" thickBot="1" x14ac:dyDescent="0.3">
      <c r="A104" s="110" t="s">
        <v>112</v>
      </c>
      <c r="B104" s="111">
        <f t="shared" ref="B104:AF104" si="17">SUM(B16,B22,B25:B26,B52,B54:B55,B57,B59,B105:B109,B131,B137,B143,B152,B154,B166,B173,B176:B177,B184,B186,B188,B192:B194,B196:B198,B203,B209:B210,B212:B214,B222,B227)</f>
        <v>129.80000000000001</v>
      </c>
      <c r="C104" s="111">
        <f>SUM(C16,C22,C25:C26,C52,C54:C55,C57,C59,C105:C109,C131,C137,C143,C152,C154,C166,C173,C176:C177,C184,C186,C188,C192:C194,C196:C198,C203,C209:C210,C212:C214,C222,C227)</f>
        <v>131.13999999999999</v>
      </c>
      <c r="D104" s="111">
        <f>SUM(D16,D22,D25:D26,D52,D54:D55,D57,D59,D105:D109,D131,D137,D143,D152,D154,D166,D173,D176:D177,D184,D186,D188,D192:D194,D196:D198,D203,D209:D210,D212:D214,D222,D227)</f>
        <v>121.03999999999999</v>
      </c>
      <c r="E104" s="111">
        <f t="shared" si="17"/>
        <v>118.44</v>
      </c>
      <c r="F104" s="111">
        <f t="shared" si="17"/>
        <v>118.74</v>
      </c>
      <c r="G104" s="111">
        <f t="shared" si="17"/>
        <v>134.33999999999997</v>
      </c>
      <c r="H104" s="111">
        <f t="shared" si="17"/>
        <v>154.73999999999998</v>
      </c>
      <c r="I104" s="111">
        <f t="shared" si="17"/>
        <v>174.94</v>
      </c>
      <c r="J104" s="111">
        <f t="shared" si="17"/>
        <v>227.44000000000003</v>
      </c>
      <c r="K104" s="111">
        <f t="shared" si="17"/>
        <v>256.74</v>
      </c>
      <c r="L104" s="111">
        <f t="shared" si="17"/>
        <v>344.44</v>
      </c>
      <c r="M104" s="111">
        <f t="shared" si="17"/>
        <v>372.54</v>
      </c>
      <c r="N104" s="111">
        <f t="shared" si="17"/>
        <v>371.94</v>
      </c>
      <c r="O104" s="111">
        <f t="shared" si="17"/>
        <v>366.44</v>
      </c>
      <c r="P104" s="111">
        <v>42</v>
      </c>
      <c r="Q104" s="111">
        <f t="shared" si="17"/>
        <v>304.39999999999998</v>
      </c>
      <c r="R104" s="111">
        <f t="shared" si="17"/>
        <v>298.70000000000005</v>
      </c>
      <c r="S104" s="111">
        <f t="shared" si="17"/>
        <v>289.3</v>
      </c>
      <c r="T104" s="111">
        <f t="shared" si="17"/>
        <v>298.5</v>
      </c>
      <c r="U104" s="111">
        <f t="shared" si="17"/>
        <v>307.2</v>
      </c>
      <c r="V104" s="111">
        <f t="shared" si="17"/>
        <v>297.29999999999995</v>
      </c>
      <c r="W104" s="111">
        <f t="shared" si="17"/>
        <v>338.7</v>
      </c>
      <c r="X104" s="111">
        <f t="shared" si="17"/>
        <v>425.7</v>
      </c>
      <c r="Y104" s="111">
        <f t="shared" si="17"/>
        <v>462.9</v>
      </c>
      <c r="Z104" s="111">
        <f t="shared" si="17"/>
        <v>452.70000000000005</v>
      </c>
      <c r="AA104" s="111">
        <f t="shared" si="17"/>
        <v>425.8</v>
      </c>
      <c r="AB104" s="111">
        <f t="shared" si="17"/>
        <v>423.7</v>
      </c>
      <c r="AC104" s="111">
        <f t="shared" si="17"/>
        <v>408.30000000000007</v>
      </c>
      <c r="AD104" s="111">
        <f t="shared" si="17"/>
        <v>368.1</v>
      </c>
      <c r="AE104" s="111">
        <f t="shared" si="17"/>
        <v>257.39999999999998</v>
      </c>
      <c r="AF104" s="111">
        <f t="shared" si="17"/>
        <v>191.8</v>
      </c>
      <c r="AG104" s="112"/>
      <c r="AH104" s="47">
        <f t="shared" si="9"/>
        <v>462.9</v>
      </c>
      <c r="AI104" s="48">
        <f t="shared" si="10"/>
        <v>42</v>
      </c>
    </row>
    <row r="105" spans="1:35" x14ac:dyDescent="0.25">
      <c r="A105" s="100" t="s">
        <v>113</v>
      </c>
      <c r="B105" s="113">
        <v>-9.8000000000000007</v>
      </c>
      <c r="C105" s="113">
        <v>-6.4</v>
      </c>
      <c r="D105" s="113">
        <v>-11.5</v>
      </c>
      <c r="E105" s="113">
        <v>-8.3000000000000007</v>
      </c>
      <c r="F105" s="113">
        <v>3.3</v>
      </c>
      <c r="G105" s="113">
        <v>5.6</v>
      </c>
      <c r="H105" s="113">
        <v>1.2</v>
      </c>
      <c r="I105" s="113">
        <v>1.6</v>
      </c>
      <c r="J105" s="113">
        <v>20.7</v>
      </c>
      <c r="K105" s="113">
        <v>31.1</v>
      </c>
      <c r="L105" s="113">
        <v>35.4</v>
      </c>
      <c r="M105" s="113">
        <v>39.4</v>
      </c>
      <c r="N105" s="113">
        <v>45</v>
      </c>
      <c r="O105" s="113">
        <v>49.1</v>
      </c>
      <c r="P105" s="113">
        <v>38.6</v>
      </c>
      <c r="Q105" s="113">
        <v>30.7</v>
      </c>
      <c r="R105" s="113">
        <v>24.4</v>
      </c>
      <c r="S105" s="113">
        <v>23</v>
      </c>
      <c r="T105" s="113">
        <v>25.9</v>
      </c>
      <c r="U105" s="113">
        <v>32.299999999999997</v>
      </c>
      <c r="V105" s="113">
        <v>39.6</v>
      </c>
      <c r="W105" s="113">
        <v>39.6</v>
      </c>
      <c r="X105" s="113">
        <v>48.1</v>
      </c>
      <c r="Y105" s="113">
        <v>48.6</v>
      </c>
      <c r="Z105" s="113">
        <v>49.3</v>
      </c>
      <c r="AA105" s="113">
        <v>48.8</v>
      </c>
      <c r="AB105" s="113">
        <v>52.6</v>
      </c>
      <c r="AC105" s="113">
        <v>51.6</v>
      </c>
      <c r="AD105" s="113">
        <v>46.2</v>
      </c>
      <c r="AE105" s="113">
        <v>13.9</v>
      </c>
      <c r="AF105" s="113">
        <v>0</v>
      </c>
      <c r="AG105" s="114">
        <v>75</v>
      </c>
      <c r="AH105" s="47">
        <f t="shared" si="9"/>
        <v>52.6</v>
      </c>
      <c r="AI105" s="48">
        <f t="shared" si="10"/>
        <v>-11.5</v>
      </c>
    </row>
    <row r="106" spans="1:35" x14ac:dyDescent="0.25">
      <c r="A106" s="103" t="s">
        <v>114</v>
      </c>
      <c r="B106" s="115">
        <v>-8</v>
      </c>
      <c r="C106" s="115">
        <v>-4.0999999999999996</v>
      </c>
      <c r="D106" s="115">
        <v>-10.3</v>
      </c>
      <c r="E106" s="115">
        <v>-6</v>
      </c>
      <c r="F106" s="115">
        <v>8.3000000000000007</v>
      </c>
      <c r="G106" s="115">
        <v>14.1</v>
      </c>
      <c r="H106" s="115">
        <v>7.5</v>
      </c>
      <c r="I106" s="115">
        <v>5.9</v>
      </c>
      <c r="J106" s="115">
        <v>35.5</v>
      </c>
      <c r="K106" s="115">
        <v>46.4</v>
      </c>
      <c r="L106" s="115">
        <v>49.4</v>
      </c>
      <c r="M106" s="115">
        <v>53.1</v>
      </c>
      <c r="N106" s="115">
        <v>64</v>
      </c>
      <c r="O106" s="115">
        <v>69.8</v>
      </c>
      <c r="P106" s="115">
        <v>54.5</v>
      </c>
      <c r="Q106" s="115">
        <v>44.4</v>
      </c>
      <c r="R106" s="115">
        <v>36.799999999999997</v>
      </c>
      <c r="S106" s="115">
        <v>34.9</v>
      </c>
      <c r="T106" s="115">
        <v>35.1</v>
      </c>
      <c r="U106" s="115">
        <v>44.2</v>
      </c>
      <c r="V106" s="115">
        <v>51.6</v>
      </c>
      <c r="W106" s="115">
        <v>51.6</v>
      </c>
      <c r="X106" s="115">
        <v>61.4</v>
      </c>
      <c r="Y106" s="115">
        <v>61.6</v>
      </c>
      <c r="Z106" s="115">
        <v>62.3</v>
      </c>
      <c r="AA106" s="115">
        <v>61.5</v>
      </c>
      <c r="AB106" s="115">
        <v>67</v>
      </c>
      <c r="AC106" s="115">
        <v>66</v>
      </c>
      <c r="AD106" s="115">
        <v>57.5</v>
      </c>
      <c r="AE106" s="115">
        <v>16.2</v>
      </c>
      <c r="AF106" s="115">
        <v>0</v>
      </c>
      <c r="AG106" s="114">
        <v>240</v>
      </c>
      <c r="AH106" s="47">
        <f t="shared" si="9"/>
        <v>69.8</v>
      </c>
      <c r="AI106" s="48">
        <f t="shared" si="10"/>
        <v>-10.3</v>
      </c>
    </row>
    <row r="107" spans="1:35" x14ac:dyDescent="0.25">
      <c r="A107" s="103" t="s">
        <v>115</v>
      </c>
      <c r="B107" s="115">
        <v>-49</v>
      </c>
      <c r="C107" s="115">
        <f>-23-26</f>
        <v>-49</v>
      </c>
      <c r="D107" s="115">
        <f>-24-26</f>
        <v>-50</v>
      </c>
      <c r="E107" s="115">
        <f>-28.8-26.7</f>
        <v>-55.5</v>
      </c>
      <c r="F107" s="115">
        <f>-31.4-34.5</f>
        <v>-65.900000000000006</v>
      </c>
      <c r="G107" s="115">
        <f>-27.6-29.7</f>
        <v>-57.3</v>
      </c>
      <c r="H107" s="115">
        <f>-22.1-23.9</f>
        <v>-46</v>
      </c>
      <c r="I107" s="115">
        <f>-16.4-17.5</f>
        <v>-33.9</v>
      </c>
      <c r="J107" s="115">
        <f>-18.6-20.7</f>
        <v>-39.299999999999997</v>
      </c>
      <c r="K107" s="115">
        <f>-17.6-19</f>
        <v>-36.6</v>
      </c>
      <c r="L107" s="115">
        <f>8.6+7.9</f>
        <v>16.5</v>
      </c>
      <c r="M107" s="115">
        <v>19.600000000000001</v>
      </c>
      <c r="N107" s="115">
        <v>-10.8</v>
      </c>
      <c r="O107" s="115">
        <v>2.6</v>
      </c>
      <c r="P107" s="115">
        <v>1.1000000000000001</v>
      </c>
      <c r="Q107" s="115">
        <v>-12</v>
      </c>
      <c r="R107" s="115">
        <v>-8</v>
      </c>
      <c r="S107" s="115">
        <v>-9</v>
      </c>
      <c r="T107" s="115">
        <v>-5</v>
      </c>
      <c r="U107" s="115">
        <v>-2.5</v>
      </c>
      <c r="V107" s="115">
        <v>19.2</v>
      </c>
      <c r="W107" s="115">
        <v>19.2</v>
      </c>
      <c r="X107" s="115">
        <v>27.6</v>
      </c>
      <c r="Y107" s="115">
        <f>35+33</f>
        <v>68</v>
      </c>
      <c r="Z107" s="115">
        <f>34+33</f>
        <v>67</v>
      </c>
      <c r="AA107" s="115">
        <v>50</v>
      </c>
      <c r="AB107" s="115">
        <v>51</v>
      </c>
      <c r="AC107" s="115">
        <v>47</v>
      </c>
      <c r="AD107" s="115">
        <v>19</v>
      </c>
      <c r="AE107" s="115">
        <f>0.5+0.7</f>
        <v>1.2</v>
      </c>
      <c r="AF107" s="115">
        <f>-11.7-12.3</f>
        <v>-24</v>
      </c>
      <c r="AG107" s="114">
        <v>240</v>
      </c>
      <c r="AH107" s="47">
        <f t="shared" si="9"/>
        <v>68</v>
      </c>
      <c r="AI107" s="48">
        <f t="shared" si="10"/>
        <v>-65.900000000000006</v>
      </c>
    </row>
    <row r="108" spans="1:35" x14ac:dyDescent="0.25">
      <c r="A108" s="103" t="s">
        <v>116</v>
      </c>
      <c r="B108" s="115">
        <v>-5</v>
      </c>
      <c r="C108" s="115">
        <v>-0.2</v>
      </c>
      <c r="D108" s="115">
        <v>-2.2999999999999998</v>
      </c>
      <c r="E108" s="115">
        <v>-1.8</v>
      </c>
      <c r="F108" s="115">
        <v>-5.4</v>
      </c>
      <c r="G108" s="115">
        <v>-3.7</v>
      </c>
      <c r="H108" s="115">
        <v>0.7</v>
      </c>
      <c r="I108" s="115">
        <v>0.8</v>
      </c>
      <c r="J108" s="115">
        <v>5</v>
      </c>
      <c r="K108" s="115">
        <v>3.1</v>
      </c>
      <c r="L108" s="115">
        <v>14.5</v>
      </c>
      <c r="M108" s="115">
        <v>13.1</v>
      </c>
      <c r="N108" s="115">
        <v>29.7</v>
      </c>
      <c r="O108" s="115">
        <v>12.3</v>
      </c>
      <c r="P108" s="115">
        <v>13.1</v>
      </c>
      <c r="Q108" s="115">
        <v>8.1999999999999993</v>
      </c>
      <c r="R108" s="115">
        <v>9.6</v>
      </c>
      <c r="S108" s="115">
        <v>9.5</v>
      </c>
      <c r="T108" s="115">
        <v>8.6999999999999993</v>
      </c>
      <c r="U108" s="115">
        <v>11.8</v>
      </c>
      <c r="V108" s="115">
        <v>15</v>
      </c>
      <c r="W108" s="115">
        <v>15</v>
      </c>
      <c r="X108" s="115">
        <v>46.9</v>
      </c>
      <c r="Y108" s="115">
        <v>50.5</v>
      </c>
      <c r="Z108" s="115">
        <v>46.3</v>
      </c>
      <c r="AA108" s="115">
        <v>40.799999999999997</v>
      </c>
      <c r="AB108" s="115">
        <v>36.200000000000003</v>
      </c>
      <c r="AC108" s="115">
        <v>33.1</v>
      </c>
      <c r="AD108" s="115">
        <v>18.7</v>
      </c>
      <c r="AE108" s="115">
        <v>11</v>
      </c>
      <c r="AF108" s="115">
        <v>4.4000000000000004</v>
      </c>
      <c r="AG108" s="114">
        <v>60</v>
      </c>
      <c r="AH108" s="47">
        <f t="shared" si="9"/>
        <v>50.5</v>
      </c>
      <c r="AI108" s="48">
        <f t="shared" si="10"/>
        <v>-5.4</v>
      </c>
    </row>
    <row r="109" spans="1:35" x14ac:dyDescent="0.25">
      <c r="A109" s="116" t="s">
        <v>117</v>
      </c>
      <c r="B109" s="117">
        <v>78.2</v>
      </c>
      <c r="C109" s="117">
        <v>69</v>
      </c>
      <c r="D109" s="117">
        <v>73.5</v>
      </c>
      <c r="E109" s="117">
        <v>68.400000000000006</v>
      </c>
      <c r="F109" s="117">
        <v>56.6</v>
      </c>
      <c r="G109" s="117">
        <v>53.8</v>
      </c>
      <c r="H109" s="117">
        <v>69.7</v>
      </c>
      <c r="I109" s="117">
        <v>78.599999999999994</v>
      </c>
      <c r="J109" s="117">
        <v>85.9</v>
      </c>
      <c r="K109" s="117">
        <v>92.8</v>
      </c>
      <c r="L109" s="117">
        <v>108.5</v>
      </c>
      <c r="M109" s="117">
        <v>123.4</v>
      </c>
      <c r="N109" s="117">
        <v>119.1</v>
      </c>
      <c r="O109" s="117">
        <v>107</v>
      </c>
      <c r="P109" s="117">
        <v>111.3</v>
      </c>
      <c r="Q109" s="117">
        <v>110.5</v>
      </c>
      <c r="R109" s="117">
        <v>114</v>
      </c>
      <c r="S109" s="117">
        <v>109</v>
      </c>
      <c r="T109" s="117">
        <v>111.6</v>
      </c>
      <c r="U109" s="117">
        <v>99.5</v>
      </c>
      <c r="V109" s="117">
        <v>90.6</v>
      </c>
      <c r="W109" s="117">
        <v>90.6</v>
      </c>
      <c r="X109" s="117">
        <v>119</v>
      </c>
      <c r="Y109" s="117">
        <v>111.5</v>
      </c>
      <c r="Z109" s="117">
        <v>105.1</v>
      </c>
      <c r="AA109" s="117">
        <v>102</v>
      </c>
      <c r="AB109" s="117">
        <v>96.2</v>
      </c>
      <c r="AC109" s="117">
        <v>89.9</v>
      </c>
      <c r="AD109" s="117">
        <v>106</v>
      </c>
      <c r="AE109" s="117">
        <v>89.7</v>
      </c>
      <c r="AF109" s="117">
        <v>90.3</v>
      </c>
      <c r="AG109" s="118">
        <v>120</v>
      </c>
      <c r="AH109" s="47">
        <f t="shared" si="9"/>
        <v>123.4</v>
      </c>
      <c r="AI109" s="48">
        <f t="shared" si="10"/>
        <v>53.8</v>
      </c>
    </row>
    <row r="110" spans="1:35" x14ac:dyDescent="0.25">
      <c r="A110" s="116" t="s">
        <v>118</v>
      </c>
      <c r="B110" s="117">
        <v>95</v>
      </c>
      <c r="C110" s="117">
        <v>91</v>
      </c>
      <c r="D110" s="117">
        <v>90</v>
      </c>
      <c r="E110" s="117">
        <v>74.900000000000006</v>
      </c>
      <c r="F110" s="117">
        <v>68.8</v>
      </c>
      <c r="G110" s="117">
        <v>62.1</v>
      </c>
      <c r="H110" s="117">
        <v>72.5</v>
      </c>
      <c r="I110" s="117">
        <v>78.7</v>
      </c>
      <c r="J110" s="117">
        <v>86.7</v>
      </c>
      <c r="K110" s="117">
        <v>82</v>
      </c>
      <c r="L110" s="117">
        <v>88</v>
      </c>
      <c r="M110" s="117">
        <v>98.5</v>
      </c>
      <c r="N110" s="117">
        <v>0</v>
      </c>
      <c r="O110" s="117">
        <v>97.3</v>
      </c>
      <c r="P110" s="117">
        <v>98.1</v>
      </c>
      <c r="Q110" s="117">
        <v>100.3</v>
      </c>
      <c r="R110" s="117">
        <v>111</v>
      </c>
      <c r="S110" s="117">
        <v>100.8</v>
      </c>
      <c r="T110" s="117">
        <v>103</v>
      </c>
      <c r="U110" s="117">
        <v>85</v>
      </c>
      <c r="V110" s="117">
        <v>66.5</v>
      </c>
      <c r="W110" s="117">
        <v>66.5</v>
      </c>
      <c r="X110" s="117">
        <v>82.2</v>
      </c>
      <c r="Y110" s="117">
        <v>91.5</v>
      </c>
      <c r="Z110" s="117">
        <v>91.6</v>
      </c>
      <c r="AA110" s="117">
        <v>91</v>
      </c>
      <c r="AB110" s="117">
        <v>94</v>
      </c>
      <c r="AC110" s="117">
        <v>98.6</v>
      </c>
      <c r="AD110" s="117">
        <v>81</v>
      </c>
      <c r="AE110" s="117">
        <v>76.599999999999994</v>
      </c>
      <c r="AF110" s="117">
        <v>85.9</v>
      </c>
      <c r="AG110" s="118"/>
      <c r="AH110" s="47">
        <f t="shared" si="9"/>
        <v>111</v>
      </c>
      <c r="AI110" s="48">
        <f t="shared" si="10"/>
        <v>0</v>
      </c>
    </row>
    <row r="111" spans="1:35" x14ac:dyDescent="0.25">
      <c r="A111" s="116" t="s">
        <v>119</v>
      </c>
      <c r="B111" s="117">
        <v>38.200000000000003</v>
      </c>
      <c r="C111" s="117">
        <v>36.4</v>
      </c>
      <c r="D111" s="117">
        <v>46</v>
      </c>
      <c r="E111" s="117">
        <v>47.5</v>
      </c>
      <c r="F111" s="117">
        <v>36.4</v>
      </c>
      <c r="G111" s="117">
        <v>35.700000000000003</v>
      </c>
      <c r="H111" s="117">
        <v>35.200000000000003</v>
      </c>
      <c r="I111" s="117">
        <v>41.6</v>
      </c>
      <c r="J111" s="117">
        <v>23.6</v>
      </c>
      <c r="K111" s="117">
        <v>25.9</v>
      </c>
      <c r="L111" s="117">
        <v>7.3</v>
      </c>
      <c r="M111" s="117">
        <v>5.4</v>
      </c>
      <c r="N111" s="117">
        <v>0.6</v>
      </c>
      <c r="O111" s="117">
        <v>-1.9</v>
      </c>
      <c r="P111" s="117">
        <v>7.6</v>
      </c>
      <c r="Q111" s="117">
        <v>7.7</v>
      </c>
      <c r="R111" s="117">
        <v>12.5</v>
      </c>
      <c r="S111" s="117">
        <v>15.8</v>
      </c>
      <c r="T111" s="117">
        <v>13.6</v>
      </c>
      <c r="U111" s="117">
        <v>3.5</v>
      </c>
      <c r="V111" s="117">
        <v>-5.4</v>
      </c>
      <c r="W111" s="117">
        <v>-5.4</v>
      </c>
      <c r="X111" s="117">
        <v>-2.2000000000000002</v>
      </c>
      <c r="Y111" s="117">
        <v>-1.1000000000000001</v>
      </c>
      <c r="Z111" s="117">
        <v>-0.8</v>
      </c>
      <c r="AA111" s="117">
        <v>5.7</v>
      </c>
      <c r="AB111" s="117">
        <v>3.1</v>
      </c>
      <c r="AC111" s="117">
        <v>5.4</v>
      </c>
      <c r="AD111" s="117">
        <v>6.9</v>
      </c>
      <c r="AE111" s="117">
        <v>25</v>
      </c>
      <c r="AF111" s="117">
        <v>30</v>
      </c>
      <c r="AG111" s="119"/>
      <c r="AH111" s="47">
        <f t="shared" si="9"/>
        <v>47.5</v>
      </c>
      <c r="AI111" s="48">
        <f t="shared" si="10"/>
        <v>-5.4</v>
      </c>
    </row>
    <row r="112" spans="1:35" x14ac:dyDescent="0.25">
      <c r="A112" s="120" t="s">
        <v>120</v>
      </c>
      <c r="B112" s="106">
        <v>50.5</v>
      </c>
      <c r="C112" s="106">
        <v>52.7</v>
      </c>
      <c r="D112" s="106">
        <v>52.4</v>
      </c>
      <c r="E112" s="106">
        <v>57</v>
      </c>
      <c r="F112" s="106">
        <v>54.6</v>
      </c>
      <c r="G112" s="106">
        <v>48.8</v>
      </c>
      <c r="H112" s="106">
        <v>45.5</v>
      </c>
      <c r="I112" s="106">
        <v>39.4</v>
      </c>
      <c r="J112" s="106">
        <v>25.4</v>
      </c>
      <c r="K112" s="106">
        <v>12.9</v>
      </c>
      <c r="L112" s="106">
        <v>3.1</v>
      </c>
      <c r="M112" s="106">
        <v>-2.5</v>
      </c>
      <c r="N112" s="106">
        <v>0</v>
      </c>
      <c r="O112" s="106">
        <v>3.8</v>
      </c>
      <c r="P112" s="106">
        <v>8</v>
      </c>
      <c r="Q112" s="106">
        <v>18</v>
      </c>
      <c r="R112" s="106">
        <v>18.2</v>
      </c>
      <c r="S112" s="106">
        <v>12.2</v>
      </c>
      <c r="T112" s="106">
        <v>13.9</v>
      </c>
      <c r="U112" s="106">
        <v>13.3</v>
      </c>
      <c r="V112" s="106">
        <v>-6.3</v>
      </c>
      <c r="W112" s="106">
        <v>-6.3</v>
      </c>
      <c r="X112" s="106"/>
      <c r="Y112" s="106">
        <v>-37.1</v>
      </c>
      <c r="Z112" s="106">
        <v>29.3</v>
      </c>
      <c r="AA112" s="106">
        <v>-22.3</v>
      </c>
      <c r="AB112" s="106">
        <v>-18</v>
      </c>
      <c r="AC112" s="106">
        <v>-13</v>
      </c>
      <c r="AD112" s="106">
        <v>0.7</v>
      </c>
      <c r="AE112" s="106">
        <v>23.7</v>
      </c>
      <c r="AF112" s="106">
        <v>31.5</v>
      </c>
      <c r="AG112" s="119"/>
      <c r="AH112" s="47">
        <f t="shared" si="9"/>
        <v>57</v>
      </c>
      <c r="AI112" s="48">
        <f t="shared" si="10"/>
        <v>-37.1</v>
      </c>
    </row>
    <row r="113" spans="1:37" ht="15.75" thickBot="1" x14ac:dyDescent="0.3">
      <c r="A113" s="120" t="s">
        <v>121</v>
      </c>
      <c r="B113" s="106">
        <v>23.5</v>
      </c>
      <c r="C113" s="106">
        <v>24.8</v>
      </c>
      <c r="D113" s="106">
        <v>22.6</v>
      </c>
      <c r="E113" s="106">
        <v>24.7</v>
      </c>
      <c r="F113" s="106">
        <v>37.6</v>
      </c>
      <c r="G113" s="106">
        <v>34</v>
      </c>
      <c r="H113" s="106">
        <v>27.7</v>
      </c>
      <c r="I113" s="106">
        <v>14.3</v>
      </c>
      <c r="J113" s="106">
        <v>26.7</v>
      </c>
      <c r="K113" s="106">
        <v>28.2</v>
      </c>
      <c r="L113" s="106">
        <v>28.2</v>
      </c>
      <c r="M113" s="106">
        <v>-14</v>
      </c>
      <c r="N113" s="106">
        <v>12.2</v>
      </c>
      <c r="O113" s="106">
        <v>3.3</v>
      </c>
      <c r="P113" s="106">
        <v>1.7</v>
      </c>
      <c r="Q113" s="106">
        <v>10.199999999999999</v>
      </c>
      <c r="R113" s="106">
        <v>3.3</v>
      </c>
      <c r="S113" s="106">
        <v>6</v>
      </c>
      <c r="T113" s="106">
        <v>5.4</v>
      </c>
      <c r="U113" s="106">
        <v>6.7</v>
      </c>
      <c r="V113" s="106">
        <v>-12.1</v>
      </c>
      <c r="W113" s="106">
        <v>-12.1</v>
      </c>
      <c r="X113" s="106">
        <v>-27</v>
      </c>
      <c r="Y113" s="106">
        <v>-28.6</v>
      </c>
      <c r="Z113" s="106">
        <v>-31.1</v>
      </c>
      <c r="AA113" s="106">
        <v>-27.4</v>
      </c>
      <c r="AB113" s="106">
        <v>-22</v>
      </c>
      <c r="AC113" s="106">
        <v>-21.5</v>
      </c>
      <c r="AD113" s="106">
        <v>-6.2</v>
      </c>
      <c r="AE113" s="106">
        <v>-10.4</v>
      </c>
      <c r="AF113" s="106">
        <v>6.2</v>
      </c>
      <c r="AG113" s="119"/>
      <c r="AH113" s="47">
        <f t="shared" si="9"/>
        <v>37.6</v>
      </c>
      <c r="AI113" s="48">
        <f t="shared" si="10"/>
        <v>-31.1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8">SUM(B115:B219)</f>
        <v>0</v>
      </c>
      <c r="C220" s="136">
        <f t="shared" si="18"/>
        <v>0</v>
      </c>
      <c r="D220" s="136">
        <f t="shared" si="18"/>
        <v>0</v>
      </c>
      <c r="E220" s="136">
        <f t="shared" si="18"/>
        <v>0</v>
      </c>
      <c r="F220" s="136">
        <f t="shared" si="18"/>
        <v>0</v>
      </c>
      <c r="G220" s="136">
        <f t="shared" si="18"/>
        <v>0</v>
      </c>
      <c r="H220" s="136">
        <f t="shared" si="18"/>
        <v>0</v>
      </c>
      <c r="I220" s="136">
        <f t="shared" si="18"/>
        <v>0</v>
      </c>
      <c r="J220" s="136">
        <f t="shared" si="18"/>
        <v>0</v>
      </c>
      <c r="K220" s="136">
        <f t="shared" si="18"/>
        <v>0</v>
      </c>
      <c r="L220" s="136">
        <f t="shared" si="18"/>
        <v>0</v>
      </c>
      <c r="M220" s="136">
        <f t="shared" si="18"/>
        <v>0</v>
      </c>
      <c r="N220" s="136">
        <f t="shared" si="18"/>
        <v>0</v>
      </c>
      <c r="O220" s="136">
        <f t="shared" si="18"/>
        <v>0</v>
      </c>
      <c r="P220" s="136">
        <f t="shared" si="18"/>
        <v>0</v>
      </c>
      <c r="Q220" s="136">
        <f t="shared" si="18"/>
        <v>0</v>
      </c>
      <c r="R220" s="136">
        <f t="shared" si="18"/>
        <v>0</v>
      </c>
      <c r="S220" s="136">
        <f t="shared" si="18"/>
        <v>0</v>
      </c>
      <c r="T220" s="136">
        <f t="shared" si="18"/>
        <v>0</v>
      </c>
      <c r="U220" s="136">
        <f t="shared" si="18"/>
        <v>0</v>
      </c>
      <c r="V220" s="136">
        <f t="shared" si="18"/>
        <v>0</v>
      </c>
      <c r="W220" s="136">
        <f t="shared" si="18"/>
        <v>0</v>
      </c>
      <c r="X220" s="136">
        <f t="shared" si="18"/>
        <v>0</v>
      </c>
      <c r="Y220" s="136">
        <f t="shared" si="18"/>
        <v>0</v>
      </c>
      <c r="Z220" s="136">
        <f t="shared" si="18"/>
        <v>0</v>
      </c>
      <c r="AA220" s="136">
        <f t="shared" si="18"/>
        <v>0</v>
      </c>
      <c r="AB220" s="136">
        <f t="shared" si="18"/>
        <v>0</v>
      </c>
      <c r="AC220" s="136">
        <f t="shared" si="18"/>
        <v>0</v>
      </c>
      <c r="AD220" s="136">
        <f t="shared" si="18"/>
        <v>0</v>
      </c>
      <c r="AE220" s="136">
        <f t="shared" si="18"/>
        <v>0</v>
      </c>
      <c r="AF220" s="137">
        <f t="shared" si="18"/>
        <v>0</v>
      </c>
      <c r="AG220" s="138">
        <f t="shared" si="18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9">AF222</f>
        <v>0</v>
      </c>
      <c r="C222" s="140">
        <v>0.3</v>
      </c>
      <c r="D222" s="140">
        <f t="shared" ref="D222:P227" si="20">C222</f>
        <v>0.3</v>
      </c>
      <c r="E222" s="140">
        <f t="shared" si="20"/>
        <v>0.3</v>
      </c>
      <c r="F222" s="140">
        <f t="shared" si="20"/>
        <v>0.3</v>
      </c>
      <c r="G222" s="140">
        <f t="shared" si="20"/>
        <v>0.3</v>
      </c>
      <c r="H222" s="140">
        <f t="shared" si="20"/>
        <v>0.3</v>
      </c>
      <c r="I222" s="140">
        <f t="shared" si="20"/>
        <v>0.3</v>
      </c>
      <c r="J222" s="140">
        <f t="shared" si="20"/>
        <v>0.3</v>
      </c>
      <c r="K222" s="140">
        <f t="shared" si="20"/>
        <v>0.3</v>
      </c>
      <c r="L222" s="140">
        <f t="shared" si="20"/>
        <v>0.3</v>
      </c>
      <c r="M222" s="140">
        <f t="shared" si="20"/>
        <v>0.3</v>
      </c>
      <c r="N222" s="140">
        <f t="shared" si="20"/>
        <v>0.3</v>
      </c>
      <c r="O222" s="140">
        <f t="shared" si="20"/>
        <v>0.3</v>
      </c>
      <c r="P222" s="140">
        <f t="shared" si="20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9"/>
        <v>0</v>
      </c>
      <c r="C223" s="128">
        <v>0.4</v>
      </c>
      <c r="D223" s="128">
        <f t="shared" si="20"/>
        <v>0.4</v>
      </c>
      <c r="E223" s="128">
        <f t="shared" si="20"/>
        <v>0.4</v>
      </c>
      <c r="F223" s="128">
        <f t="shared" si="20"/>
        <v>0.4</v>
      </c>
      <c r="G223" s="128">
        <f t="shared" si="20"/>
        <v>0.4</v>
      </c>
      <c r="H223" s="128">
        <f t="shared" si="20"/>
        <v>0.4</v>
      </c>
      <c r="I223" s="128">
        <f t="shared" si="20"/>
        <v>0.4</v>
      </c>
      <c r="J223" s="128">
        <f t="shared" si="20"/>
        <v>0.4</v>
      </c>
      <c r="K223" s="128">
        <f t="shared" si="20"/>
        <v>0.4</v>
      </c>
      <c r="L223" s="128">
        <f t="shared" si="20"/>
        <v>0.4</v>
      </c>
      <c r="M223" s="128">
        <f t="shared" si="20"/>
        <v>0.4</v>
      </c>
      <c r="N223" s="128">
        <f t="shared" si="20"/>
        <v>0.4</v>
      </c>
      <c r="O223" s="128">
        <f t="shared" si="20"/>
        <v>0.4</v>
      </c>
      <c r="P223" s="128">
        <f t="shared" si="20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9"/>
        <v>0</v>
      </c>
      <c r="C224" s="128">
        <v>1.5</v>
      </c>
      <c r="D224" s="128">
        <f t="shared" si="20"/>
        <v>1.5</v>
      </c>
      <c r="E224" s="128">
        <f t="shared" si="20"/>
        <v>1.5</v>
      </c>
      <c r="F224" s="128">
        <f t="shared" si="20"/>
        <v>1.5</v>
      </c>
      <c r="G224" s="128">
        <f t="shared" si="20"/>
        <v>1.5</v>
      </c>
      <c r="H224" s="128">
        <f t="shared" si="20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20"/>
        <v>1.5</v>
      </c>
      <c r="K224" s="128">
        <f t="shared" ca="1" si="20"/>
        <v>1.5</v>
      </c>
      <c r="L224" s="128">
        <f t="shared" ca="1" si="20"/>
        <v>1.5</v>
      </c>
      <c r="M224" s="128">
        <f t="shared" ca="1" si="20"/>
        <v>1.5</v>
      </c>
      <c r="N224" s="128">
        <f t="shared" ca="1" si="20"/>
        <v>1.5</v>
      </c>
      <c r="O224" s="128">
        <f t="shared" ca="1" si="20"/>
        <v>1.5</v>
      </c>
      <c r="P224" s="128">
        <f t="shared" ca="1" si="20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9"/>
        <v>0</v>
      </c>
      <c r="C225" s="128">
        <v>0.3</v>
      </c>
      <c r="D225" s="128">
        <f t="shared" si="20"/>
        <v>0.3</v>
      </c>
      <c r="E225" s="128">
        <f t="shared" si="20"/>
        <v>0.3</v>
      </c>
      <c r="F225" s="128">
        <f t="shared" si="20"/>
        <v>0.3</v>
      </c>
      <c r="G225" s="128">
        <f t="shared" si="20"/>
        <v>0.3</v>
      </c>
      <c r="H225" s="128">
        <f t="shared" si="20"/>
        <v>0.3</v>
      </c>
      <c r="I225" s="128">
        <f t="shared" si="20"/>
        <v>0.3</v>
      </c>
      <c r="J225" s="128">
        <f t="shared" si="20"/>
        <v>0.3</v>
      </c>
      <c r="K225" s="128">
        <f t="shared" si="20"/>
        <v>0.3</v>
      </c>
      <c r="L225" s="128">
        <f t="shared" si="20"/>
        <v>0.3</v>
      </c>
      <c r="M225" s="128">
        <f t="shared" si="20"/>
        <v>0.3</v>
      </c>
      <c r="N225" s="128">
        <f t="shared" si="20"/>
        <v>0.3</v>
      </c>
      <c r="O225" s="128">
        <f t="shared" si="20"/>
        <v>0.3</v>
      </c>
      <c r="P225" s="128">
        <f t="shared" si="20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9"/>
        <v>0</v>
      </c>
      <c r="C226" s="128">
        <v>0.4</v>
      </c>
      <c r="D226" s="128">
        <f t="shared" si="20"/>
        <v>0.4</v>
      </c>
      <c r="E226" s="128">
        <f t="shared" si="20"/>
        <v>0.4</v>
      </c>
      <c r="F226" s="128">
        <f t="shared" si="20"/>
        <v>0.4</v>
      </c>
      <c r="G226" s="128">
        <f t="shared" si="20"/>
        <v>0.4</v>
      </c>
      <c r="H226" s="128">
        <f t="shared" si="20"/>
        <v>0.4</v>
      </c>
      <c r="I226" s="128">
        <f t="shared" si="20"/>
        <v>0.4</v>
      </c>
      <c r="J226" s="128">
        <f t="shared" si="20"/>
        <v>0.4</v>
      </c>
      <c r="K226" s="128">
        <f t="shared" si="20"/>
        <v>0.4</v>
      </c>
      <c r="L226" s="128">
        <f t="shared" si="20"/>
        <v>0.4</v>
      </c>
      <c r="M226" s="128">
        <f t="shared" si="20"/>
        <v>0.4</v>
      </c>
      <c r="N226" s="128">
        <f t="shared" si="20"/>
        <v>0.4</v>
      </c>
      <c r="O226" s="128">
        <f t="shared" si="20"/>
        <v>0.4</v>
      </c>
      <c r="P226" s="128">
        <f t="shared" si="20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9"/>
        <v>0</v>
      </c>
      <c r="C227" s="132">
        <v>0.64</v>
      </c>
      <c r="D227" s="132">
        <f t="shared" si="20"/>
        <v>0.64</v>
      </c>
      <c r="E227" s="132">
        <f t="shared" si="20"/>
        <v>0.64</v>
      </c>
      <c r="F227" s="132">
        <f t="shared" si="20"/>
        <v>0.64</v>
      </c>
      <c r="G227" s="132">
        <f t="shared" si="20"/>
        <v>0.64</v>
      </c>
      <c r="H227" s="132">
        <f t="shared" si="20"/>
        <v>0.64</v>
      </c>
      <c r="I227" s="132">
        <f t="shared" si="20"/>
        <v>0.64</v>
      </c>
      <c r="J227" s="132">
        <f t="shared" si="20"/>
        <v>0.64</v>
      </c>
      <c r="K227" s="132">
        <f t="shared" si="20"/>
        <v>0.64</v>
      </c>
      <c r="L227" s="132">
        <f t="shared" si="20"/>
        <v>0.64</v>
      </c>
      <c r="M227" s="132">
        <f t="shared" si="20"/>
        <v>0.64</v>
      </c>
      <c r="N227" s="132">
        <f t="shared" si="20"/>
        <v>0.64</v>
      </c>
      <c r="O227" s="132">
        <f t="shared" si="20"/>
        <v>0.64</v>
      </c>
      <c r="P227" s="132">
        <f t="shared" si="20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21">SUM(B222:B227)</f>
        <v>0</v>
      </c>
      <c r="C228" s="136">
        <f t="shared" si="21"/>
        <v>3.54</v>
      </c>
      <c r="D228" s="136">
        <f t="shared" si="21"/>
        <v>3.54</v>
      </c>
      <c r="E228" s="136">
        <f t="shared" si="21"/>
        <v>3.54</v>
      </c>
      <c r="F228" s="136">
        <f t="shared" si="21"/>
        <v>3.54</v>
      </c>
      <c r="G228" s="136">
        <f t="shared" si="21"/>
        <v>3.54</v>
      </c>
      <c r="H228" s="136">
        <f t="shared" si="21"/>
        <v>3.54</v>
      </c>
      <c r="I228" s="136">
        <f t="shared" ca="1" si="21"/>
        <v>3.54</v>
      </c>
      <c r="J228" s="136">
        <f t="shared" ca="1" si="21"/>
        <v>3.54</v>
      </c>
      <c r="K228" s="136">
        <f t="shared" ca="1" si="21"/>
        <v>3.54</v>
      </c>
      <c r="L228" s="136">
        <f t="shared" ca="1" si="21"/>
        <v>3.54</v>
      </c>
      <c r="M228" s="136">
        <f t="shared" ca="1" si="21"/>
        <v>3.54</v>
      </c>
      <c r="N228" s="136">
        <f t="shared" ca="1" si="21"/>
        <v>3.54</v>
      </c>
      <c r="O228" s="136">
        <f t="shared" ca="1" si="21"/>
        <v>3.54</v>
      </c>
      <c r="P228" s="136">
        <f t="shared" ca="1" si="21"/>
        <v>3.54</v>
      </c>
      <c r="Q228" s="136">
        <f t="shared" si="21"/>
        <v>0</v>
      </c>
      <c r="R228" s="136">
        <f t="shared" si="21"/>
        <v>0</v>
      </c>
      <c r="S228" s="136">
        <f t="shared" si="21"/>
        <v>0</v>
      </c>
      <c r="T228" s="136">
        <f t="shared" si="21"/>
        <v>0</v>
      </c>
      <c r="U228" s="136">
        <f t="shared" si="21"/>
        <v>0</v>
      </c>
      <c r="V228" s="136">
        <f t="shared" si="21"/>
        <v>0</v>
      </c>
      <c r="W228" s="136">
        <f t="shared" si="21"/>
        <v>0</v>
      </c>
      <c r="X228" s="136">
        <f t="shared" si="21"/>
        <v>0</v>
      </c>
      <c r="Y228" s="136">
        <f t="shared" si="21"/>
        <v>0</v>
      </c>
      <c r="Z228" s="136">
        <f t="shared" si="21"/>
        <v>0</v>
      </c>
      <c r="AA228" s="136">
        <f t="shared" si="21"/>
        <v>0</v>
      </c>
      <c r="AB228" s="136">
        <f t="shared" si="21"/>
        <v>0</v>
      </c>
      <c r="AC228" s="136">
        <f t="shared" si="21"/>
        <v>0</v>
      </c>
      <c r="AD228" s="136">
        <f t="shared" si="21"/>
        <v>0</v>
      </c>
      <c r="AE228" s="136">
        <f t="shared" si="21"/>
        <v>0</v>
      </c>
      <c r="AF228" s="136">
        <f t="shared" si="21"/>
        <v>0</v>
      </c>
      <c r="AG228" s="145">
        <f t="shared" si="21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1470.2399999999998</v>
      </c>
      <c r="C237" s="161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2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str">
        <f ca="1">"Pie Chart of Daily Peak Demand(Inclusive of Export) of Nepal ("&amp;A4&amp;" "&amp;B4&amp;")"</f>
        <v>Pie Chart of Daily Peak Demand(Inclusive of Export) of Nepal (Nepali Date: 2079/09/2)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2079/09/2)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2">B85</f>
        <v>1120.8399999999999</v>
      </c>
      <c r="U242" s="170">
        <f t="shared" si="22"/>
        <v>1016.14</v>
      </c>
      <c r="V242" s="170">
        <f t="shared" si="22"/>
        <v>991.33999999999992</v>
      </c>
      <c r="W242" s="170">
        <f t="shared" si="22"/>
        <v>972.43999999999983</v>
      </c>
      <c r="X242" s="170">
        <f t="shared" si="22"/>
        <v>984.04</v>
      </c>
      <c r="Y242" s="170">
        <f t="shared" si="22"/>
        <v>989.83999999999992</v>
      </c>
      <c r="Z242" s="170">
        <f t="shared" si="22"/>
        <v>1063.54</v>
      </c>
      <c r="AA242" s="170">
        <f t="shared" si="22"/>
        <v>1161.3399999999999</v>
      </c>
      <c r="AB242" s="170">
        <f t="shared" si="22"/>
        <v>1244.8399999999999</v>
      </c>
      <c r="AC242" s="170">
        <f t="shared" si="22"/>
        <v>1348.54</v>
      </c>
      <c r="AD242" s="170">
        <f t="shared" si="22"/>
        <v>1462.94</v>
      </c>
      <c r="AE242" s="170">
        <f t="shared" si="22"/>
        <v>1470.2399999999998</v>
      </c>
      <c r="AF242" s="170">
        <f t="shared" si="22"/>
        <v>1381.24</v>
      </c>
      <c r="AG242" s="170">
        <f t="shared" si="22"/>
        <v>1497.64</v>
      </c>
      <c r="AH242" s="170">
        <f t="shared" si="22"/>
        <v>1451.7399999999998</v>
      </c>
      <c r="AI242" s="170">
        <f t="shared" si="22"/>
        <v>1356.34</v>
      </c>
      <c r="AJ242" s="170">
        <f t="shared" si="22"/>
        <v>1317.8899999999999</v>
      </c>
      <c r="AK242" s="170">
        <f t="shared" si="22"/>
        <v>1294.94</v>
      </c>
      <c r="AL242" s="170">
        <f t="shared" si="22"/>
        <v>1305.74</v>
      </c>
      <c r="AM242" s="170">
        <f t="shared" si="22"/>
        <v>1292.3400000000001</v>
      </c>
      <c r="AN242" s="170">
        <f t="shared" si="22"/>
        <v>1431.44</v>
      </c>
      <c r="AO242" s="170">
        <f t="shared" si="22"/>
        <v>1619.44</v>
      </c>
      <c r="AP242" s="170">
        <f t="shared" si="22"/>
        <v>1737.2399999999998</v>
      </c>
      <c r="AQ242" s="170">
        <f t="shared" si="22"/>
        <v>1770.7399999999998</v>
      </c>
      <c r="AR242" s="170">
        <f t="shared" si="22"/>
        <v>1725.04</v>
      </c>
      <c r="AS242" s="170">
        <f t="shared" si="22"/>
        <v>1648.6399999999999</v>
      </c>
      <c r="AT242" s="170">
        <f t="shared" si="22"/>
        <v>1668.1399999999999</v>
      </c>
      <c r="AU242" s="170">
        <f t="shared" si="22"/>
        <v>1637.3399999999997</v>
      </c>
      <c r="AV242" s="170">
        <f t="shared" si="22"/>
        <v>1544.94</v>
      </c>
      <c r="AW242" s="170">
        <f t="shared" si="22"/>
        <v>1268.04</v>
      </c>
      <c r="AX242" s="170">
        <f t="shared" si="22"/>
        <v>1104.04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3">C227</f>
        <v>0.64</v>
      </c>
      <c r="C263" s="173">
        <f t="shared" si="23"/>
        <v>0.64</v>
      </c>
      <c r="D263" s="173">
        <f t="shared" si="23"/>
        <v>0.64</v>
      </c>
      <c r="E263" s="173">
        <f t="shared" si="23"/>
        <v>0.64</v>
      </c>
      <c r="F263" s="173">
        <f t="shared" si="23"/>
        <v>0.64</v>
      </c>
      <c r="G263" s="173">
        <f t="shared" si="23"/>
        <v>0.64</v>
      </c>
      <c r="H263" s="173">
        <f t="shared" si="23"/>
        <v>0.64</v>
      </c>
      <c r="I263" s="173">
        <f t="shared" si="23"/>
        <v>0.64</v>
      </c>
      <c r="J263" s="173">
        <f t="shared" si="23"/>
        <v>0.64</v>
      </c>
      <c r="K263" s="173">
        <f t="shared" si="23"/>
        <v>0.64</v>
      </c>
      <c r="L263" s="173">
        <f t="shared" si="23"/>
        <v>0.64</v>
      </c>
      <c r="M263" s="173">
        <f t="shared" si="23"/>
        <v>0.64</v>
      </c>
      <c r="N263" s="173">
        <f t="shared" si="23"/>
        <v>0.64</v>
      </c>
      <c r="O263" s="173">
        <f t="shared" si="23"/>
        <v>0.64</v>
      </c>
      <c r="P263" s="173">
        <f t="shared" si="23"/>
        <v>0</v>
      </c>
      <c r="Q263" s="173">
        <f t="shared" si="23"/>
        <v>0</v>
      </c>
      <c r="R263" s="173">
        <f t="shared" si="23"/>
        <v>0</v>
      </c>
      <c r="S263" s="173">
        <f t="shared" si="23"/>
        <v>0</v>
      </c>
      <c r="T263" s="173">
        <f t="shared" si="23"/>
        <v>0</v>
      </c>
      <c r="U263" s="173">
        <f t="shared" si="23"/>
        <v>0</v>
      </c>
      <c r="V263" s="173">
        <f t="shared" si="23"/>
        <v>0</v>
      </c>
      <c r="W263" s="173">
        <f t="shared" si="23"/>
        <v>0</v>
      </c>
      <c r="X263" s="173">
        <f t="shared" si="23"/>
        <v>0</v>
      </c>
      <c r="Y263" s="173">
        <f t="shared" si="23"/>
        <v>0</v>
      </c>
      <c r="Z263" s="173">
        <f t="shared" si="23"/>
        <v>0</v>
      </c>
      <c r="AA263" s="173">
        <f t="shared" si="23"/>
        <v>0</v>
      </c>
      <c r="AB263" s="173">
        <f t="shared" si="23"/>
        <v>0</v>
      </c>
      <c r="AC263" s="173">
        <f t="shared" si="23"/>
        <v>0</v>
      </c>
      <c r="AD263" s="173">
        <f t="shared" si="23"/>
        <v>0</v>
      </c>
      <c r="AE263" s="173">
        <f t="shared" si="23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4">IF(B231&lt;100,"",B231-520)</f>
        <v/>
      </c>
      <c r="C264" s="174" t="str">
        <f t="shared" si="24"/>
        <v/>
      </c>
      <c r="D264" s="174" t="str">
        <f t="shared" si="24"/>
        <v/>
      </c>
      <c r="E264" s="174" t="str">
        <f t="shared" si="24"/>
        <v/>
      </c>
      <c r="F264" s="174" t="str">
        <f t="shared" si="24"/>
        <v/>
      </c>
      <c r="G264" s="174" t="str">
        <f t="shared" si="24"/>
        <v/>
      </c>
      <c r="H264" s="174" t="str">
        <f t="shared" si="24"/>
        <v/>
      </c>
      <c r="I264" s="174" t="str">
        <f t="shared" si="24"/>
        <v/>
      </c>
      <c r="J264" s="174" t="str">
        <f t="shared" si="24"/>
        <v/>
      </c>
      <c r="K264" s="174" t="str">
        <f t="shared" si="24"/>
        <v/>
      </c>
      <c r="L264" s="174" t="str">
        <f t="shared" si="24"/>
        <v/>
      </c>
      <c r="M264" s="174" t="str">
        <f t="shared" si="24"/>
        <v/>
      </c>
      <c r="N264" s="174" t="str">
        <f t="shared" si="24"/>
        <v/>
      </c>
      <c r="O264" s="174" t="str">
        <f t="shared" si="24"/>
        <v/>
      </c>
      <c r="P264" s="174" t="str">
        <f t="shared" si="24"/>
        <v/>
      </c>
      <c r="Q264" s="174" t="str">
        <f t="shared" si="24"/>
        <v/>
      </c>
      <c r="R264" s="174" t="str">
        <f t="shared" si="24"/>
        <v/>
      </c>
      <c r="S264" s="174" t="str">
        <f t="shared" si="24"/>
        <v/>
      </c>
      <c r="T264" s="174" t="str">
        <f t="shared" si="24"/>
        <v/>
      </c>
      <c r="U264" s="174" t="str">
        <f t="shared" si="24"/>
        <v/>
      </c>
      <c r="V264" s="174" t="str">
        <f t="shared" si="24"/>
        <v/>
      </c>
      <c r="W264" s="174" t="str">
        <f t="shared" si="24"/>
        <v/>
      </c>
      <c r="X264" s="174" t="str">
        <f t="shared" si="24"/>
        <v/>
      </c>
      <c r="Y264" s="174" t="str">
        <f t="shared" si="24"/>
        <v/>
      </c>
      <c r="Z264" s="174" t="str">
        <f t="shared" si="24"/>
        <v/>
      </c>
      <c r="AA264" s="174" t="str">
        <f t="shared" si="24"/>
        <v/>
      </c>
      <c r="AB264" s="174" t="str">
        <f t="shared" si="24"/>
        <v/>
      </c>
      <c r="AC264" s="174" t="str">
        <f t="shared" si="24"/>
        <v/>
      </c>
      <c r="AD264" s="174" t="str">
        <f t="shared" si="24"/>
        <v/>
      </c>
      <c r="AE264" s="174" t="str">
        <f t="shared" si="24"/>
        <v/>
      </c>
      <c r="AF264" s="174" t="str">
        <f t="shared" si="24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5">IF(B232&lt;100,"",B232-620)</f>
        <v/>
      </c>
      <c r="C265" s="174" t="str">
        <f t="shared" si="25"/>
        <v/>
      </c>
      <c r="D265" s="174" t="str">
        <f t="shared" si="25"/>
        <v/>
      </c>
      <c r="E265" s="174" t="str">
        <f t="shared" si="25"/>
        <v/>
      </c>
      <c r="F265" s="174" t="str">
        <f t="shared" si="25"/>
        <v/>
      </c>
      <c r="G265" s="174" t="str">
        <f t="shared" si="25"/>
        <v/>
      </c>
      <c r="H265" s="174" t="str">
        <f t="shared" si="25"/>
        <v/>
      </c>
      <c r="I265" s="174" t="str">
        <f t="shared" si="25"/>
        <v/>
      </c>
      <c r="J265" s="174" t="str">
        <f t="shared" si="25"/>
        <v/>
      </c>
      <c r="K265" s="174" t="str">
        <f t="shared" si="25"/>
        <v/>
      </c>
      <c r="L265" s="174" t="str">
        <f t="shared" si="25"/>
        <v/>
      </c>
      <c r="M265" s="174" t="str">
        <f t="shared" si="25"/>
        <v/>
      </c>
      <c r="N265" s="174" t="str">
        <f t="shared" si="25"/>
        <v/>
      </c>
      <c r="O265" s="174" t="str">
        <f t="shared" si="25"/>
        <v/>
      </c>
      <c r="P265" s="174" t="str">
        <f t="shared" si="25"/>
        <v/>
      </c>
      <c r="Q265" s="174" t="str">
        <f t="shared" si="25"/>
        <v/>
      </c>
      <c r="R265" s="174" t="str">
        <f t="shared" si="25"/>
        <v/>
      </c>
      <c r="S265" s="174" t="str">
        <f t="shared" si="25"/>
        <v/>
      </c>
      <c r="T265" s="174" t="str">
        <f t="shared" si="25"/>
        <v/>
      </c>
      <c r="U265" s="174" t="str">
        <f t="shared" si="25"/>
        <v/>
      </c>
      <c r="V265" s="174" t="str">
        <f t="shared" si="25"/>
        <v/>
      </c>
      <c r="W265" s="174" t="str">
        <f t="shared" si="25"/>
        <v/>
      </c>
      <c r="X265" s="174" t="str">
        <f t="shared" si="25"/>
        <v/>
      </c>
      <c r="Y265" s="174" t="str">
        <f t="shared" si="25"/>
        <v/>
      </c>
      <c r="Z265" s="174" t="str">
        <f t="shared" si="25"/>
        <v/>
      </c>
      <c r="AA265" s="174" t="str">
        <f t="shared" si="25"/>
        <v/>
      </c>
      <c r="AB265" s="174" t="str">
        <f t="shared" si="25"/>
        <v/>
      </c>
      <c r="AC265" s="174" t="str">
        <f t="shared" si="25"/>
        <v/>
      </c>
      <c r="AD265" s="174" t="str">
        <f t="shared" si="25"/>
        <v/>
      </c>
      <c r="AE265" s="174" t="str">
        <f t="shared" si="25"/>
        <v/>
      </c>
      <c r="AF265" s="174" t="str">
        <f t="shared" si="25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6">IF(B233&lt;100,"",B233-330)</f>
        <v/>
      </c>
      <c r="C266" s="174" t="str">
        <f t="shared" si="26"/>
        <v/>
      </c>
      <c r="D266" s="174" t="str">
        <f t="shared" si="26"/>
        <v/>
      </c>
      <c r="E266" s="174" t="str">
        <f t="shared" si="26"/>
        <v/>
      </c>
      <c r="F266" s="174" t="str">
        <f t="shared" si="26"/>
        <v/>
      </c>
      <c r="G266" s="174" t="str">
        <f t="shared" si="26"/>
        <v/>
      </c>
      <c r="H266" s="174" t="str">
        <f t="shared" si="26"/>
        <v/>
      </c>
      <c r="I266" s="174" t="str">
        <f t="shared" si="26"/>
        <v/>
      </c>
      <c r="J266" s="174" t="str">
        <f t="shared" si="26"/>
        <v/>
      </c>
      <c r="K266" s="174" t="str">
        <f t="shared" si="26"/>
        <v/>
      </c>
      <c r="L266" s="174" t="str">
        <f t="shared" si="26"/>
        <v/>
      </c>
      <c r="M266" s="174" t="str">
        <f t="shared" si="26"/>
        <v/>
      </c>
      <c r="N266" s="174" t="str">
        <f t="shared" si="26"/>
        <v/>
      </c>
      <c r="O266" s="174" t="str">
        <f t="shared" si="26"/>
        <v/>
      </c>
      <c r="P266" s="174" t="str">
        <f t="shared" si="26"/>
        <v/>
      </c>
      <c r="Q266" s="174" t="str">
        <f t="shared" si="26"/>
        <v/>
      </c>
      <c r="R266" s="174" t="str">
        <f t="shared" si="26"/>
        <v/>
      </c>
      <c r="S266" s="174" t="str">
        <f t="shared" si="26"/>
        <v/>
      </c>
      <c r="T266" s="174" t="str">
        <f t="shared" si="26"/>
        <v/>
      </c>
      <c r="U266" s="174" t="str">
        <f t="shared" si="26"/>
        <v/>
      </c>
      <c r="V266" s="174" t="str">
        <f t="shared" si="26"/>
        <v/>
      </c>
      <c r="W266" s="174" t="str">
        <f t="shared" si="26"/>
        <v/>
      </c>
      <c r="X266" s="174" t="str">
        <f t="shared" si="26"/>
        <v/>
      </c>
      <c r="Y266" s="174" t="str">
        <f t="shared" si="26"/>
        <v/>
      </c>
      <c r="Z266" s="174" t="str">
        <f t="shared" si="26"/>
        <v/>
      </c>
      <c r="AA266" s="174" t="str">
        <f t="shared" si="26"/>
        <v/>
      </c>
      <c r="AB266" s="174" t="str">
        <f t="shared" si="26"/>
        <v/>
      </c>
      <c r="AC266" s="174" t="str">
        <f t="shared" si="26"/>
        <v/>
      </c>
      <c r="AD266" s="174" t="str">
        <f t="shared" si="26"/>
        <v/>
      </c>
      <c r="AE266" s="174" t="str">
        <f t="shared" si="26"/>
        <v/>
      </c>
      <c r="AF266" s="174" t="str">
        <f t="shared" si="26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7">IF(B234&lt;100,"",B234-1500)</f>
        <v/>
      </c>
      <c r="C267" s="174" t="str">
        <f t="shared" si="27"/>
        <v/>
      </c>
      <c r="D267" s="174" t="str">
        <f t="shared" si="27"/>
        <v/>
      </c>
      <c r="E267" s="174" t="str">
        <f t="shared" si="27"/>
        <v/>
      </c>
      <c r="F267" s="174" t="str">
        <f t="shared" si="27"/>
        <v/>
      </c>
      <c r="G267" s="174" t="str">
        <f t="shared" si="27"/>
        <v/>
      </c>
      <c r="H267" s="174" t="str">
        <f t="shared" si="27"/>
        <v/>
      </c>
      <c r="I267" s="174" t="str">
        <f t="shared" si="27"/>
        <v/>
      </c>
      <c r="J267" s="174" t="str">
        <f t="shared" si="27"/>
        <v/>
      </c>
      <c r="K267" s="174" t="str">
        <f t="shared" si="27"/>
        <v/>
      </c>
      <c r="L267" s="174" t="str">
        <f t="shared" si="27"/>
        <v/>
      </c>
      <c r="M267" s="174" t="str">
        <f t="shared" si="27"/>
        <v/>
      </c>
      <c r="N267" s="174" t="str">
        <f t="shared" si="27"/>
        <v/>
      </c>
      <c r="O267" s="174" t="str">
        <f t="shared" si="27"/>
        <v/>
      </c>
      <c r="P267" s="174" t="str">
        <f t="shared" si="27"/>
        <v/>
      </c>
      <c r="Q267" s="174" t="str">
        <f t="shared" si="27"/>
        <v/>
      </c>
      <c r="R267" s="174" t="str">
        <f t="shared" si="27"/>
        <v/>
      </c>
      <c r="S267" s="174" t="str">
        <f t="shared" si="27"/>
        <v/>
      </c>
      <c r="T267" s="174" t="str">
        <f t="shared" si="27"/>
        <v/>
      </c>
      <c r="U267" s="174" t="str">
        <f t="shared" si="27"/>
        <v/>
      </c>
      <c r="V267" s="174" t="str">
        <f t="shared" si="27"/>
        <v/>
      </c>
      <c r="W267" s="174" t="str">
        <f t="shared" si="27"/>
        <v/>
      </c>
      <c r="X267" s="174" t="str">
        <f t="shared" si="27"/>
        <v/>
      </c>
      <c r="Y267" s="174" t="str">
        <f t="shared" si="27"/>
        <v/>
      </c>
      <c r="Z267" s="174" t="str">
        <f t="shared" si="27"/>
        <v/>
      </c>
      <c r="AA267" s="174" t="str">
        <f t="shared" si="27"/>
        <v/>
      </c>
      <c r="AB267" s="174" t="str">
        <f t="shared" si="27"/>
        <v/>
      </c>
      <c r="AC267" s="174" t="str">
        <f t="shared" si="27"/>
        <v/>
      </c>
      <c r="AD267" s="174" t="str">
        <f t="shared" si="27"/>
        <v/>
      </c>
      <c r="AE267" s="174" t="str">
        <f t="shared" si="27"/>
        <v/>
      </c>
      <c r="AF267" s="174" t="str">
        <f t="shared" si="27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29">
    <cfRule type="expression" dxfId="1005" priority="120">
      <formula>$AH11=0</formula>
    </cfRule>
  </conditionalFormatting>
  <conditionalFormatting sqref="B8 M8 S8 AB8">
    <cfRule type="expression" dxfId="1004" priority="243">
      <formula>C$9&lt;8/24</formula>
    </cfRule>
    <cfRule type="expression" dxfId="1003" priority="242">
      <formula>AND(C$9&gt;=8/24,C$9&lt;14/24)</formula>
    </cfRule>
    <cfRule type="expression" dxfId="1002" priority="241">
      <formula>AND(C$9&gt;=14/24,C$9&lt;20/24)</formula>
    </cfRule>
  </conditionalFormatting>
  <conditionalFormatting sqref="B67:D77 X68:AF72 L70:U71 V70:W72 E70:K77 M72:U72 L72:L77">
    <cfRule type="expression" dxfId="997" priority="89">
      <formula>B$9&lt;8/24</formula>
    </cfRule>
  </conditionalFormatting>
  <conditionalFormatting sqref="B49:L51">
    <cfRule type="expression" dxfId="996" priority="92">
      <formula>AND(B$9&gt;=14/24,B$9&lt;20/24)</formula>
    </cfRule>
    <cfRule type="expression" dxfId="995" priority="91">
      <formula>B$9&gt;=20/24</formula>
    </cfRule>
    <cfRule type="expression" dxfId="994" priority="93">
      <formula>AND(B$9&gt;=8/24,B$9&lt;14/24)</formula>
    </cfRule>
    <cfRule type="expression" dxfId="993" priority="94">
      <formula>B$9&lt;8/24</formula>
    </cfRule>
  </conditionalFormatting>
  <conditionalFormatting sqref="B54:L54">
    <cfRule type="expression" dxfId="992" priority="81">
      <formula>B$9&gt;=20/24</formula>
    </cfRule>
    <cfRule type="expression" dxfId="991" priority="84">
      <formula>B$9&lt;8/24</formula>
    </cfRule>
    <cfRule type="expression" dxfId="990" priority="83">
      <formula>AND(B$9&gt;=8/24,B$9&lt;14/24)</formula>
    </cfRule>
    <cfRule type="expression" dxfId="989" priority="82">
      <formula>AND(B$9&gt;=14/24,B$9&lt;20/24)</formula>
    </cfRule>
  </conditionalFormatting>
  <conditionalFormatting sqref="B49:T60 U52:V60 W54:AF60">
    <cfRule type="expression" dxfId="988" priority="27">
      <formula>B49&gt;$AG49</formula>
    </cfRule>
  </conditionalFormatting>
  <conditionalFormatting sqref="B11:X11">
    <cfRule type="expression" dxfId="987" priority="22">
      <formula>B$9&gt;=20/24</formula>
    </cfRule>
    <cfRule type="expression" dxfId="986" priority="23">
      <formula>AND(B$9&gt;=14/24,B$9&lt;20/24)</formula>
    </cfRule>
    <cfRule type="expression" dxfId="985" priority="24">
      <formula>AND(B$9&gt;=8/24,B$9&lt;14/24)</formula>
    </cfRule>
    <cfRule type="expression" dxfId="984" priority="25">
      <formula>B$9&lt;8/24</formula>
    </cfRule>
  </conditionalFormatting>
  <conditionalFormatting sqref="B12:X14">
    <cfRule type="expression" dxfId="983" priority="17">
      <formula>B$9&gt;=20/24</formula>
    </cfRule>
    <cfRule type="expression" dxfId="982" priority="19">
      <formula>AND(B$9&gt;=8/24,B$9&lt;14/24)</formula>
    </cfRule>
    <cfRule type="expression" dxfId="981" priority="20">
      <formula>B$9&lt;8/24</formula>
    </cfRule>
    <cfRule type="expression" dxfId="980" priority="18">
      <formula>AND(B$9&gt;=14/24,B$9&lt;20/24)</formula>
    </cfRule>
  </conditionalFormatting>
  <conditionalFormatting sqref="B15:X40">
    <cfRule type="expression" dxfId="979" priority="111">
      <formula>B$9&lt;8/24</formula>
    </cfRule>
    <cfRule type="expression" dxfId="978" priority="110">
      <formula>AND(B$9&gt;=8/24,B$9&lt;14/24)</formula>
    </cfRule>
    <cfRule type="expression" dxfId="977" priority="109">
      <formula>AND(B$9&gt;=14/24,B$9&lt;20/24)</formula>
    </cfRule>
    <cfRule type="expression" dxfId="976" priority="108">
      <formula>B$9&gt;=20/24</formula>
    </cfRule>
  </conditionalFormatting>
  <conditionalFormatting sqref="B41:X41">
    <cfRule type="expression" dxfId="975" priority="13">
      <formula>B$9&gt;=20/24</formula>
    </cfRule>
    <cfRule type="expression" dxfId="974" priority="16">
      <formula>B$9&lt;8/24</formula>
    </cfRule>
    <cfRule type="expression" dxfId="973" priority="15">
      <formula>AND(B$9&gt;=8/24,B$9&lt;14/24)</formula>
    </cfRule>
    <cfRule type="expression" dxfId="972" priority="14">
      <formula>AND(B$9&gt;=14/24,B$9&lt;20/24)</formula>
    </cfRule>
  </conditionalFormatting>
  <conditionalFormatting sqref="B42:X42">
    <cfRule type="expression" dxfId="971" priority="75">
      <formula>B$9&lt;8/24</formula>
    </cfRule>
    <cfRule type="expression" dxfId="970" priority="72">
      <formula>B$9&gt;=20/24</formula>
    </cfRule>
    <cfRule type="expression" dxfId="969" priority="73">
      <formula>AND(B$9&gt;=14/24,B$9&lt;20/24)</formula>
    </cfRule>
    <cfRule type="expression" dxfId="968" priority="74">
      <formula>AND(B$9&gt;=8/24,B$9&lt;14/24)</formula>
    </cfRule>
  </conditionalFormatting>
  <conditionalFormatting sqref="B9:AF10 B220:AF220 D222:AF223 B222:B228 D224:H224 J224:AF224 D225:AF228 U241:AF241">
    <cfRule type="expression" dxfId="967" priority="237">
      <formula>B$9&lt;8/24</formula>
    </cfRule>
    <cfRule type="expression" dxfId="966" priority="236">
      <formula>AND(B$9&gt;=8/24,B$9&lt;14/24)</formula>
    </cfRule>
    <cfRule type="expression" dxfId="965" priority="235">
      <formula>AND(B$9&gt;=14/24,B$9&lt;20/24)</formula>
    </cfRule>
    <cfRule type="expression" dxfId="964" priority="234">
      <formula>B$9&gt;=20/24</formula>
    </cfRule>
  </conditionalFormatting>
  <conditionalFormatting sqref="B11:AF48">
    <cfRule type="expression" dxfId="963" priority="21">
      <formula>B11&gt;$AG11</formula>
    </cfRule>
  </conditionalFormatting>
  <conditionalFormatting sqref="B43:AF43">
    <cfRule type="expression" dxfId="962" priority="105">
      <formula>AND(B$9&gt;=14/24,B$9&lt;20/24)</formula>
    </cfRule>
    <cfRule type="expression" dxfId="961" priority="104">
      <formula>B$9&gt;=20/24</formula>
    </cfRule>
    <cfRule type="expression" dxfId="960" priority="107">
      <formula>B$9&lt;8/24</formula>
    </cfRule>
    <cfRule type="expression" dxfId="959" priority="106">
      <formula>AND(B$9&gt;=8/24,B$9&lt;14/24)</formula>
    </cfRule>
  </conditionalFormatting>
  <conditionalFormatting sqref="B45:AF48">
    <cfRule type="expression" dxfId="958" priority="49">
      <formula>B$9&gt;=20/24</formula>
    </cfRule>
    <cfRule type="expression" dxfId="957" priority="52">
      <formula>B$9&lt;8/24</formula>
    </cfRule>
    <cfRule type="expression" dxfId="956" priority="51">
      <formula>AND(B$9&gt;=8/24,B$9&lt;14/24)</formula>
    </cfRule>
    <cfRule type="expression" dxfId="955" priority="50">
      <formula>AND(B$9&gt;=14/24,B$9&lt;20/24)</formula>
    </cfRule>
  </conditionalFormatting>
  <conditionalFormatting sqref="B61:AF66">
    <cfRule type="expression" dxfId="954" priority="66">
      <formula>B61&gt;$AG61</formula>
    </cfRule>
  </conditionalFormatting>
  <conditionalFormatting sqref="B63:AF66">
    <cfRule type="expression" dxfId="953" priority="70">
      <formula>B$9&lt;8/24</formula>
    </cfRule>
  </conditionalFormatting>
  <conditionalFormatting sqref="B63:AF67">
    <cfRule type="expression" dxfId="952" priority="67">
      <formula>B$9&gt;=20/24</formula>
    </cfRule>
    <cfRule type="expression" dxfId="951" priority="68">
      <formula>AND(B$9&gt;=14/24,B$9&lt;20/24)</formula>
    </cfRule>
    <cfRule type="expression" dxfId="950" priority="69">
      <formula>AND(B$9&gt;=8/24,B$9&lt;14/24)</formula>
    </cfRule>
  </conditionalFormatting>
  <conditionalFormatting sqref="B78:AF85">
    <cfRule type="expression" dxfId="949" priority="63">
      <formula>AND(B$9&gt;=14/24,B$9&lt;20/24)</formula>
    </cfRule>
    <cfRule type="expression" dxfId="948" priority="64">
      <formula>AND(B$9&gt;=8/24,B$9&lt;14/24)</formula>
    </cfRule>
    <cfRule type="expression" dxfId="947" priority="62">
      <formula>B$9&gt;=20/24</formula>
    </cfRule>
    <cfRule type="expression" dxfId="946" priority="65">
      <formula>B$9&lt;8/24</formula>
    </cfRule>
  </conditionalFormatting>
  <conditionalFormatting sqref="B87:AF103">
    <cfRule type="expression" dxfId="941" priority="44">
      <formula>B$9&gt;=20/24</formula>
    </cfRule>
    <cfRule type="expression" dxfId="940" priority="45">
      <formula>AND(B$9&gt;=14/24,B$9&lt;20/24)</formula>
    </cfRule>
    <cfRule type="expression" dxfId="939" priority="46">
      <formula>AND(B$9&gt;=8/24,B$9&lt;14/24)</formula>
    </cfRule>
    <cfRule type="expression" dxfId="938" priority="47">
      <formula>B$9&lt;8/24</formula>
    </cfRule>
  </conditionalFormatting>
  <conditionalFormatting sqref="B105:AF112">
    <cfRule type="expression" dxfId="937" priority="35">
      <formula>B$9&lt;8/24</formula>
    </cfRule>
    <cfRule type="expression" dxfId="936" priority="34">
      <formula>AND(B$9&gt;=8/24,B$9&lt;14/24)</formula>
    </cfRule>
    <cfRule type="expression" dxfId="935" priority="33">
      <formula>AND(B$9&gt;=14/24,B$9&lt;20/24)</formula>
    </cfRule>
    <cfRule type="expression" dxfId="934" priority="32">
      <formula>B$9&gt;=20/24</formula>
    </cfRule>
  </conditionalFormatting>
  <conditionalFormatting sqref="E68:W69">
    <cfRule type="expression" dxfId="929" priority="198">
      <formula>E$9&lt;8/24</formula>
    </cfRule>
    <cfRule type="expression" dxfId="928" priority="197">
      <formula>AND(E$9&gt;=8/24,E$9&lt;14/24)</formula>
    </cfRule>
    <cfRule type="expression" dxfId="927" priority="196">
      <formula>AND(E$9&gt;=14/24,E$9&lt;20/24)</formula>
    </cfRule>
    <cfRule type="expression" dxfId="926" priority="195">
      <formula>E$9&gt;=20/24</formula>
    </cfRule>
  </conditionalFormatting>
  <conditionalFormatting sqref="M73:AF77">
    <cfRule type="expression" dxfId="925" priority="9">
      <formula>M$9&gt;=20/24</formula>
    </cfRule>
    <cfRule type="expression" dxfId="924" priority="12">
      <formula>M$9&lt;8/24</formula>
    </cfRule>
    <cfRule type="expression" dxfId="923" priority="11">
      <formula>AND(M$9&gt;=8/24,M$9&lt;14/24)</formula>
    </cfRule>
    <cfRule type="expression" dxfId="922" priority="10">
      <formula>AND(M$9&gt;=14/24,M$9&lt;20/24)</formula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921" priority="240">
      <formula>C$9&gt;=20/24</formula>
    </cfRule>
  </conditionalFormatting>
  <conditionalFormatting sqref="S8">
    <cfRule type="expression" dxfId="920" priority="215">
      <formula>AND(U$9&gt;=8/24,U$9&lt;14/24)</formula>
    </cfRule>
    <cfRule type="expression" dxfId="919" priority="214">
      <formula>AND(U$9&gt;=14/24,U$9&lt;20/24)</formula>
    </cfRule>
    <cfRule type="expression" dxfId="918" priority="213">
      <formula>U$9&gt;=20/24</formula>
    </cfRule>
    <cfRule type="expression" dxfId="917" priority="216">
      <formula>U$9&lt;8/24</formula>
    </cfRule>
  </conditionalFormatting>
  <conditionalFormatting sqref="T241">
    <cfRule type="expression" dxfId="916" priority="256">
      <formula>AX$9&lt;8/24</formula>
    </cfRule>
    <cfRule type="expression" dxfId="915" priority="253">
      <formula>AX$9&gt;=20/24</formula>
    </cfRule>
    <cfRule type="expression" dxfId="914" priority="254">
      <formula>AND(AX$9&gt;=14/24,AX$9&lt;20/24)</formula>
    </cfRule>
    <cfRule type="expression" dxfId="913" priority="255">
      <formula>AND(AX$9&gt;=8/24,AX$9&lt;14/24)</formula>
    </cfRule>
  </conditionalFormatting>
  <conditionalFormatting sqref="U52:V60 W54:AF60 B55:T60">
    <cfRule type="expression" dxfId="912" priority="30">
      <formula>AND(B$9&gt;=8/24,B$9&lt;14/24)</formula>
    </cfRule>
    <cfRule type="expression" dxfId="911" priority="31">
      <formula>B$9&lt;8/24</formula>
    </cfRule>
    <cfRule type="expression" dxfId="910" priority="28">
      <formula>B$9&gt;=20/24</formula>
    </cfRule>
    <cfRule type="expression" dxfId="909" priority="29">
      <formula>AND(B$9&gt;=14/24,B$9&lt;20/24)</formula>
    </cfRule>
  </conditionalFormatting>
  <conditionalFormatting sqref="U49:AB51 M49:T54 AC50:AE51">
    <cfRule type="expression" dxfId="908" priority="191">
      <formula>AND(M$9&gt;=14/24,M$9&lt;20/24)</formula>
    </cfRule>
    <cfRule type="expression" dxfId="907" priority="192">
      <formula>AND(M$9&gt;=8/24,M$9&lt;14/24)</formula>
    </cfRule>
    <cfRule type="expression" dxfId="906" priority="193">
      <formula>M$9&lt;8/24</formula>
    </cfRule>
  </conditionalFormatting>
  <conditionalFormatting sqref="U49:AB51 AC50:AE51 M49:T54">
    <cfRule type="expression" dxfId="905" priority="190">
      <formula>M$9&gt;=20/24</formula>
    </cfRule>
  </conditionalFormatting>
  <conditionalFormatting sqref="U49:AE51">
    <cfRule type="expression" dxfId="904" priority="189">
      <formula>U49&gt;$AG49</formula>
    </cfRule>
  </conditionalFormatting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X68:AF72 B68:D77 L70:U71 V70:W72 E70:K77 M72:U72 L72:L77">
    <cfRule type="expression" dxfId="903" priority="87">
      <formula>AND(B$9&gt;=14/24,B$9&lt;20/24)</formula>
    </cfRule>
    <cfRule type="expression" dxfId="902" priority="86">
      <formula>B$9&gt;=20/24</formula>
    </cfRule>
    <cfRule type="expression" dxfId="901" priority="88">
      <formula>AND(B$9&gt;=8/24,B$9&lt;14/24)</formula>
    </cfRule>
  </conditionalFormatting>
  <conditionalFormatting sqref="Y11:AF42">
    <cfRule type="expression" dxfId="900" priority="179">
      <formula>Y$9&lt;8/24</formula>
    </cfRule>
    <cfRule type="expression" dxfId="899" priority="178">
      <formula>AND(Y$9&gt;=8/24,Y$9&lt;14/24)</formula>
    </cfRule>
    <cfRule type="expression" dxfId="898" priority="177">
      <formula>AND(Y$9&gt;=14/24,Y$9&lt;20/24)</formula>
    </cfRule>
    <cfRule type="expression" dxfId="897" priority="176">
      <formula>Y$9&gt;=20/24</formula>
    </cfRule>
  </conditionalFormatting>
  <conditionalFormatting sqref="AB8">
    <cfRule type="expression" dxfId="896" priority="212">
      <formula>AD$9&lt;8/24</formula>
    </cfRule>
    <cfRule type="expression" dxfId="895" priority="210">
      <formula>AND(AD$9&gt;=14/24,AD$9&lt;20/24)</formula>
    </cfRule>
    <cfRule type="expression" dxfId="894" priority="209">
      <formula>AD$9&gt;=20/24</formula>
    </cfRule>
    <cfRule type="expression" dxfId="893" priority="211">
      <formula>AND(AD$9&gt;=8/24,AD$9&lt;14/24)</formula>
    </cfRule>
  </conditionalFormatting>
  <conditionalFormatting sqref="AC49:AF49">
    <cfRule type="expression" dxfId="892" priority="203">
      <formula>AC$9&lt;8/24</formula>
    </cfRule>
    <cfRule type="expression" dxfId="891" priority="200">
      <formula>AC$9&gt;=20/24</formula>
    </cfRule>
    <cfRule type="expression" dxfId="890" priority="202">
      <formula>AND(AC$9&gt;=8/24,AC$9&lt;14/24)</formula>
    </cfRule>
    <cfRule type="expression" dxfId="889" priority="201">
      <formula>AND(AC$9&gt;=14/24,AC$9&lt;20/24)</formula>
    </cfRule>
  </conditionalFormatting>
  <conditionalFormatting sqref="AF49:AF53 W52:AE53">
    <cfRule type="expression" dxfId="888" priority="199">
      <formula>W49&gt;$AG49</formula>
    </cfRule>
  </conditionalFormatting>
  <conditionalFormatting sqref="AF50:AF53 W52:AE53 E67:AF67">
    <cfRule type="expression" dxfId="887" priority="207">
      <formula>E$9&lt;8/24</formula>
    </cfRule>
  </conditionalFormatting>
  <conditionalFormatting sqref="AF50:AF53 W52:AE53">
    <cfRule type="expression" dxfId="886" priority="204">
      <formula>W$9&gt;=20/24</formula>
    </cfRule>
    <cfRule type="expression" dxfId="885" priority="205">
      <formula>AND(W$9&gt;=14/24,W$9&lt;20/24)</formula>
    </cfRule>
    <cfRule type="expression" dxfId="884" priority="206">
      <formula>AND(W$9&gt;=8/24,W$9&lt;14/24)</formula>
    </cfRule>
  </conditionalFormatting>
  <conditionalFormatting sqref="AG44 AG61:AG62 AG66">
    <cfRule type="expression" dxfId="883" priority="166">
      <formula>AG44&gt;$AG44</formula>
    </cfRule>
  </conditionalFormatting>
  <conditionalFormatting sqref="AG48">
    <cfRule type="expression" dxfId="882" priority="147">
      <formula>AG$9&gt;=20/24</formula>
    </cfRule>
    <cfRule type="expression" dxfId="881" priority="146">
      <formula>AG48&gt;$AG48</formula>
    </cfRule>
    <cfRule type="expression" dxfId="880" priority="148">
      <formula>AND(AG$9&gt;=14/24,AG$9&lt;20/24)</formula>
    </cfRule>
    <cfRule type="expression" dxfId="879" priority="149">
      <formula>AND(AG$9&gt;=8/24,AG$9&lt;14/24)</formula>
    </cfRule>
    <cfRule type="expression" dxfId="878" priority="150">
      <formula>AG$9&lt;8/24</formula>
    </cfRule>
  </conditionalFormatting>
  <conditionalFormatting sqref="AG66 AG83">
    <cfRule type="expression" dxfId="877" priority="167">
      <formula>AG$9&gt;=20/24</formula>
    </cfRule>
    <cfRule type="expression" dxfId="876" priority="168">
      <formula>AND(AG$9&gt;=14/24,AG$9&lt;20/24)</formula>
    </cfRule>
    <cfRule type="expression" dxfId="875" priority="169">
      <formula>AND(AG$9&gt;=8/24,AG$9&lt;14/24)</formula>
    </cfRule>
    <cfRule type="expression" dxfId="874" priority="170">
      <formula>AG$9&lt;8/24</formula>
    </cfRule>
  </conditionalFormatting>
  <conditionalFormatting sqref="AG241">
    <cfRule type="expression" dxfId="873" priority="245">
      <formula>B$9&gt;=20/24</formula>
    </cfRule>
    <cfRule type="expression" dxfId="872" priority="246">
      <formula>AND(B$9&gt;=14/24,B$9&lt;20/24)</formula>
    </cfRule>
    <cfRule type="expression" dxfId="871" priority="247">
      <formula>AND(B$9&gt;=8/24,B$9&lt;14/24)</formula>
    </cfRule>
    <cfRule type="expression" dxfId="870" priority="248">
      <formula>B$9&lt;8/24</formula>
    </cfRule>
  </conditionalFormatting>
  <conditionalFormatting sqref="AH241:AX241">
    <cfRule type="expression" dxfId="869" priority="249">
      <formula>AG$9&gt;=20/24</formula>
    </cfRule>
    <cfRule type="expression" dxfId="868" priority="251">
      <formula>AND(AG$9&gt;=8/24,AG$9&lt;14/24)</formula>
    </cfRule>
    <cfRule type="expression" dxfId="867" priority="252">
      <formula>AG$9&lt;8/24</formula>
    </cfRule>
    <cfRule type="expression" dxfId="866" priority="250">
      <formula>AND(AG$9&gt;=14/24,AG$9&lt;20/24)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AL75:AM79">
    <cfRule type="expression" dxfId="865" priority="261">
      <formula>AJ$9&lt;8/24</formula>
    </cfRule>
    <cfRule type="expression" dxfId="864" priority="258">
      <formula>AJ$9&gt;=20/24</formula>
    </cfRule>
    <cfRule type="expression" dxfId="863" priority="259">
      <formula>AND(AJ$9&gt;=14/24,AJ$9&lt;20/24)</formula>
    </cfRule>
    <cfRule type="expression" dxfId="862" priority="260">
      <formula>AND(AJ$9&gt;=8/24,AJ$9&lt;14/24)</formula>
    </cfRule>
  </conditionalFormatting>
  <conditionalFormatting sqref="AL74:AN74 AL80:AN80">
    <cfRule type="expression" dxfId="861" priority="8">
      <formula>AL$9&lt;8/24</formula>
    </cfRule>
    <cfRule type="expression" dxfId="860" priority="7">
      <formula>AND(AL$9&gt;=8/24,AL$9&lt;14/24)</formula>
    </cfRule>
    <cfRule type="expression" dxfId="859" priority="6">
      <formula>AND(AL$9&gt;=14/24,AL$9&lt;20/24)</formula>
    </cfRule>
    <cfRule type="expression" dxfId="858" priority="5">
      <formula>AL$9&gt;=20/24</formula>
    </cfRule>
  </conditionalFormatting>
  <conditionalFormatting sqref="AN75:AN78">
    <cfRule type="expression" dxfId="857" priority="1">
      <formula>AN$9&gt;=20/24</formula>
    </cfRule>
    <cfRule type="expression" dxfId="856" priority="4">
      <formula>AN$9&lt;8/24</formula>
    </cfRule>
    <cfRule type="expression" dxfId="855" priority="3">
      <formula>AND(AN$9&gt;=8/24,AN$9&lt;14/24)</formula>
    </cfRule>
    <cfRule type="expression" dxfId="854" priority="2">
      <formula>AND(AN$9&gt;=14/24,AN$9&lt;20/24)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7" id="{83067163-1D39-4002-9F59-D2590F0172FD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6" id="{5941899C-C6F8-40E7-B40E-CC41AA589F7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8" id="{1756032B-8DA1-4C11-9FC6-E673E4C8444B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70DAC304-4E0D-427C-96E0-4C01FE5C89C8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B113:C113</xm:sqref>
        </x14:conditionalFormatting>
        <x14:conditionalFormatting xmlns:xm="http://schemas.microsoft.com/office/excel/2006/main">
          <x14:cfRule type="expression" priority="40" id="{B3B646B5-F021-4E34-90B1-359F6A4F5F7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0E2F86BC-C59D-4B01-812D-A476314C60D7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" id="{C52A4F9B-9D7C-4418-9B28-37FB6BF3766D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" id="{9ED81AF7-FC27-4503-BD2B-050ADFFF5DAC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136" id="{A38317D8-BAB1-42EF-9FE7-B53BFAE3C51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0820BAB1-1172-4304-B031-E940C39A2F71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3CA536B4-5C7E-484C-BD35-00B24A4199D2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4" id="{0D7AE367-5D7B-4F5B-8414-1D44FB9B8D6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J274"/>
  <sheetViews>
    <sheetView workbookViewId="0">
      <pane ySplit="10" topLeftCell="A17" activePane="bottomLeft" state="frozen"/>
      <selection activeCell="U80" sqref="U80"/>
      <selection pane="bottomLeft" activeCell="N66" sqref="N66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/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str">
        <f ca="1">"2079/"&amp;"09/"&amp;INT(MID(CELL("filename",D6),FIND("]",CELL("filename",D6))+1,200))</f>
        <v>2079/09/3</v>
      </c>
      <c r="C4" s="771"/>
      <c r="D4" s="771"/>
      <c r="E4" s="772" t="str">
        <f ca="1">"2079/"&amp;"09/"&amp;INT(MID(CELL("filename",G6),FIND("]",CELL("filename",G6))+1,200))</f>
        <v>2079/09/3</v>
      </c>
      <c r="F4" s="772"/>
      <c r="G4" s="772"/>
      <c r="H4" s="772" t="str">
        <f ca="1">TEXT(E4,"dddd")</f>
        <v>Sunday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288.8</v>
      </c>
      <c r="C5" s="30">
        <f t="shared" si="0"/>
        <v>294.3</v>
      </c>
      <c r="D5" s="30">
        <f t="shared" si="0"/>
        <v>288.39999999999998</v>
      </c>
      <c r="E5" s="30">
        <f t="shared" si="0"/>
        <v>275.7</v>
      </c>
      <c r="F5" s="30">
        <f t="shared" si="0"/>
        <v>292.8</v>
      </c>
      <c r="G5" s="30">
        <f t="shared" si="0"/>
        <v>369</v>
      </c>
      <c r="H5" s="30">
        <f t="shared" si="0"/>
        <v>378.2</v>
      </c>
      <c r="I5" s="30">
        <f t="shared" si="0"/>
        <v>446</v>
      </c>
      <c r="J5" s="30">
        <f t="shared" si="0"/>
        <v>454.2</v>
      </c>
      <c r="K5" s="30">
        <f t="shared" si="0"/>
        <v>422.6</v>
      </c>
      <c r="L5" s="30">
        <f t="shared" si="0"/>
        <v>336</v>
      </c>
      <c r="M5" s="30">
        <f t="shared" si="0"/>
        <v>241.39999999999998</v>
      </c>
      <c r="N5" s="30">
        <f t="shared" si="0"/>
        <v>259.2</v>
      </c>
      <c r="O5" s="30">
        <f t="shared" si="0"/>
        <v>491.4</v>
      </c>
      <c r="P5" s="30">
        <f t="shared" si="0"/>
        <v>512.79999999999995</v>
      </c>
      <c r="Q5" s="30">
        <f t="shared" si="0"/>
        <v>507.5</v>
      </c>
      <c r="R5" s="30">
        <f t="shared" si="0"/>
        <v>510.70000000000005</v>
      </c>
      <c r="S5" s="30">
        <f t="shared" si="0"/>
        <v>518</v>
      </c>
      <c r="T5" s="30">
        <f t="shared" si="0"/>
        <v>455</v>
      </c>
      <c r="U5" s="30">
        <f t="shared" si="0"/>
        <v>396.5</v>
      </c>
      <c r="V5" s="30">
        <f t="shared" si="0"/>
        <v>437.4</v>
      </c>
      <c r="W5" s="30">
        <f t="shared" si="0"/>
        <v>514.4</v>
      </c>
      <c r="X5" s="30">
        <f t="shared" si="0"/>
        <v>421</v>
      </c>
      <c r="Y5" s="30">
        <f t="shared" si="0"/>
        <v>470.7</v>
      </c>
      <c r="Z5" s="30">
        <f t="shared" si="0"/>
        <v>427.7</v>
      </c>
      <c r="AA5" s="30">
        <f t="shared" si="0"/>
        <v>451.7</v>
      </c>
      <c r="AB5" s="30">
        <f t="shared" si="0"/>
        <v>451.7</v>
      </c>
      <c r="AC5" s="30">
        <f t="shared" si="0"/>
        <v>445.7</v>
      </c>
      <c r="AD5" s="30">
        <f t="shared" si="0"/>
        <v>390.3</v>
      </c>
      <c r="AE5" s="30">
        <f t="shared" si="0"/>
        <v>409.3</v>
      </c>
      <c r="AF5" s="30">
        <f>B78</f>
        <v>416.59999999999997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1634MW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Load=1028</v>
      </c>
      <c r="B7" s="35">
        <f t="shared" ref="B7:AF7" si="1">B85</f>
        <v>1089.3399999999999</v>
      </c>
      <c r="C7" s="35">
        <f t="shared" si="1"/>
        <v>1038.54</v>
      </c>
      <c r="D7" s="35">
        <f t="shared" si="1"/>
        <v>1073.6399999999999</v>
      </c>
      <c r="E7" s="35">
        <f t="shared" si="1"/>
        <v>1027.7399999999998</v>
      </c>
      <c r="F7" s="35">
        <f t="shared" si="1"/>
        <v>1049.24</v>
      </c>
      <c r="G7" s="35">
        <f t="shared" si="1"/>
        <v>1101.44</v>
      </c>
      <c r="H7" s="35">
        <f t="shared" si="1"/>
        <v>1148.94</v>
      </c>
      <c r="I7" s="35">
        <f t="shared" si="1"/>
        <v>1206.04</v>
      </c>
      <c r="J7" s="35">
        <f t="shared" si="1"/>
        <v>1324.1399999999999</v>
      </c>
      <c r="K7" s="35">
        <f t="shared" si="1"/>
        <v>1344.94</v>
      </c>
      <c r="L7" s="35">
        <f t="shared" si="1"/>
        <v>1436.74</v>
      </c>
      <c r="M7" s="35">
        <f t="shared" si="1"/>
        <v>1634.44</v>
      </c>
      <c r="N7" s="35">
        <f>N85</f>
        <v>1593.04</v>
      </c>
      <c r="O7" s="35">
        <f t="shared" si="1"/>
        <v>1455.74</v>
      </c>
      <c r="P7" s="35">
        <f t="shared" si="1"/>
        <v>1425.2399999999998</v>
      </c>
      <c r="Q7" s="35">
        <f t="shared" si="1"/>
        <v>1407.6399999999999</v>
      </c>
      <c r="R7" s="35">
        <f t="shared" si="1"/>
        <v>1345.2399999999998</v>
      </c>
      <c r="S7" s="35">
        <f t="shared" si="1"/>
        <v>1384.44</v>
      </c>
      <c r="T7" s="35">
        <f t="shared" si="1"/>
        <v>1386.8399999999997</v>
      </c>
      <c r="U7" s="35">
        <f t="shared" si="1"/>
        <v>1325.7399999999998</v>
      </c>
      <c r="V7" s="35">
        <f t="shared" si="1"/>
        <v>1302.3399999999999</v>
      </c>
      <c r="W7" s="35">
        <f t="shared" si="1"/>
        <v>1341.7400000000002</v>
      </c>
      <c r="X7" s="35">
        <f t="shared" si="1"/>
        <v>1784.8400000000001</v>
      </c>
      <c r="Y7" s="35">
        <f t="shared" si="1"/>
        <v>1679.8400000000001</v>
      </c>
      <c r="Z7" s="35">
        <f t="shared" si="1"/>
        <v>1703.94</v>
      </c>
      <c r="AA7" s="35">
        <f t="shared" si="1"/>
        <v>1670.84</v>
      </c>
      <c r="AB7" s="35">
        <f t="shared" si="1"/>
        <v>1649.24</v>
      </c>
      <c r="AC7" s="35">
        <f t="shared" si="1"/>
        <v>1533.04</v>
      </c>
      <c r="AD7" s="35">
        <f t="shared" si="1"/>
        <v>1446.7399999999998</v>
      </c>
      <c r="AE7" s="35">
        <f t="shared" si="1"/>
        <v>1240.4399999999998</v>
      </c>
      <c r="AF7" s="35">
        <f t="shared" si="1"/>
        <v>1144.7399999999998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18.8</v>
      </c>
      <c r="C11" s="45">
        <v>21</v>
      </c>
      <c r="D11" s="45">
        <v>21</v>
      </c>
      <c r="E11" s="45">
        <v>21</v>
      </c>
      <c r="F11" s="45">
        <v>21</v>
      </c>
      <c r="G11" s="45">
        <v>19.5</v>
      </c>
      <c r="H11" s="45">
        <v>19.5</v>
      </c>
      <c r="I11" s="45">
        <v>19.5</v>
      </c>
      <c r="J11" s="45">
        <v>19.5</v>
      </c>
      <c r="K11" s="45">
        <v>19.5</v>
      </c>
      <c r="L11" s="45">
        <v>19.5</v>
      </c>
      <c r="M11" s="45">
        <v>19.5</v>
      </c>
      <c r="N11" s="45">
        <v>19.5</v>
      </c>
      <c r="O11" s="45">
        <v>19.5</v>
      </c>
      <c r="P11" s="45">
        <v>19.5</v>
      </c>
      <c r="Q11" s="45">
        <v>19.5</v>
      </c>
      <c r="R11" s="45">
        <v>19.5</v>
      </c>
      <c r="S11" s="45">
        <v>19.5</v>
      </c>
      <c r="T11" s="45">
        <v>19.5</v>
      </c>
      <c r="U11" s="45">
        <v>19.100000000000001</v>
      </c>
      <c r="V11" s="45">
        <v>19.100000000000001</v>
      </c>
      <c r="W11" s="45">
        <v>17.7</v>
      </c>
      <c r="X11" s="45">
        <v>17.8</v>
      </c>
      <c r="Y11" s="45">
        <v>17.7</v>
      </c>
      <c r="Z11" s="45">
        <v>17.7</v>
      </c>
      <c r="AA11" s="45">
        <v>19.399999999999999</v>
      </c>
      <c r="AB11" s="45">
        <v>19.399999999999999</v>
      </c>
      <c r="AC11" s="45">
        <v>19.399999999999999</v>
      </c>
      <c r="AD11" s="45">
        <v>19.399999999999999</v>
      </c>
      <c r="AE11" s="45">
        <v>19.399999999999999</v>
      </c>
      <c r="AF11" s="45">
        <v>19.399999999999999</v>
      </c>
      <c r="AG11" s="46">
        <v>52.4</v>
      </c>
      <c r="AH11" s="47">
        <f t="shared" ref="AH11:AH74" si="2">MAX(B11:AF11)</f>
        <v>21</v>
      </c>
      <c r="AI11" s="48">
        <f t="shared" ref="AI11:AI74" si="3">MIN(B11:AF11)</f>
        <v>17.7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37.4</v>
      </c>
      <c r="C12" s="45">
        <v>36.5</v>
      </c>
      <c r="D12" s="45">
        <v>36.700000000000003</v>
      </c>
      <c r="E12" s="45">
        <v>36.700000000000003</v>
      </c>
      <c r="F12" s="45">
        <v>36.700000000000003</v>
      </c>
      <c r="G12" s="45">
        <v>36.9</v>
      </c>
      <c r="H12" s="45">
        <v>36.9</v>
      </c>
      <c r="I12" s="45">
        <v>36.9</v>
      </c>
      <c r="J12" s="45">
        <v>36.9</v>
      </c>
      <c r="K12" s="45">
        <v>36.9</v>
      </c>
      <c r="L12" s="45">
        <v>36.9</v>
      </c>
      <c r="M12" s="45">
        <v>36.9</v>
      </c>
      <c r="N12" s="45">
        <v>36.9</v>
      </c>
      <c r="O12" s="45">
        <v>36.9</v>
      </c>
      <c r="P12" s="45">
        <v>36.9</v>
      </c>
      <c r="Q12" s="45">
        <v>36.9</v>
      </c>
      <c r="R12" s="45">
        <v>36.9</v>
      </c>
      <c r="S12" s="45">
        <v>36.9</v>
      </c>
      <c r="T12" s="45">
        <v>36.299999999999997</v>
      </c>
      <c r="U12" s="45">
        <v>37</v>
      </c>
      <c r="V12" s="45">
        <v>37</v>
      </c>
      <c r="W12" s="45">
        <v>36.200000000000003</v>
      </c>
      <c r="X12" s="45">
        <v>36.4</v>
      </c>
      <c r="Y12" s="45">
        <v>36.700000000000003</v>
      </c>
      <c r="Z12" s="45">
        <v>36.700000000000003</v>
      </c>
      <c r="AA12" s="45">
        <v>36.6</v>
      </c>
      <c r="AB12" s="45">
        <v>36.6</v>
      </c>
      <c r="AC12" s="45">
        <v>36.6</v>
      </c>
      <c r="AD12" s="45">
        <v>36.6</v>
      </c>
      <c r="AE12" s="45">
        <v>36.6</v>
      </c>
      <c r="AF12" s="45">
        <v>36.6</v>
      </c>
      <c r="AG12" s="50">
        <v>50</v>
      </c>
      <c r="AH12" s="47">
        <f t="shared" si="2"/>
        <v>37.4</v>
      </c>
      <c r="AI12" s="48">
        <f t="shared" si="3"/>
        <v>36.200000000000003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21.2</v>
      </c>
      <c r="C13" s="45">
        <v>20.5</v>
      </c>
      <c r="D13" s="45">
        <v>19.600000000000001</v>
      </c>
      <c r="E13" s="45">
        <v>19.600000000000001</v>
      </c>
      <c r="F13" s="45">
        <v>19.600000000000001</v>
      </c>
      <c r="G13" s="45">
        <v>19.5</v>
      </c>
      <c r="H13" s="45">
        <v>19.5</v>
      </c>
      <c r="I13" s="45">
        <v>19.5</v>
      </c>
      <c r="J13" s="45">
        <v>19.5</v>
      </c>
      <c r="K13" s="45">
        <v>19.5</v>
      </c>
      <c r="L13" s="45">
        <v>19.5</v>
      </c>
      <c r="M13" s="45">
        <v>19.5</v>
      </c>
      <c r="N13" s="45">
        <v>19.5</v>
      </c>
      <c r="O13" s="45">
        <v>19.5</v>
      </c>
      <c r="P13" s="45">
        <v>19.5</v>
      </c>
      <c r="Q13" s="45">
        <v>19.5</v>
      </c>
      <c r="R13" s="45">
        <v>19.5</v>
      </c>
      <c r="S13" s="45">
        <v>19.5</v>
      </c>
      <c r="T13" s="45">
        <v>19.100000000000001</v>
      </c>
      <c r="U13" s="45">
        <v>21.3</v>
      </c>
      <c r="V13" s="45">
        <v>21.3</v>
      </c>
      <c r="W13" s="45">
        <v>21.3</v>
      </c>
      <c r="X13" s="45">
        <v>21.3</v>
      </c>
      <c r="Y13" s="45">
        <v>21</v>
      </c>
      <c r="Z13" s="45">
        <v>21</v>
      </c>
      <c r="AA13" s="45">
        <v>21.1</v>
      </c>
      <c r="AB13" s="45">
        <v>21.1</v>
      </c>
      <c r="AC13" s="45">
        <v>21.1</v>
      </c>
      <c r="AD13" s="45">
        <v>21.1</v>
      </c>
      <c r="AE13" s="45">
        <v>21.1</v>
      </c>
      <c r="AF13" s="45">
        <v>21.1</v>
      </c>
      <c r="AG13" s="50">
        <v>45</v>
      </c>
      <c r="AH13" s="47">
        <f t="shared" si="2"/>
        <v>21.3</v>
      </c>
      <c r="AI13" s="48">
        <f t="shared" si="3"/>
        <v>19.100000000000001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11</v>
      </c>
      <c r="C14" s="45">
        <v>10</v>
      </c>
      <c r="D14" s="45">
        <v>10</v>
      </c>
      <c r="E14" s="45">
        <v>10</v>
      </c>
      <c r="F14" s="45">
        <v>10</v>
      </c>
      <c r="G14" s="45">
        <v>10</v>
      </c>
      <c r="H14" s="45">
        <v>10</v>
      </c>
      <c r="I14" s="45">
        <v>10</v>
      </c>
      <c r="J14" s="45">
        <v>10</v>
      </c>
      <c r="K14" s="45">
        <v>10</v>
      </c>
      <c r="L14" s="45">
        <v>10</v>
      </c>
      <c r="M14" s="45">
        <v>10</v>
      </c>
      <c r="N14" s="45">
        <v>10</v>
      </c>
      <c r="O14" s="45">
        <v>10</v>
      </c>
      <c r="P14" s="45">
        <v>10</v>
      </c>
      <c r="Q14" s="45">
        <v>10</v>
      </c>
      <c r="R14" s="45">
        <v>10</v>
      </c>
      <c r="S14" s="45">
        <v>10</v>
      </c>
      <c r="T14" s="45">
        <v>10</v>
      </c>
      <c r="U14" s="45">
        <v>10</v>
      </c>
      <c r="V14" s="45">
        <v>10</v>
      </c>
      <c r="W14" s="45">
        <v>10</v>
      </c>
      <c r="X14" s="45">
        <v>10</v>
      </c>
      <c r="Y14" s="45">
        <v>10</v>
      </c>
      <c r="Z14" s="45">
        <v>10</v>
      </c>
      <c r="AA14" s="45">
        <v>10</v>
      </c>
      <c r="AB14" s="45">
        <v>10</v>
      </c>
      <c r="AC14" s="45">
        <v>10</v>
      </c>
      <c r="AD14" s="45">
        <v>10</v>
      </c>
      <c r="AE14" s="45">
        <v>10</v>
      </c>
      <c r="AF14" s="45">
        <v>10</v>
      </c>
      <c r="AG14" s="50">
        <v>42</v>
      </c>
      <c r="AH14" s="47">
        <f t="shared" si="2"/>
        <v>11</v>
      </c>
      <c r="AI14" s="48">
        <f t="shared" si="3"/>
        <v>10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17</v>
      </c>
      <c r="C15" s="45">
        <v>17</v>
      </c>
      <c r="D15" s="45">
        <v>17</v>
      </c>
      <c r="E15" s="45">
        <v>17</v>
      </c>
      <c r="F15" s="45">
        <v>17</v>
      </c>
      <c r="G15" s="45">
        <v>17</v>
      </c>
      <c r="H15" s="45">
        <v>17</v>
      </c>
      <c r="I15" s="45">
        <v>17</v>
      </c>
      <c r="J15" s="45">
        <v>17</v>
      </c>
      <c r="K15" s="45">
        <v>17</v>
      </c>
      <c r="L15" s="45">
        <v>17</v>
      </c>
      <c r="M15" s="45">
        <v>17</v>
      </c>
      <c r="N15" s="45">
        <v>17</v>
      </c>
      <c r="O15" s="45">
        <v>17</v>
      </c>
      <c r="P15" s="45">
        <v>17</v>
      </c>
      <c r="Q15" s="45">
        <v>17</v>
      </c>
      <c r="R15" s="45">
        <v>17</v>
      </c>
      <c r="S15" s="45">
        <v>17</v>
      </c>
      <c r="T15" s="45">
        <v>17</v>
      </c>
      <c r="U15" s="45">
        <v>17</v>
      </c>
      <c r="V15" s="45">
        <v>17</v>
      </c>
      <c r="W15" s="45">
        <v>17</v>
      </c>
      <c r="X15" s="45">
        <v>17</v>
      </c>
      <c r="Y15" s="45">
        <v>17</v>
      </c>
      <c r="Z15" s="45">
        <v>17</v>
      </c>
      <c r="AA15" s="45">
        <v>17</v>
      </c>
      <c r="AB15" s="45">
        <v>17</v>
      </c>
      <c r="AC15" s="45">
        <v>17</v>
      </c>
      <c r="AD15" s="45">
        <v>17</v>
      </c>
      <c r="AE15" s="45">
        <v>17</v>
      </c>
      <c r="AF15" s="45">
        <v>17</v>
      </c>
      <c r="AG15" s="50">
        <v>36</v>
      </c>
      <c r="AH15" s="47">
        <f t="shared" si="2"/>
        <v>17</v>
      </c>
      <c r="AI15" s="48">
        <f t="shared" si="3"/>
        <v>17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9.1999999999999993</v>
      </c>
      <c r="C16" s="45">
        <v>9</v>
      </c>
      <c r="D16" s="45">
        <v>9</v>
      </c>
      <c r="E16" s="45">
        <v>9</v>
      </c>
      <c r="F16" s="45">
        <v>9</v>
      </c>
      <c r="G16" s="45">
        <v>9.5</v>
      </c>
      <c r="H16" s="45">
        <v>9.5</v>
      </c>
      <c r="I16" s="45">
        <v>9.5</v>
      </c>
      <c r="J16" s="45">
        <v>9.5</v>
      </c>
      <c r="K16" s="45">
        <v>9.5</v>
      </c>
      <c r="L16" s="45">
        <v>9.5</v>
      </c>
      <c r="M16" s="45">
        <v>9.5</v>
      </c>
      <c r="N16" s="45">
        <v>9.5</v>
      </c>
      <c r="O16" s="45">
        <v>9.5</v>
      </c>
      <c r="P16" s="45">
        <v>9.5</v>
      </c>
      <c r="Q16" s="45">
        <v>9.5</v>
      </c>
      <c r="R16" s="45">
        <v>9.5</v>
      </c>
      <c r="S16" s="45">
        <v>9.5</v>
      </c>
      <c r="T16" s="45">
        <v>9.5</v>
      </c>
      <c r="U16" s="45">
        <v>9.5</v>
      </c>
      <c r="V16" s="45">
        <v>9.5</v>
      </c>
      <c r="W16" s="45">
        <v>9.5</v>
      </c>
      <c r="X16" s="45">
        <v>9.5</v>
      </c>
      <c r="Y16" s="45">
        <v>9.5</v>
      </c>
      <c r="Z16" s="45">
        <v>9.5</v>
      </c>
      <c r="AA16" s="45">
        <v>9.5</v>
      </c>
      <c r="AB16" s="45">
        <v>9.5</v>
      </c>
      <c r="AC16" s="45">
        <v>9.5</v>
      </c>
      <c r="AD16" s="45">
        <v>9.5</v>
      </c>
      <c r="AE16" s="45">
        <v>9.5</v>
      </c>
      <c r="AF16" s="45">
        <v>9.5</v>
      </c>
      <c r="AG16" s="51">
        <v>30</v>
      </c>
      <c r="AH16" s="47">
        <f t="shared" si="2"/>
        <v>9.5</v>
      </c>
      <c r="AI16" s="48">
        <f t="shared" si="3"/>
        <v>9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9.3000000000000007</v>
      </c>
      <c r="C17" s="45">
        <v>8.9</v>
      </c>
      <c r="D17" s="45">
        <v>8.9</v>
      </c>
      <c r="E17" s="45">
        <v>8.9</v>
      </c>
      <c r="F17" s="45">
        <v>8.9</v>
      </c>
      <c r="G17" s="45">
        <v>8.5</v>
      </c>
      <c r="H17" s="45">
        <v>8.5</v>
      </c>
      <c r="I17" s="45">
        <v>8.5</v>
      </c>
      <c r="J17" s="45">
        <v>8.5</v>
      </c>
      <c r="K17" s="45">
        <v>8.5</v>
      </c>
      <c r="L17" s="45">
        <v>8.5</v>
      </c>
      <c r="M17" s="45">
        <v>8.5</v>
      </c>
      <c r="N17" s="45">
        <v>8.5</v>
      </c>
      <c r="O17" s="45">
        <v>8.5</v>
      </c>
      <c r="P17" s="45">
        <v>8.5</v>
      </c>
      <c r="Q17" s="45">
        <v>8.5</v>
      </c>
      <c r="R17" s="45">
        <v>8.5</v>
      </c>
      <c r="S17" s="45">
        <v>8.5</v>
      </c>
      <c r="T17" s="45">
        <v>8.5</v>
      </c>
      <c r="U17" s="45">
        <v>8.5</v>
      </c>
      <c r="V17" s="45">
        <v>8.5</v>
      </c>
      <c r="W17" s="45">
        <v>8.5</v>
      </c>
      <c r="X17" s="45">
        <v>8.5</v>
      </c>
      <c r="Y17" s="45">
        <v>8.5</v>
      </c>
      <c r="Z17" s="45">
        <v>8.5</v>
      </c>
      <c r="AA17" s="45">
        <v>8.5</v>
      </c>
      <c r="AB17" s="45">
        <v>8.5</v>
      </c>
      <c r="AC17" s="45">
        <v>8.5</v>
      </c>
      <c r="AD17" s="45">
        <v>8.5</v>
      </c>
      <c r="AE17" s="45">
        <v>8.5</v>
      </c>
      <c r="AF17" s="45">
        <v>8.5</v>
      </c>
      <c r="AG17" s="50">
        <v>24.2</v>
      </c>
      <c r="AH17" s="47">
        <f t="shared" si="2"/>
        <v>9.3000000000000007</v>
      </c>
      <c r="AI17" s="48">
        <f t="shared" si="3"/>
        <v>8.5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0">
        <v>28</v>
      </c>
      <c r="AH18" s="47">
        <f t="shared" si="2"/>
        <v>13</v>
      </c>
      <c r="AI18" s="48">
        <f t="shared" si="3"/>
        <v>13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>
        <v>10</v>
      </c>
      <c r="L20" s="45">
        <v>10</v>
      </c>
      <c r="M20" s="45">
        <v>10</v>
      </c>
      <c r="N20" s="45">
        <v>10</v>
      </c>
      <c r="O20" s="45">
        <v>10</v>
      </c>
      <c r="P20" s="45">
        <v>10</v>
      </c>
      <c r="Q20" s="45">
        <v>10</v>
      </c>
      <c r="R20" s="45">
        <v>10</v>
      </c>
      <c r="S20" s="45">
        <v>10</v>
      </c>
      <c r="T20" s="45">
        <v>10</v>
      </c>
      <c r="U20" s="45">
        <v>10</v>
      </c>
      <c r="V20" s="45">
        <v>10</v>
      </c>
      <c r="W20" s="45">
        <v>10</v>
      </c>
      <c r="X20" s="45">
        <v>10</v>
      </c>
      <c r="Y20" s="45">
        <v>10</v>
      </c>
      <c r="Z20" s="45">
        <v>10</v>
      </c>
      <c r="AA20" s="45">
        <v>10</v>
      </c>
      <c r="AB20" s="45">
        <v>10</v>
      </c>
      <c r="AC20" s="45">
        <v>10</v>
      </c>
      <c r="AD20" s="45">
        <v>10</v>
      </c>
      <c r="AE20" s="45">
        <v>10</v>
      </c>
      <c r="AF20" s="45">
        <v>10</v>
      </c>
      <c r="AG20" s="50">
        <v>25</v>
      </c>
      <c r="AH20" s="47">
        <f t="shared" si="2"/>
        <v>10</v>
      </c>
      <c r="AI20" s="48">
        <f t="shared" si="3"/>
        <v>10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0">
        <v>25</v>
      </c>
      <c r="AH22" s="47">
        <f t="shared" si="2"/>
        <v>11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9.5</v>
      </c>
      <c r="C24" s="45">
        <v>9.5</v>
      </c>
      <c r="D24" s="45">
        <v>9.5</v>
      </c>
      <c r="E24" s="45">
        <v>9.5</v>
      </c>
      <c r="F24" s="45">
        <v>9.5</v>
      </c>
      <c r="G24" s="45">
        <v>9.1</v>
      </c>
      <c r="H24" s="45">
        <v>9.1</v>
      </c>
      <c r="I24" s="45">
        <v>9.1</v>
      </c>
      <c r="J24" s="45">
        <v>9.1</v>
      </c>
      <c r="K24" s="45">
        <v>9.1</v>
      </c>
      <c r="L24" s="45">
        <v>9.1</v>
      </c>
      <c r="M24" s="45">
        <v>9.1</v>
      </c>
      <c r="N24" s="45">
        <v>9.1</v>
      </c>
      <c r="O24" s="45">
        <v>9.1</v>
      </c>
      <c r="P24" s="45">
        <v>9.1</v>
      </c>
      <c r="Q24" s="45">
        <v>9.1</v>
      </c>
      <c r="R24" s="45">
        <v>9.1</v>
      </c>
      <c r="S24" s="45">
        <v>9.1</v>
      </c>
      <c r="T24" s="45">
        <v>9.1</v>
      </c>
      <c r="U24" s="45">
        <v>9.1</v>
      </c>
      <c r="V24" s="45">
        <v>9.1</v>
      </c>
      <c r="W24" s="45">
        <v>9.1</v>
      </c>
      <c r="X24" s="45">
        <v>9.1</v>
      </c>
      <c r="Y24" s="45">
        <v>9.1</v>
      </c>
      <c r="Z24" s="45">
        <v>9.1</v>
      </c>
      <c r="AA24" s="45">
        <v>9.1</v>
      </c>
      <c r="AB24" s="45">
        <v>9.1</v>
      </c>
      <c r="AC24" s="45">
        <v>9.1</v>
      </c>
      <c r="AD24" s="45">
        <v>9.1</v>
      </c>
      <c r="AE24" s="45">
        <v>9.1</v>
      </c>
      <c r="AF24" s="45">
        <v>9.1</v>
      </c>
      <c r="AG24" s="50">
        <v>23.5</v>
      </c>
      <c r="AH24" s="47">
        <f t="shared" si="2"/>
        <v>9.5</v>
      </c>
      <c r="AI24" s="48">
        <f t="shared" si="3"/>
        <v>9.1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13.2</v>
      </c>
      <c r="C28" s="45">
        <v>13.2</v>
      </c>
      <c r="D28" s="45">
        <v>13.2</v>
      </c>
      <c r="E28" s="45">
        <v>13.2</v>
      </c>
      <c r="F28" s="45">
        <v>13.2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0">
        <v>22</v>
      </c>
      <c r="AH28" s="47">
        <f t="shared" si="2"/>
        <v>13.2</v>
      </c>
      <c r="AI28" s="48">
        <f t="shared" si="3"/>
        <v>12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5</v>
      </c>
      <c r="C30" s="45">
        <v>5</v>
      </c>
      <c r="D30" s="45">
        <v>5</v>
      </c>
      <c r="E30" s="45">
        <v>5</v>
      </c>
      <c r="F30" s="45">
        <v>5</v>
      </c>
      <c r="G30" s="45">
        <v>5</v>
      </c>
      <c r="H30" s="45">
        <v>5</v>
      </c>
      <c r="I30" s="45">
        <v>5</v>
      </c>
      <c r="J30" s="45">
        <v>5</v>
      </c>
      <c r="K30" s="45">
        <v>5</v>
      </c>
      <c r="L30" s="45">
        <v>5</v>
      </c>
      <c r="M30" s="45">
        <v>5</v>
      </c>
      <c r="N30" s="45">
        <v>5</v>
      </c>
      <c r="O30" s="45">
        <v>5</v>
      </c>
      <c r="P30" s="45">
        <v>5</v>
      </c>
      <c r="Q30" s="45">
        <v>5</v>
      </c>
      <c r="R30" s="45">
        <v>5</v>
      </c>
      <c r="S30" s="45">
        <v>5</v>
      </c>
      <c r="T30" s="45">
        <v>5</v>
      </c>
      <c r="U30" s="45">
        <v>5</v>
      </c>
      <c r="V30" s="45">
        <v>5</v>
      </c>
      <c r="W30" s="45">
        <v>5</v>
      </c>
      <c r="X30" s="45">
        <v>5</v>
      </c>
      <c r="Y30" s="45">
        <v>5</v>
      </c>
      <c r="Z30" s="45">
        <v>5</v>
      </c>
      <c r="AA30" s="45">
        <v>5</v>
      </c>
      <c r="AB30" s="45">
        <v>5</v>
      </c>
      <c r="AC30" s="45">
        <v>5</v>
      </c>
      <c r="AD30" s="45">
        <v>5</v>
      </c>
      <c r="AE30" s="45">
        <v>5</v>
      </c>
      <c r="AF30" s="45">
        <v>5</v>
      </c>
      <c r="AG30" s="50">
        <v>18</v>
      </c>
      <c r="AH30" s="47">
        <f t="shared" si="2"/>
        <v>5</v>
      </c>
      <c r="AI30" s="48">
        <f t="shared" si="3"/>
        <v>5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12</v>
      </c>
      <c r="C35" s="45">
        <v>12</v>
      </c>
      <c r="D35" s="45">
        <v>12</v>
      </c>
      <c r="E35" s="45">
        <v>12</v>
      </c>
      <c r="F35" s="45">
        <v>12</v>
      </c>
      <c r="G35" s="45">
        <v>10</v>
      </c>
      <c r="H35" s="45">
        <v>10</v>
      </c>
      <c r="I35" s="45">
        <v>10</v>
      </c>
      <c r="J35" s="45">
        <v>10</v>
      </c>
      <c r="K35" s="45">
        <v>10</v>
      </c>
      <c r="L35" s="45">
        <v>10</v>
      </c>
      <c r="M35" s="45">
        <v>10</v>
      </c>
      <c r="N35" s="45">
        <v>10</v>
      </c>
      <c r="O35" s="45">
        <v>10</v>
      </c>
      <c r="P35" s="45">
        <v>10</v>
      </c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45">
        <v>10</v>
      </c>
      <c r="Z35" s="45">
        <v>10</v>
      </c>
      <c r="AA35" s="45">
        <v>10</v>
      </c>
      <c r="AB35" s="45">
        <v>10</v>
      </c>
      <c r="AC35" s="45">
        <v>10</v>
      </c>
      <c r="AD35" s="45">
        <v>10</v>
      </c>
      <c r="AE35" s="45">
        <v>10</v>
      </c>
      <c r="AF35" s="45">
        <v>10</v>
      </c>
      <c r="AG35" s="50">
        <v>12</v>
      </c>
      <c r="AH35" s="47">
        <f t="shared" si="2"/>
        <v>12</v>
      </c>
      <c r="AI35" s="48">
        <f t="shared" si="3"/>
        <v>10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150</v>
      </c>
      <c r="C42" s="56">
        <v>150</v>
      </c>
      <c r="D42" s="56">
        <v>150</v>
      </c>
      <c r="E42" s="56">
        <v>150</v>
      </c>
      <c r="F42" s="56">
        <v>150</v>
      </c>
      <c r="G42" s="56">
        <v>150</v>
      </c>
      <c r="H42" s="56">
        <v>150</v>
      </c>
      <c r="I42" s="56">
        <v>150</v>
      </c>
      <c r="J42" s="56">
        <v>150</v>
      </c>
      <c r="K42" s="56">
        <v>150</v>
      </c>
      <c r="L42" s="56">
        <v>150</v>
      </c>
      <c r="M42" s="56">
        <v>150</v>
      </c>
      <c r="N42" s="56">
        <v>150</v>
      </c>
      <c r="O42" s="56">
        <v>150</v>
      </c>
      <c r="P42" s="56">
        <v>150</v>
      </c>
      <c r="Q42" s="56">
        <v>150</v>
      </c>
      <c r="R42" s="56">
        <v>150</v>
      </c>
      <c r="S42" s="56">
        <v>150</v>
      </c>
      <c r="T42" s="56">
        <v>150</v>
      </c>
      <c r="U42" s="56">
        <v>150</v>
      </c>
      <c r="V42" s="56">
        <v>150</v>
      </c>
      <c r="W42" s="56">
        <v>150</v>
      </c>
      <c r="X42" s="56">
        <v>150</v>
      </c>
      <c r="Y42" s="56">
        <v>150</v>
      </c>
      <c r="Z42" s="56">
        <v>150</v>
      </c>
      <c r="AA42" s="56">
        <v>150</v>
      </c>
      <c r="AB42" s="56">
        <v>150</v>
      </c>
      <c r="AC42" s="56">
        <v>150</v>
      </c>
      <c r="AD42" s="56">
        <v>150</v>
      </c>
      <c r="AE42" s="56">
        <v>150</v>
      </c>
      <c r="AF42" s="56">
        <v>150</v>
      </c>
      <c r="AG42" s="54">
        <v>85</v>
      </c>
      <c r="AH42" s="47">
        <f t="shared" si="2"/>
        <v>150</v>
      </c>
      <c r="AI42" s="48">
        <f t="shared" si="3"/>
        <v>150</v>
      </c>
      <c r="AK42" s="49"/>
    </row>
    <row r="43" spans="1:88" ht="15.75" thickBot="1" x14ac:dyDescent="0.3">
      <c r="A43" s="57" t="s">
        <v>51</v>
      </c>
      <c r="B43" s="56"/>
      <c r="C43" s="56"/>
      <c r="D43" s="56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>SUM(B11:B42)</f>
        <v>461.5</v>
      </c>
      <c r="C44" s="60">
        <f t="shared" ref="C44:AG44" si="4">SUM(C11:C42)</f>
        <v>460.49999999999994</v>
      </c>
      <c r="D44" s="60">
        <f>SUM(D11:D42)</f>
        <v>459.8</v>
      </c>
      <c r="E44" s="60">
        <f t="shared" si="4"/>
        <v>459.8</v>
      </c>
      <c r="F44" s="60">
        <f t="shared" si="4"/>
        <v>459.8</v>
      </c>
      <c r="G44" s="60">
        <f t="shared" si="4"/>
        <v>454.9</v>
      </c>
      <c r="H44" s="60">
        <f t="shared" si="4"/>
        <v>454.9</v>
      </c>
      <c r="I44" s="60">
        <f t="shared" si="4"/>
        <v>454.9</v>
      </c>
      <c r="J44" s="60">
        <f t="shared" si="4"/>
        <v>454.9</v>
      </c>
      <c r="K44" s="60">
        <f t="shared" si="4"/>
        <v>454.9</v>
      </c>
      <c r="L44" s="60">
        <f t="shared" si="4"/>
        <v>454.9</v>
      </c>
      <c r="M44" s="60">
        <f t="shared" si="4"/>
        <v>454.9</v>
      </c>
      <c r="N44" s="60">
        <f t="shared" si="4"/>
        <v>454.9</v>
      </c>
      <c r="O44" s="60">
        <f t="shared" si="4"/>
        <v>454.9</v>
      </c>
      <c r="P44" s="60">
        <f t="shared" si="4"/>
        <v>454.9</v>
      </c>
      <c r="Q44" s="60">
        <f t="shared" si="4"/>
        <v>454.9</v>
      </c>
      <c r="R44" s="60">
        <f t="shared" si="4"/>
        <v>454.9</v>
      </c>
      <c r="S44" s="60">
        <f t="shared" si="4"/>
        <v>454.9</v>
      </c>
      <c r="T44" s="60">
        <f t="shared" si="4"/>
        <v>453.9</v>
      </c>
      <c r="U44" s="60">
        <f t="shared" si="4"/>
        <v>456.4</v>
      </c>
      <c r="V44" s="60">
        <f t="shared" si="4"/>
        <v>456.4</v>
      </c>
      <c r="W44" s="60">
        <f t="shared" si="4"/>
        <v>454.2</v>
      </c>
      <c r="X44" s="60">
        <v>454.49999999999994</v>
      </c>
      <c r="Y44" s="60">
        <v>456.09999999999997</v>
      </c>
      <c r="Z44" s="60">
        <f t="shared" si="4"/>
        <v>454.4</v>
      </c>
      <c r="AA44" s="60">
        <f t="shared" si="4"/>
        <v>456.09999999999997</v>
      </c>
      <c r="AB44" s="60">
        <f t="shared" si="4"/>
        <v>456.09999999999997</v>
      </c>
      <c r="AC44" s="60">
        <f t="shared" si="4"/>
        <v>456.09999999999997</v>
      </c>
      <c r="AD44" s="60">
        <f t="shared" si="4"/>
        <v>456.09999999999997</v>
      </c>
      <c r="AE44" s="60">
        <f t="shared" si="4"/>
        <v>456.09999999999997</v>
      </c>
      <c r="AF44" s="60">
        <f t="shared" si="4"/>
        <v>456.09999999999997</v>
      </c>
      <c r="AG44" s="61">
        <f t="shared" si="4"/>
        <v>814.78000000000009</v>
      </c>
      <c r="AH44" s="47">
        <f t="shared" si="2"/>
        <v>461.5</v>
      </c>
      <c r="AI44" s="48">
        <f t="shared" si="3"/>
        <v>453.9</v>
      </c>
      <c r="AK44" s="49"/>
    </row>
    <row r="45" spans="1:88" x14ac:dyDescent="0.25">
      <c r="A45" s="62" t="s">
        <v>53</v>
      </c>
      <c r="B45" s="45">
        <v>40</v>
      </c>
      <c r="C45" s="45">
        <v>120</v>
      </c>
      <c r="D45" s="45">
        <v>150</v>
      </c>
      <c r="E45" s="45">
        <v>110</v>
      </c>
      <c r="F45" s="45">
        <v>140</v>
      </c>
      <c r="G45" s="45">
        <v>150</v>
      </c>
      <c r="H45" s="45">
        <v>90</v>
      </c>
      <c r="I45" s="45">
        <v>110</v>
      </c>
      <c r="J45" s="45">
        <v>90</v>
      </c>
      <c r="K45" s="45">
        <v>30</v>
      </c>
      <c r="L45" s="45">
        <v>80</v>
      </c>
      <c r="M45" s="63">
        <v>140</v>
      </c>
      <c r="N45" s="63">
        <v>185</v>
      </c>
      <c r="O45" s="45">
        <v>120</v>
      </c>
      <c r="P45" s="45">
        <v>50</v>
      </c>
      <c r="Q45" s="45">
        <v>60</v>
      </c>
      <c r="R45" s="45">
        <v>35</v>
      </c>
      <c r="S45" s="45">
        <v>55</v>
      </c>
      <c r="T45" s="45">
        <v>60</v>
      </c>
      <c r="U45" s="45">
        <v>60</v>
      </c>
      <c r="V45" s="45">
        <v>40</v>
      </c>
      <c r="W45" s="45">
        <v>30</v>
      </c>
      <c r="X45" s="45">
        <v>100</v>
      </c>
      <c r="Y45" s="45">
        <v>170</v>
      </c>
      <c r="Z45" s="45">
        <v>140</v>
      </c>
      <c r="AA45" s="45">
        <v>170</v>
      </c>
      <c r="AB45" s="45">
        <v>130</v>
      </c>
      <c r="AC45" s="45">
        <v>140</v>
      </c>
      <c r="AD45" s="45">
        <v>110</v>
      </c>
      <c r="AE45" s="45">
        <v>100</v>
      </c>
      <c r="AF45" s="45">
        <v>90</v>
      </c>
      <c r="AG45" s="51">
        <v>456</v>
      </c>
      <c r="AH45" s="47">
        <f t="shared" si="2"/>
        <v>185</v>
      </c>
      <c r="AI45" s="48">
        <f t="shared" si="3"/>
        <v>30</v>
      </c>
      <c r="AK45" s="49"/>
    </row>
    <row r="46" spans="1:88" x14ac:dyDescent="0.25">
      <c r="A46" s="64" t="s">
        <v>54</v>
      </c>
      <c r="B46" s="65">
        <v>41</v>
      </c>
      <c r="C46" s="65">
        <v>41</v>
      </c>
      <c r="D46" s="65">
        <v>41</v>
      </c>
      <c r="E46" s="65">
        <v>41</v>
      </c>
      <c r="F46" s="65">
        <v>41</v>
      </c>
      <c r="G46" s="65">
        <v>41</v>
      </c>
      <c r="H46" s="65">
        <v>41</v>
      </c>
      <c r="I46" s="65">
        <v>41</v>
      </c>
      <c r="J46" s="65">
        <v>41</v>
      </c>
      <c r="K46" s="65">
        <v>41</v>
      </c>
      <c r="L46" s="65">
        <v>41</v>
      </c>
      <c r="M46" s="65">
        <v>41</v>
      </c>
      <c r="N46" s="65">
        <v>41</v>
      </c>
      <c r="O46" s="65">
        <v>41</v>
      </c>
      <c r="P46" s="65">
        <v>41</v>
      </c>
      <c r="Q46" s="65">
        <v>41</v>
      </c>
      <c r="R46" s="65">
        <v>41</v>
      </c>
      <c r="S46" s="65">
        <v>41</v>
      </c>
      <c r="T46" s="65">
        <v>41</v>
      </c>
      <c r="U46" s="65">
        <v>41</v>
      </c>
      <c r="V46" s="65">
        <v>41</v>
      </c>
      <c r="W46" s="65">
        <v>41</v>
      </c>
      <c r="X46" s="65">
        <v>41</v>
      </c>
      <c r="Y46" s="65">
        <v>41</v>
      </c>
      <c r="Z46" s="65">
        <v>41</v>
      </c>
      <c r="AA46" s="65">
        <v>41</v>
      </c>
      <c r="AB46" s="65">
        <v>41</v>
      </c>
      <c r="AC46" s="65">
        <v>41</v>
      </c>
      <c r="AD46" s="65">
        <v>41</v>
      </c>
      <c r="AE46" s="65">
        <v>41</v>
      </c>
      <c r="AF46" s="65">
        <v>41</v>
      </c>
      <c r="AG46" s="54">
        <v>60</v>
      </c>
      <c r="AH46" s="47">
        <f t="shared" si="2"/>
        <v>41</v>
      </c>
      <c r="AI46" s="48">
        <f t="shared" si="3"/>
        <v>41</v>
      </c>
      <c r="AK46" s="49"/>
    </row>
    <row r="47" spans="1:88" ht="15.75" thickBot="1" x14ac:dyDescent="0.3">
      <c r="A47" s="66" t="s">
        <v>55</v>
      </c>
      <c r="B47" s="67">
        <v>12</v>
      </c>
      <c r="C47" s="67">
        <v>12</v>
      </c>
      <c r="D47" s="67">
        <v>12</v>
      </c>
      <c r="E47" s="67">
        <v>12</v>
      </c>
      <c r="F47" s="67">
        <v>12</v>
      </c>
      <c r="G47" s="67">
        <v>12</v>
      </c>
      <c r="H47" s="67">
        <v>12</v>
      </c>
      <c r="I47" s="67">
        <v>12</v>
      </c>
      <c r="J47" s="67">
        <v>12</v>
      </c>
      <c r="K47" s="67">
        <v>12</v>
      </c>
      <c r="L47" s="67">
        <v>12</v>
      </c>
      <c r="M47" s="67">
        <v>12</v>
      </c>
      <c r="N47" s="67">
        <v>12</v>
      </c>
      <c r="O47" s="67">
        <v>12</v>
      </c>
      <c r="P47" s="67">
        <v>12</v>
      </c>
      <c r="Q47" s="67">
        <v>12</v>
      </c>
      <c r="R47" s="67">
        <v>12</v>
      </c>
      <c r="S47" s="67">
        <v>12.3</v>
      </c>
      <c r="T47" s="67">
        <v>12.3</v>
      </c>
      <c r="U47" s="67">
        <v>12.3</v>
      </c>
      <c r="V47" s="67">
        <v>12.3</v>
      </c>
      <c r="W47" s="67">
        <v>12.3</v>
      </c>
      <c r="X47" s="67">
        <v>12.3</v>
      </c>
      <c r="Y47" s="67">
        <v>18.899999999999999</v>
      </c>
      <c r="Z47" s="67">
        <v>18.899999999999999</v>
      </c>
      <c r="AA47" s="67">
        <v>18.899999999999999</v>
      </c>
      <c r="AB47" s="67">
        <v>12</v>
      </c>
      <c r="AC47" s="67">
        <v>12</v>
      </c>
      <c r="AD47" s="67">
        <v>12</v>
      </c>
      <c r="AE47" s="67">
        <v>12</v>
      </c>
      <c r="AF47" s="67">
        <v>12</v>
      </c>
      <c r="AG47" s="68">
        <v>22.1</v>
      </c>
      <c r="AH47" s="47">
        <f t="shared" si="2"/>
        <v>18.899999999999999</v>
      </c>
      <c r="AI47" s="48">
        <f t="shared" si="3"/>
        <v>12</v>
      </c>
      <c r="AK47" s="49"/>
    </row>
    <row r="48" spans="1:88" ht="15.75" thickBot="1" x14ac:dyDescent="0.3">
      <c r="A48" s="69" t="s">
        <v>56</v>
      </c>
      <c r="B48" s="60">
        <f>SUM(B45:B47)</f>
        <v>93</v>
      </c>
      <c r="C48" s="60">
        <f t="shared" ref="C48:AG48" si="5">SUM(C45:C47)</f>
        <v>173</v>
      </c>
      <c r="D48" s="60">
        <f t="shared" si="5"/>
        <v>203</v>
      </c>
      <c r="E48" s="60">
        <f t="shared" si="5"/>
        <v>163</v>
      </c>
      <c r="F48" s="60">
        <f t="shared" si="5"/>
        <v>193</v>
      </c>
      <c r="G48" s="60">
        <f t="shared" si="5"/>
        <v>203</v>
      </c>
      <c r="H48" s="60">
        <f t="shared" si="5"/>
        <v>143</v>
      </c>
      <c r="I48" s="60">
        <f t="shared" si="5"/>
        <v>163</v>
      </c>
      <c r="J48" s="60">
        <f t="shared" si="5"/>
        <v>143</v>
      </c>
      <c r="K48" s="60">
        <f t="shared" si="5"/>
        <v>83</v>
      </c>
      <c r="L48" s="60">
        <f t="shared" si="5"/>
        <v>133</v>
      </c>
      <c r="M48" s="60">
        <f t="shared" si="5"/>
        <v>193</v>
      </c>
      <c r="N48" s="60">
        <f t="shared" si="5"/>
        <v>238</v>
      </c>
      <c r="O48" s="60">
        <f t="shared" si="5"/>
        <v>173</v>
      </c>
      <c r="P48" s="60">
        <f t="shared" si="5"/>
        <v>103</v>
      </c>
      <c r="Q48" s="60">
        <f t="shared" si="5"/>
        <v>113</v>
      </c>
      <c r="R48" s="60">
        <f t="shared" si="5"/>
        <v>88</v>
      </c>
      <c r="S48" s="60">
        <f t="shared" si="5"/>
        <v>108.3</v>
      </c>
      <c r="T48" s="60">
        <f t="shared" si="5"/>
        <v>113.3</v>
      </c>
      <c r="U48" s="60">
        <f t="shared" si="5"/>
        <v>113.3</v>
      </c>
      <c r="V48" s="60">
        <f t="shared" si="5"/>
        <v>93.3</v>
      </c>
      <c r="W48" s="60">
        <f t="shared" si="5"/>
        <v>83.3</v>
      </c>
      <c r="X48" s="60">
        <v>153.30000000000001</v>
      </c>
      <c r="Y48" s="60">
        <v>189.9</v>
      </c>
      <c r="Z48" s="60">
        <f t="shared" si="5"/>
        <v>199.9</v>
      </c>
      <c r="AA48" s="60">
        <f t="shared" si="5"/>
        <v>229.9</v>
      </c>
      <c r="AB48" s="60">
        <f t="shared" si="5"/>
        <v>183</v>
      </c>
      <c r="AC48" s="60">
        <f t="shared" si="5"/>
        <v>193</v>
      </c>
      <c r="AD48" s="60">
        <f t="shared" si="5"/>
        <v>163</v>
      </c>
      <c r="AE48" s="60">
        <f t="shared" si="5"/>
        <v>153</v>
      </c>
      <c r="AF48" s="60">
        <f t="shared" si="5"/>
        <v>143</v>
      </c>
      <c r="AG48" s="61">
        <f t="shared" si="5"/>
        <v>538.1</v>
      </c>
      <c r="AH48" s="47">
        <f t="shared" si="2"/>
        <v>238</v>
      </c>
      <c r="AI48" s="48">
        <f t="shared" si="3"/>
        <v>83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25.7</v>
      </c>
      <c r="I49" s="45">
        <v>30.5</v>
      </c>
      <c r="J49" s="45">
        <v>48.9</v>
      </c>
      <c r="K49" s="45">
        <v>112</v>
      </c>
      <c r="L49" s="45">
        <v>142</v>
      </c>
      <c r="M49" s="45">
        <v>115</v>
      </c>
      <c r="N49" s="45">
        <v>112</v>
      </c>
      <c r="O49" s="45">
        <v>103</v>
      </c>
      <c r="P49" s="45">
        <v>141</v>
      </c>
      <c r="Q49" s="45">
        <v>125</v>
      </c>
      <c r="R49" s="45">
        <v>71</v>
      </c>
      <c r="S49" s="45">
        <v>71.3</v>
      </c>
      <c r="T49" s="45">
        <v>82</v>
      </c>
      <c r="U49" s="45">
        <v>81.5</v>
      </c>
      <c r="V49" s="45">
        <v>103.5</v>
      </c>
      <c r="W49" s="45">
        <v>100</v>
      </c>
      <c r="X49" s="45">
        <v>140</v>
      </c>
      <c r="Y49" s="45">
        <v>132.1</v>
      </c>
      <c r="Z49" s="45">
        <v>113</v>
      </c>
      <c r="AA49" s="45">
        <v>111.7</v>
      </c>
      <c r="AB49" s="45">
        <v>132</v>
      </c>
      <c r="AC49" s="45">
        <v>122.3</v>
      </c>
      <c r="AD49" s="45">
        <v>98.4</v>
      </c>
      <c r="AE49" s="45">
        <v>61.2</v>
      </c>
      <c r="AF49" s="45">
        <v>0</v>
      </c>
      <c r="AG49" s="51">
        <v>144</v>
      </c>
      <c r="AH49" s="47">
        <f t="shared" si="2"/>
        <v>142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34.5</v>
      </c>
      <c r="H50" s="65">
        <v>24</v>
      </c>
      <c r="I50" s="65">
        <v>35.5</v>
      </c>
      <c r="J50" s="65">
        <v>69.3</v>
      </c>
      <c r="K50" s="65">
        <v>62.2</v>
      </c>
      <c r="L50" s="65">
        <v>69</v>
      </c>
      <c r="M50" s="65">
        <v>68</v>
      </c>
      <c r="N50" s="65">
        <v>69</v>
      </c>
      <c r="O50" s="65">
        <v>50.7</v>
      </c>
      <c r="P50" s="65">
        <v>71</v>
      </c>
      <c r="Q50" s="65">
        <v>25</v>
      </c>
      <c r="R50" s="65">
        <v>25.4</v>
      </c>
      <c r="S50" s="45">
        <v>35.4</v>
      </c>
      <c r="T50" s="45">
        <v>23.1</v>
      </c>
      <c r="U50" s="45">
        <v>23.1</v>
      </c>
      <c r="V50" s="45">
        <v>45.7</v>
      </c>
      <c r="W50" s="45">
        <v>43.4</v>
      </c>
      <c r="X50" s="45">
        <v>70</v>
      </c>
      <c r="Y50" s="45">
        <v>68</v>
      </c>
      <c r="Z50" s="45">
        <v>51</v>
      </c>
      <c r="AA50" s="45">
        <v>50.8</v>
      </c>
      <c r="AB50" s="65">
        <v>50.6</v>
      </c>
      <c r="AC50" s="65">
        <v>50.8</v>
      </c>
      <c r="AD50" s="65">
        <v>50.8</v>
      </c>
      <c r="AE50" s="65">
        <v>23.1</v>
      </c>
      <c r="AF50" s="65">
        <v>0</v>
      </c>
      <c r="AG50" s="54">
        <v>70</v>
      </c>
      <c r="AH50" s="47">
        <f t="shared" si="2"/>
        <v>71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16.5</v>
      </c>
      <c r="C51" s="65">
        <v>16</v>
      </c>
      <c r="D51" s="65">
        <v>16.3</v>
      </c>
      <c r="E51" s="65">
        <v>16.3</v>
      </c>
      <c r="F51" s="65">
        <v>20.5</v>
      </c>
      <c r="G51" s="65">
        <v>16</v>
      </c>
      <c r="H51" s="65">
        <v>22</v>
      </c>
      <c r="I51" s="65">
        <v>33.6</v>
      </c>
      <c r="J51" s="65">
        <v>46.9</v>
      </c>
      <c r="K51" s="65">
        <v>63.7</v>
      </c>
      <c r="L51" s="65">
        <v>63.7</v>
      </c>
      <c r="M51" s="65">
        <v>63</v>
      </c>
      <c r="N51" s="65">
        <v>65</v>
      </c>
      <c r="O51" s="65">
        <v>50</v>
      </c>
      <c r="P51" s="65">
        <v>49</v>
      </c>
      <c r="Q51" s="65">
        <v>32</v>
      </c>
      <c r="R51" s="65">
        <v>34.200000000000003</v>
      </c>
      <c r="S51" s="45">
        <v>46.5</v>
      </c>
      <c r="T51" s="45">
        <v>40.5</v>
      </c>
      <c r="U51" s="45">
        <v>40.5</v>
      </c>
      <c r="V51" s="45">
        <v>51.7</v>
      </c>
      <c r="W51" s="45">
        <v>52.8</v>
      </c>
      <c r="X51" s="45">
        <v>65</v>
      </c>
      <c r="Y51" s="45">
        <v>55.5</v>
      </c>
      <c r="Z51" s="45">
        <v>55.5</v>
      </c>
      <c r="AA51" s="45">
        <v>61.1</v>
      </c>
      <c r="AB51" s="65">
        <v>61.7</v>
      </c>
      <c r="AC51" s="65">
        <v>54.6</v>
      </c>
      <c r="AD51" s="65">
        <v>54.6</v>
      </c>
      <c r="AE51" s="65">
        <v>53</v>
      </c>
      <c r="AF51" s="65">
        <v>32.6</v>
      </c>
      <c r="AG51" s="54">
        <v>69</v>
      </c>
      <c r="AH51" s="47">
        <f t="shared" si="2"/>
        <v>65</v>
      </c>
      <c r="AI51" s="48">
        <f t="shared" si="3"/>
        <v>16</v>
      </c>
      <c r="AK51" s="49"/>
    </row>
    <row r="52" spans="1:41" x14ac:dyDescent="0.25">
      <c r="A52" s="53" t="s">
        <v>60</v>
      </c>
      <c r="B52" s="65">
        <v>52.1</v>
      </c>
      <c r="C52" s="65">
        <v>50.6</v>
      </c>
      <c r="D52" s="56">
        <v>50.6</v>
      </c>
      <c r="E52" s="56">
        <v>50.6</v>
      </c>
      <c r="F52" s="56">
        <v>50.6</v>
      </c>
      <c r="G52" s="56">
        <v>50.6</v>
      </c>
      <c r="H52" s="56">
        <v>50.6</v>
      </c>
      <c r="I52" s="56">
        <v>50.6</v>
      </c>
      <c r="J52" s="56">
        <v>50.4</v>
      </c>
      <c r="K52" s="56">
        <v>50.4</v>
      </c>
      <c r="L52" s="56">
        <v>50.4</v>
      </c>
      <c r="M52" s="56">
        <v>50.4</v>
      </c>
      <c r="N52" s="65">
        <v>49</v>
      </c>
      <c r="O52" s="65">
        <v>50.4</v>
      </c>
      <c r="P52" s="65">
        <v>50.4</v>
      </c>
      <c r="Q52" s="65">
        <v>50.4</v>
      </c>
      <c r="R52" s="65">
        <v>50.4</v>
      </c>
      <c r="S52" s="45">
        <v>47.1</v>
      </c>
      <c r="T52" s="45">
        <v>47.6</v>
      </c>
      <c r="U52" s="45">
        <v>47.6</v>
      </c>
      <c r="V52" s="45">
        <v>47.6</v>
      </c>
      <c r="W52" s="45">
        <v>47.4</v>
      </c>
      <c r="X52" s="65">
        <v>47.4</v>
      </c>
      <c r="Y52" s="65">
        <v>48.1</v>
      </c>
      <c r="Z52" s="65">
        <v>48.1</v>
      </c>
      <c r="AA52" s="65">
        <v>47.8</v>
      </c>
      <c r="AB52" s="65">
        <v>47.8</v>
      </c>
      <c r="AC52" s="65">
        <v>48.3</v>
      </c>
      <c r="AD52" s="65">
        <v>48.3</v>
      </c>
      <c r="AE52" s="65">
        <v>54.2</v>
      </c>
      <c r="AF52" s="65">
        <v>54.2</v>
      </c>
      <c r="AG52" s="54">
        <v>60</v>
      </c>
      <c r="AH52" s="47">
        <f t="shared" si="2"/>
        <v>54.2</v>
      </c>
      <c r="AI52" s="48">
        <f t="shared" si="3"/>
        <v>47.1</v>
      </c>
      <c r="AK52" s="49"/>
    </row>
    <row r="53" spans="1:41" x14ac:dyDescent="0.25">
      <c r="A53" s="53" t="s">
        <v>61</v>
      </c>
      <c r="B53" s="65">
        <v>0</v>
      </c>
      <c r="C53" s="65">
        <v>0</v>
      </c>
      <c r="D53" s="56">
        <v>0</v>
      </c>
      <c r="E53" s="56">
        <v>0</v>
      </c>
      <c r="F53" s="56">
        <v>0</v>
      </c>
      <c r="G53" s="56">
        <v>0</v>
      </c>
      <c r="H53" s="56">
        <v>10</v>
      </c>
      <c r="I53" s="56">
        <v>10</v>
      </c>
      <c r="J53" s="56">
        <v>15</v>
      </c>
      <c r="K53" s="56">
        <v>15</v>
      </c>
      <c r="L53" s="56">
        <v>15</v>
      </c>
      <c r="M53" s="56">
        <v>15</v>
      </c>
      <c r="N53" s="56">
        <v>15</v>
      </c>
      <c r="O53" s="65">
        <v>15</v>
      </c>
      <c r="P53" s="65">
        <v>15</v>
      </c>
      <c r="Q53" s="65">
        <v>15</v>
      </c>
      <c r="R53" s="65">
        <v>15</v>
      </c>
      <c r="S53" s="45">
        <v>10</v>
      </c>
      <c r="T53" s="45">
        <v>9.1</v>
      </c>
      <c r="U53" s="45">
        <v>9.1</v>
      </c>
      <c r="V53" s="45">
        <v>9.1</v>
      </c>
      <c r="W53" s="45">
        <v>26</v>
      </c>
      <c r="X53" s="65">
        <v>26</v>
      </c>
      <c r="Y53" s="65">
        <v>28.4</v>
      </c>
      <c r="Z53" s="65">
        <v>28.4</v>
      </c>
      <c r="AA53" s="65">
        <v>28.4</v>
      </c>
      <c r="AB53" s="65">
        <v>29</v>
      </c>
      <c r="AC53" s="65">
        <v>9.4</v>
      </c>
      <c r="AD53" s="65">
        <v>9.4</v>
      </c>
      <c r="AE53" s="65">
        <v>0</v>
      </c>
      <c r="AF53" s="65">
        <v>0</v>
      </c>
      <c r="AG53" s="54">
        <v>30</v>
      </c>
      <c r="AH53" s="47">
        <f t="shared" si="2"/>
        <v>29</v>
      </c>
      <c r="AI53" s="48">
        <f t="shared" si="3"/>
        <v>0</v>
      </c>
      <c r="AK53" s="49"/>
    </row>
    <row r="54" spans="1:41" x14ac:dyDescent="0.25">
      <c r="A54" s="53" t="s">
        <v>62</v>
      </c>
      <c r="B54" s="65">
        <v>0</v>
      </c>
      <c r="C54" s="6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0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17</v>
      </c>
      <c r="C55" s="65">
        <v>17</v>
      </c>
      <c r="D55" s="65">
        <v>17</v>
      </c>
      <c r="E55" s="65">
        <v>17</v>
      </c>
      <c r="F55" s="65">
        <v>17</v>
      </c>
      <c r="G55" s="65">
        <v>17</v>
      </c>
      <c r="H55" s="65">
        <v>17</v>
      </c>
      <c r="I55" s="65">
        <v>17</v>
      </c>
      <c r="J55" s="65">
        <v>17</v>
      </c>
      <c r="K55" s="65">
        <v>17</v>
      </c>
      <c r="L55" s="65">
        <v>17</v>
      </c>
      <c r="M55" s="65">
        <v>17</v>
      </c>
      <c r="N55" s="65">
        <v>17</v>
      </c>
      <c r="O55" s="65">
        <v>17</v>
      </c>
      <c r="P55" s="65">
        <v>17</v>
      </c>
      <c r="Q55" s="65">
        <v>17</v>
      </c>
      <c r="R55" s="65">
        <v>17</v>
      </c>
      <c r="S55" s="45">
        <v>17</v>
      </c>
      <c r="T55" s="45">
        <v>17</v>
      </c>
      <c r="U55" s="45">
        <v>17</v>
      </c>
      <c r="V55" s="45">
        <v>17</v>
      </c>
      <c r="W55" s="45">
        <v>17</v>
      </c>
      <c r="X55" s="65">
        <v>17</v>
      </c>
      <c r="Y55" s="65">
        <v>17</v>
      </c>
      <c r="Z55" s="65">
        <v>17</v>
      </c>
      <c r="AA55" s="65">
        <v>17</v>
      </c>
      <c r="AB55" s="65">
        <v>17</v>
      </c>
      <c r="AC55" s="65">
        <v>17</v>
      </c>
      <c r="AD55" s="65">
        <v>17</v>
      </c>
      <c r="AE55" s="65">
        <v>17</v>
      </c>
      <c r="AF55" s="65">
        <v>17</v>
      </c>
      <c r="AG55" s="54">
        <v>24</v>
      </c>
      <c r="AH55" s="47">
        <f t="shared" si="2"/>
        <v>17</v>
      </c>
      <c r="AI55" s="48">
        <f t="shared" si="3"/>
        <v>17</v>
      </c>
      <c r="AK55" s="49"/>
    </row>
    <row r="56" spans="1:41" x14ac:dyDescent="0.25">
      <c r="A56" s="53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4">
        <v>15</v>
      </c>
      <c r="AH56" s="47">
        <f t="shared" si="2"/>
        <v>3.2</v>
      </c>
      <c r="AI56" s="48">
        <f t="shared" si="3"/>
        <v>3.2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12.6</v>
      </c>
      <c r="C57" s="65">
        <v>12.6</v>
      </c>
      <c r="D57" s="65">
        <v>12.6</v>
      </c>
      <c r="E57" s="65">
        <v>12.6</v>
      </c>
      <c r="F57" s="65">
        <v>12.6</v>
      </c>
      <c r="G57" s="65">
        <v>12.6</v>
      </c>
      <c r="H57" s="65">
        <v>12.6</v>
      </c>
      <c r="I57" s="65">
        <v>12.6</v>
      </c>
      <c r="J57" s="65">
        <v>12.6</v>
      </c>
      <c r="K57" s="65">
        <v>12.6</v>
      </c>
      <c r="L57" s="65">
        <v>12.6</v>
      </c>
      <c r="M57" s="65">
        <v>12.6</v>
      </c>
      <c r="N57" s="65">
        <v>12.6</v>
      </c>
      <c r="O57" s="65">
        <v>12.6</v>
      </c>
      <c r="P57" s="65">
        <v>12.6</v>
      </c>
      <c r="Q57" s="65">
        <v>12.6</v>
      </c>
      <c r="R57" s="65">
        <v>12.6</v>
      </c>
      <c r="S57" s="65">
        <v>12.6</v>
      </c>
      <c r="T57" s="65">
        <v>12.6</v>
      </c>
      <c r="U57" s="65">
        <v>12.6</v>
      </c>
      <c r="V57" s="65">
        <v>12.6</v>
      </c>
      <c r="W57" s="65">
        <v>12.6</v>
      </c>
      <c r="X57" s="65">
        <v>12.6</v>
      </c>
      <c r="Y57" s="65">
        <v>12.6</v>
      </c>
      <c r="Z57" s="65">
        <v>12.6</v>
      </c>
      <c r="AA57" s="65">
        <v>12.6</v>
      </c>
      <c r="AB57" s="65">
        <v>12.6</v>
      </c>
      <c r="AC57" s="65">
        <v>12.6</v>
      </c>
      <c r="AD57" s="65">
        <v>12.6</v>
      </c>
      <c r="AE57" s="65">
        <v>12.6</v>
      </c>
      <c r="AF57" s="65">
        <v>12.6</v>
      </c>
      <c r="AG57" s="54">
        <v>14.1</v>
      </c>
      <c r="AH57" s="47">
        <f t="shared" si="2"/>
        <v>12.6</v>
      </c>
      <c r="AI57" s="48">
        <f t="shared" si="3"/>
        <v>12.6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4.9000000000000004</v>
      </c>
      <c r="C58" s="65">
        <v>4.9000000000000004</v>
      </c>
      <c r="D58" s="65">
        <v>4.9000000000000004</v>
      </c>
      <c r="E58" s="65">
        <v>4.9000000000000004</v>
      </c>
      <c r="F58" s="65">
        <v>4.9000000000000004</v>
      </c>
      <c r="G58" s="65">
        <v>4.9000000000000004</v>
      </c>
      <c r="H58" s="65">
        <v>5</v>
      </c>
      <c r="I58" s="65">
        <v>5</v>
      </c>
      <c r="J58" s="65">
        <v>5</v>
      </c>
      <c r="K58" s="65">
        <v>4.8</v>
      </c>
      <c r="L58" s="65">
        <v>4.8</v>
      </c>
      <c r="M58" s="65">
        <v>4.8</v>
      </c>
      <c r="N58" s="65">
        <v>4.8</v>
      </c>
      <c r="O58" s="65">
        <v>4.8</v>
      </c>
      <c r="P58" s="65">
        <v>4.8</v>
      </c>
      <c r="Q58" s="65">
        <v>4.8</v>
      </c>
      <c r="R58" s="65">
        <v>4.8</v>
      </c>
      <c r="S58" s="65">
        <v>4.8</v>
      </c>
      <c r="T58" s="65">
        <v>4.8</v>
      </c>
      <c r="U58" s="65">
        <v>4.8</v>
      </c>
      <c r="V58" s="65">
        <v>4.8</v>
      </c>
      <c r="W58" s="65">
        <v>4.8</v>
      </c>
      <c r="X58" s="65">
        <v>4.8</v>
      </c>
      <c r="Y58" s="65">
        <v>4.8</v>
      </c>
      <c r="Z58" s="65">
        <v>4.8</v>
      </c>
      <c r="AA58" s="65">
        <v>4.8</v>
      </c>
      <c r="AB58" s="65">
        <v>4.8</v>
      </c>
      <c r="AC58" s="65">
        <v>4.8</v>
      </c>
      <c r="AD58" s="65">
        <v>4.8</v>
      </c>
      <c r="AE58" s="65">
        <v>4.8</v>
      </c>
      <c r="AF58" s="65">
        <v>4.8</v>
      </c>
      <c r="AG58" s="54">
        <v>14</v>
      </c>
      <c r="AH58" s="47">
        <f t="shared" si="2"/>
        <v>5</v>
      </c>
      <c r="AI58" s="48">
        <f t="shared" si="3"/>
        <v>4.8</v>
      </c>
      <c r="AK58" s="49"/>
    </row>
    <row r="59" spans="1:41" x14ac:dyDescent="0.25">
      <c r="A59" s="53" t="s">
        <v>67</v>
      </c>
      <c r="B59" s="65">
        <v>5.2</v>
      </c>
      <c r="C59" s="65">
        <v>5.2</v>
      </c>
      <c r="D59" s="65">
        <v>5.2</v>
      </c>
      <c r="E59" s="65">
        <v>5.2</v>
      </c>
      <c r="F59" s="65">
        <v>5.2</v>
      </c>
      <c r="G59" s="65">
        <v>5.2</v>
      </c>
      <c r="H59" s="65">
        <v>5.2</v>
      </c>
      <c r="I59" s="65">
        <v>5.2</v>
      </c>
      <c r="J59" s="65">
        <v>5.2</v>
      </c>
      <c r="K59" s="65">
        <v>5.2</v>
      </c>
      <c r="L59" s="65">
        <v>5.2</v>
      </c>
      <c r="M59" s="65">
        <v>5.2</v>
      </c>
      <c r="N59" s="65">
        <v>5.2</v>
      </c>
      <c r="O59" s="65">
        <v>5.2</v>
      </c>
      <c r="P59" s="65">
        <v>5.2</v>
      </c>
      <c r="Q59" s="65">
        <v>5.2</v>
      </c>
      <c r="R59" s="65">
        <v>5.2</v>
      </c>
      <c r="S59" s="65">
        <v>5.2</v>
      </c>
      <c r="T59" s="65">
        <v>5.2</v>
      </c>
      <c r="U59" s="65">
        <v>5.2</v>
      </c>
      <c r="V59" s="65">
        <v>5.2</v>
      </c>
      <c r="W59" s="65">
        <v>5.2</v>
      </c>
      <c r="X59" s="65">
        <v>5.2</v>
      </c>
      <c r="Y59" s="65">
        <v>5.2</v>
      </c>
      <c r="Z59" s="65">
        <v>5.2</v>
      </c>
      <c r="AA59" s="65">
        <v>5.2</v>
      </c>
      <c r="AB59" s="65">
        <v>5.2</v>
      </c>
      <c r="AC59" s="65">
        <v>5.2</v>
      </c>
      <c r="AD59" s="65">
        <v>5.2</v>
      </c>
      <c r="AE59" s="65">
        <v>5.2</v>
      </c>
      <c r="AF59" s="65">
        <v>5.2</v>
      </c>
      <c r="AG59" s="54">
        <v>10.050000000000001</v>
      </c>
      <c r="AH59" s="47">
        <f t="shared" si="2"/>
        <v>5.2</v>
      </c>
      <c r="AI59" s="48">
        <f t="shared" si="3"/>
        <v>5.2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>SUM(B49:B61)</f>
        <v>118.24000000000001</v>
      </c>
      <c r="C62" s="60">
        <f t="shared" ref="C62:AG62" si="6">SUM(C49:C61)</f>
        <v>116.24000000000001</v>
      </c>
      <c r="D62" s="60">
        <f t="shared" si="6"/>
        <v>116.54000000000002</v>
      </c>
      <c r="E62" s="60">
        <f t="shared" si="6"/>
        <v>116.54000000000002</v>
      </c>
      <c r="F62" s="60">
        <f t="shared" si="6"/>
        <v>120.74000000000001</v>
      </c>
      <c r="G62" s="60">
        <f t="shared" si="6"/>
        <v>150.73999999999998</v>
      </c>
      <c r="H62" s="60">
        <f t="shared" si="6"/>
        <v>182.03999999999996</v>
      </c>
      <c r="I62" s="60">
        <f t="shared" si="6"/>
        <v>209.93999999999994</v>
      </c>
      <c r="J62" s="60">
        <f t="shared" si="6"/>
        <v>280.24</v>
      </c>
      <c r="K62" s="60">
        <f t="shared" si="6"/>
        <v>352.84</v>
      </c>
      <c r="L62" s="60">
        <f t="shared" si="6"/>
        <v>389.64</v>
      </c>
      <c r="M62" s="60">
        <f t="shared" si="6"/>
        <v>360.94</v>
      </c>
      <c r="N62" s="60">
        <f t="shared" si="6"/>
        <v>359.54</v>
      </c>
      <c r="O62" s="60">
        <f t="shared" si="6"/>
        <v>318.64000000000004</v>
      </c>
      <c r="P62" s="60">
        <f t="shared" si="6"/>
        <v>375.94</v>
      </c>
      <c r="Q62" s="60">
        <f t="shared" si="6"/>
        <v>296.94</v>
      </c>
      <c r="R62" s="60">
        <f t="shared" si="6"/>
        <v>245.54</v>
      </c>
      <c r="S62" s="60">
        <f t="shared" si="6"/>
        <v>259.83999999999997</v>
      </c>
      <c r="T62" s="60">
        <f t="shared" si="6"/>
        <v>251.83999999999995</v>
      </c>
      <c r="U62" s="60">
        <f t="shared" si="6"/>
        <v>251.33999999999995</v>
      </c>
      <c r="V62" s="60">
        <f t="shared" si="6"/>
        <v>307.14</v>
      </c>
      <c r="W62" s="60">
        <f t="shared" si="6"/>
        <v>319.14000000000004</v>
      </c>
      <c r="X62" s="60">
        <v>397.94</v>
      </c>
      <c r="Y62" s="60">
        <v>368.14</v>
      </c>
      <c r="Z62" s="60">
        <f t="shared" si="6"/>
        <v>345.54</v>
      </c>
      <c r="AA62" s="60">
        <f t="shared" si="6"/>
        <v>349.34</v>
      </c>
      <c r="AB62" s="60">
        <f t="shared" si="6"/>
        <v>370.64000000000004</v>
      </c>
      <c r="AC62" s="60">
        <f t="shared" si="6"/>
        <v>334.94</v>
      </c>
      <c r="AD62" s="60">
        <f t="shared" si="6"/>
        <v>311.03999999999996</v>
      </c>
      <c r="AE62" s="60">
        <f t="shared" si="6"/>
        <v>241.03999999999996</v>
      </c>
      <c r="AF62" s="60">
        <f t="shared" si="6"/>
        <v>136.33999999999997</v>
      </c>
      <c r="AG62" s="61">
        <f t="shared" si="6"/>
        <v>489.91</v>
      </c>
      <c r="AH62" s="47">
        <f t="shared" si="2"/>
        <v>397.94</v>
      </c>
      <c r="AI62" s="48">
        <f t="shared" si="3"/>
        <v>116.24000000000001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30</v>
      </c>
      <c r="M63" s="45">
        <v>20</v>
      </c>
      <c r="N63" s="45">
        <v>30</v>
      </c>
      <c r="O63" s="45">
        <v>0</v>
      </c>
      <c r="P63" s="45">
        <v>0</v>
      </c>
      <c r="Q63" s="45">
        <v>30</v>
      </c>
      <c r="R63" s="45">
        <v>30</v>
      </c>
      <c r="S63" s="45">
        <v>30</v>
      </c>
      <c r="T63" s="45">
        <v>30</v>
      </c>
      <c r="U63" s="45">
        <v>30</v>
      </c>
      <c r="V63" s="45">
        <v>30</v>
      </c>
      <c r="W63" s="45">
        <v>30</v>
      </c>
      <c r="X63" s="45">
        <v>60</v>
      </c>
      <c r="Y63" s="45">
        <v>60</v>
      </c>
      <c r="Z63" s="45">
        <v>55</v>
      </c>
      <c r="AA63" s="45">
        <v>55</v>
      </c>
      <c r="AB63" s="45">
        <v>55</v>
      </c>
      <c r="AC63" s="45">
        <v>60</v>
      </c>
      <c r="AD63" s="45">
        <v>40</v>
      </c>
      <c r="AE63" s="45">
        <v>0</v>
      </c>
      <c r="AF63" s="45">
        <v>0</v>
      </c>
      <c r="AG63" s="51">
        <v>60</v>
      </c>
      <c r="AH63" s="47">
        <f t="shared" si="2"/>
        <v>60</v>
      </c>
      <c r="AI63" s="48">
        <f t="shared" si="3"/>
        <v>0</v>
      </c>
      <c r="AK63" s="49"/>
    </row>
    <row r="64" spans="1:41" x14ac:dyDescent="0.25">
      <c r="A64" s="53" t="s">
        <v>72</v>
      </c>
      <c r="B64" s="45">
        <v>0</v>
      </c>
      <c r="C64" s="45">
        <v>0</v>
      </c>
      <c r="D64" s="4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4.8</v>
      </c>
      <c r="M64" s="65">
        <v>14.4</v>
      </c>
      <c r="N64" s="65">
        <v>14</v>
      </c>
      <c r="O64" s="65">
        <v>0</v>
      </c>
      <c r="P64" s="65">
        <v>0</v>
      </c>
      <c r="Q64" s="45">
        <v>0</v>
      </c>
      <c r="R64" s="45">
        <v>14.1</v>
      </c>
      <c r="S64" s="65">
        <v>15.2</v>
      </c>
      <c r="T64" s="65">
        <v>14.5</v>
      </c>
      <c r="U64" s="65">
        <v>14.4</v>
      </c>
      <c r="V64" s="65">
        <v>13.9</v>
      </c>
      <c r="W64" s="65">
        <v>13</v>
      </c>
      <c r="X64" s="65">
        <v>25.4</v>
      </c>
      <c r="Y64" s="65">
        <v>27.9</v>
      </c>
      <c r="Z64" s="65">
        <v>28.2</v>
      </c>
      <c r="AA64" s="65">
        <v>24</v>
      </c>
      <c r="AB64" s="65">
        <v>24</v>
      </c>
      <c r="AC64" s="65">
        <v>27.3</v>
      </c>
      <c r="AD64" s="65">
        <v>22.6</v>
      </c>
      <c r="AE64" s="65">
        <v>0</v>
      </c>
      <c r="AF64" s="65">
        <v>0</v>
      </c>
      <c r="AG64" s="54">
        <v>32</v>
      </c>
      <c r="AH64" s="47">
        <f t="shared" si="2"/>
        <v>28.2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45">
        <v>0</v>
      </c>
      <c r="C65" s="45">
        <v>0</v>
      </c>
      <c r="D65" s="45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1.8</v>
      </c>
      <c r="M65" s="67">
        <v>5.2</v>
      </c>
      <c r="N65" s="67">
        <v>5.2</v>
      </c>
      <c r="O65" s="67">
        <v>0</v>
      </c>
      <c r="P65" s="67">
        <v>0</v>
      </c>
      <c r="Q65" s="45">
        <v>0</v>
      </c>
      <c r="R65" s="45">
        <v>5.2</v>
      </c>
      <c r="S65" s="67">
        <v>5.5</v>
      </c>
      <c r="T65" s="67">
        <v>5.3</v>
      </c>
      <c r="U65" s="67">
        <v>5.3</v>
      </c>
      <c r="V65" s="67">
        <v>5.0999999999999996</v>
      </c>
      <c r="W65" s="67">
        <v>4.7</v>
      </c>
      <c r="X65" s="67">
        <v>9.3000000000000007</v>
      </c>
      <c r="Y65" s="67">
        <v>10.199999999999999</v>
      </c>
      <c r="Z65" s="67">
        <v>10.199999999999999</v>
      </c>
      <c r="AA65" s="67">
        <v>8.8000000000000007</v>
      </c>
      <c r="AB65" s="67">
        <v>8.8000000000000007</v>
      </c>
      <c r="AC65" s="67">
        <v>10</v>
      </c>
      <c r="AD65" s="67">
        <v>8.3000000000000007</v>
      </c>
      <c r="AE65" s="67">
        <v>0</v>
      </c>
      <c r="AF65" s="67">
        <v>0</v>
      </c>
      <c r="AG65" s="68">
        <v>14</v>
      </c>
      <c r="AH65" s="47">
        <f t="shared" si="2"/>
        <v>10.199999999999999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f>B63+B64+B65</f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36.599999999999994</v>
      </c>
      <c r="M66" s="60">
        <f t="shared" ref="M66:AF66" si="7">M63+M64+M65</f>
        <v>39.6</v>
      </c>
      <c r="N66" s="60">
        <f t="shared" si="7"/>
        <v>49.2</v>
      </c>
      <c r="O66" s="60">
        <f t="shared" si="7"/>
        <v>0</v>
      </c>
      <c r="P66" s="60">
        <f t="shared" si="7"/>
        <v>0</v>
      </c>
      <c r="Q66" s="60">
        <f t="shared" si="7"/>
        <v>30</v>
      </c>
      <c r="R66" s="60">
        <f t="shared" si="7"/>
        <v>49.300000000000004</v>
      </c>
      <c r="S66" s="60">
        <f t="shared" si="7"/>
        <v>50.7</v>
      </c>
      <c r="T66" s="60">
        <f t="shared" si="7"/>
        <v>49.8</v>
      </c>
      <c r="U66" s="60">
        <f t="shared" si="7"/>
        <v>49.699999999999996</v>
      </c>
      <c r="V66" s="60">
        <f t="shared" si="7"/>
        <v>49</v>
      </c>
      <c r="W66" s="60">
        <f t="shared" si="7"/>
        <v>47.7</v>
      </c>
      <c r="X66" s="60">
        <v>94.7</v>
      </c>
      <c r="Y66" s="60">
        <v>94.7</v>
      </c>
      <c r="Z66" s="60">
        <f t="shared" si="7"/>
        <v>93.4</v>
      </c>
      <c r="AA66" s="60">
        <f t="shared" si="7"/>
        <v>87.8</v>
      </c>
      <c r="AB66" s="60">
        <f t="shared" si="7"/>
        <v>87.8</v>
      </c>
      <c r="AC66" s="60">
        <f t="shared" si="7"/>
        <v>97.3</v>
      </c>
      <c r="AD66" s="60">
        <f t="shared" si="7"/>
        <v>70.900000000000006</v>
      </c>
      <c r="AE66" s="60">
        <f t="shared" si="7"/>
        <v>0</v>
      </c>
      <c r="AF66" s="60">
        <f t="shared" si="7"/>
        <v>0</v>
      </c>
      <c r="AG66" s="61">
        <f>SUM(AG63:AG65)</f>
        <v>106</v>
      </c>
      <c r="AH66" s="47">
        <f t="shared" si="2"/>
        <v>97.3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66.7</v>
      </c>
      <c r="C67" s="45">
        <v>63.8</v>
      </c>
      <c r="D67" s="45">
        <v>70.400000000000006</v>
      </c>
      <c r="E67" s="45">
        <v>69.400000000000006</v>
      </c>
      <c r="F67" s="45">
        <v>67.599999999999994</v>
      </c>
      <c r="G67" s="45">
        <v>74.3</v>
      </c>
      <c r="H67" s="45">
        <v>59.4</v>
      </c>
      <c r="I67" s="45">
        <v>63.4</v>
      </c>
      <c r="J67" s="45">
        <v>78</v>
      </c>
      <c r="K67" s="45">
        <v>62.8</v>
      </c>
      <c r="L67" s="45">
        <v>71.599999999999994</v>
      </c>
      <c r="M67" s="45">
        <v>68</v>
      </c>
      <c r="N67" s="45">
        <v>62.2</v>
      </c>
      <c r="O67" s="45">
        <v>54</v>
      </c>
      <c r="P67" s="45">
        <v>63.2</v>
      </c>
      <c r="Q67" s="45">
        <v>60.2</v>
      </c>
      <c r="R67" s="45">
        <v>69</v>
      </c>
      <c r="S67" s="45">
        <v>70.599999999999994</v>
      </c>
      <c r="T67" s="45">
        <v>74</v>
      </c>
      <c r="U67" s="45"/>
      <c r="V67" s="45"/>
      <c r="W67" s="45"/>
      <c r="X67" s="45">
        <v>72</v>
      </c>
      <c r="Y67" s="45">
        <v>67.599999999999994</v>
      </c>
      <c r="Z67" s="45">
        <v>64</v>
      </c>
      <c r="AA67" s="45">
        <v>64</v>
      </c>
      <c r="AB67" s="45">
        <v>70</v>
      </c>
      <c r="AC67" s="45">
        <v>70</v>
      </c>
      <c r="AD67" s="45">
        <v>63</v>
      </c>
      <c r="AE67" s="45">
        <v>63</v>
      </c>
      <c r="AF67" s="45">
        <v>72</v>
      </c>
      <c r="AG67" s="51"/>
      <c r="AH67" s="47">
        <f t="shared" si="2"/>
        <v>78</v>
      </c>
      <c r="AI67" s="48">
        <f t="shared" si="3"/>
        <v>54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259.5</v>
      </c>
      <c r="C69" s="65">
        <v>150.19999999999999</v>
      </c>
      <c r="D69" s="65">
        <v>149.80000000000001</v>
      </c>
      <c r="E69" s="65">
        <v>144</v>
      </c>
      <c r="F69" s="65">
        <v>144.6</v>
      </c>
      <c r="G69" s="65">
        <v>149</v>
      </c>
      <c r="H69" s="65">
        <v>240</v>
      </c>
      <c r="I69" s="65">
        <v>239.6</v>
      </c>
      <c r="J69" s="65">
        <v>290</v>
      </c>
      <c r="K69" s="65">
        <v>312</v>
      </c>
      <c r="L69" s="65">
        <v>270</v>
      </c>
      <c r="M69" s="65">
        <v>187</v>
      </c>
      <c r="N69" s="65">
        <v>94</v>
      </c>
      <c r="O69" s="65">
        <v>120</v>
      </c>
      <c r="P69" s="65">
        <v>343</v>
      </c>
      <c r="Q69" s="65">
        <v>356</v>
      </c>
      <c r="R69" s="65">
        <v>340</v>
      </c>
      <c r="S69" s="65">
        <v>342</v>
      </c>
      <c r="T69" s="65">
        <v>339</v>
      </c>
      <c r="U69" s="65">
        <v>350</v>
      </c>
      <c r="V69" s="65">
        <v>300</v>
      </c>
      <c r="W69" s="65">
        <v>343</v>
      </c>
      <c r="X69" s="65">
        <v>348</v>
      </c>
      <c r="Y69" s="65">
        <v>260</v>
      </c>
      <c r="Z69" s="65">
        <v>311</v>
      </c>
      <c r="AA69" s="65">
        <v>268</v>
      </c>
      <c r="AB69" s="65">
        <v>286</v>
      </c>
      <c r="AC69" s="65">
        <v>286</v>
      </c>
      <c r="AD69" s="65">
        <v>287</v>
      </c>
      <c r="AE69" s="65">
        <v>255</v>
      </c>
      <c r="AF69" s="65">
        <v>265</v>
      </c>
      <c r="AG69" s="75"/>
      <c r="AH69" s="47">
        <f t="shared" si="2"/>
        <v>356</v>
      </c>
      <c r="AI69" s="48">
        <f t="shared" si="3"/>
        <v>94</v>
      </c>
      <c r="AK69" s="49"/>
    </row>
    <row r="70" spans="1:40" x14ac:dyDescent="0.25">
      <c r="A70" s="53" t="s">
        <v>78</v>
      </c>
      <c r="B70" s="65">
        <v>58.2</v>
      </c>
      <c r="C70" s="65">
        <v>42.6</v>
      </c>
      <c r="D70" s="65">
        <v>44.1</v>
      </c>
      <c r="E70" s="76">
        <v>45</v>
      </c>
      <c r="F70" s="76">
        <v>37.5</v>
      </c>
      <c r="G70" s="76">
        <v>43.5</v>
      </c>
      <c r="H70" s="76">
        <v>43.6</v>
      </c>
      <c r="I70" s="76">
        <v>46.2</v>
      </c>
      <c r="J70" s="76">
        <v>49</v>
      </c>
      <c r="K70" s="76">
        <v>50.4</v>
      </c>
      <c r="L70" s="76">
        <v>52</v>
      </c>
      <c r="M70" s="76">
        <v>52</v>
      </c>
      <c r="N70" s="76">
        <v>50.2</v>
      </c>
      <c r="O70" s="76">
        <v>50.2</v>
      </c>
      <c r="P70" s="76">
        <v>50.2</v>
      </c>
      <c r="Q70" s="76">
        <v>61.6</v>
      </c>
      <c r="R70" s="76">
        <v>63.5</v>
      </c>
      <c r="S70" s="76">
        <v>62.1</v>
      </c>
      <c r="T70" s="76">
        <v>69</v>
      </c>
      <c r="U70" s="76">
        <v>69</v>
      </c>
      <c r="V70" s="76">
        <v>60.5</v>
      </c>
      <c r="W70" s="76">
        <v>58.4</v>
      </c>
      <c r="X70" s="65">
        <v>58.4</v>
      </c>
      <c r="Y70" s="65">
        <v>57.4</v>
      </c>
      <c r="Z70" s="65">
        <v>59.7</v>
      </c>
      <c r="AA70" s="65">
        <v>59.7</v>
      </c>
      <c r="AB70" s="65">
        <v>59.7</v>
      </c>
      <c r="AC70" s="65">
        <v>59.7</v>
      </c>
      <c r="AD70" s="65">
        <v>59.7</v>
      </c>
      <c r="AE70" s="65">
        <v>46.3</v>
      </c>
      <c r="AF70" s="65">
        <v>46.3</v>
      </c>
      <c r="AG70" s="75"/>
      <c r="AH70" s="47">
        <f t="shared" si="2"/>
        <v>69</v>
      </c>
      <c r="AI70" s="48">
        <f t="shared" si="3"/>
        <v>37.5</v>
      </c>
      <c r="AK70" s="49"/>
    </row>
    <row r="71" spans="1:40" x14ac:dyDescent="0.25">
      <c r="A71" s="53" t="s">
        <v>79</v>
      </c>
      <c r="B71" s="45">
        <v>27.2</v>
      </c>
      <c r="C71" s="45">
        <v>27.2</v>
      </c>
      <c r="D71" s="45">
        <v>25</v>
      </c>
      <c r="E71" s="45">
        <v>25</v>
      </c>
      <c r="F71" s="45">
        <v>21</v>
      </c>
      <c r="G71" s="45">
        <v>21</v>
      </c>
      <c r="H71" s="45">
        <v>21</v>
      </c>
      <c r="I71" s="45">
        <v>24</v>
      </c>
      <c r="J71" s="45">
        <v>24</v>
      </c>
      <c r="K71" s="45">
        <v>24</v>
      </c>
      <c r="L71" s="45">
        <v>24</v>
      </c>
      <c r="M71" s="45">
        <v>24</v>
      </c>
      <c r="N71" s="45">
        <v>30</v>
      </c>
      <c r="O71" s="45">
        <v>30</v>
      </c>
      <c r="P71" s="45">
        <v>30</v>
      </c>
      <c r="Q71" s="45">
        <v>30</v>
      </c>
      <c r="R71" s="45">
        <v>30</v>
      </c>
      <c r="S71" s="45">
        <v>31</v>
      </c>
      <c r="T71" s="45">
        <v>31</v>
      </c>
      <c r="U71" s="45">
        <v>31</v>
      </c>
      <c r="V71" s="45">
        <v>31</v>
      </c>
      <c r="W71" s="45">
        <v>31</v>
      </c>
      <c r="X71" s="45">
        <v>31</v>
      </c>
      <c r="Y71" s="45">
        <v>31</v>
      </c>
      <c r="Z71" s="45">
        <v>31</v>
      </c>
      <c r="AA71" s="45">
        <v>31</v>
      </c>
      <c r="AB71" s="45">
        <v>31</v>
      </c>
      <c r="AC71" s="45">
        <v>31</v>
      </c>
      <c r="AD71" s="45">
        <v>31</v>
      </c>
      <c r="AE71" s="45">
        <v>21</v>
      </c>
      <c r="AF71" s="45">
        <v>21</v>
      </c>
      <c r="AG71" s="75"/>
      <c r="AH71" s="47">
        <f t="shared" si="2"/>
        <v>31</v>
      </c>
      <c r="AI71" s="48">
        <f t="shared" si="3"/>
        <v>21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5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8">MAX(B75:AF75)</f>
        <v>0</v>
      </c>
      <c r="AI75" s="48">
        <f t="shared" ref="AI75:AI113" si="9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8"/>
        <v>0</v>
      </c>
      <c r="AI76" s="48">
        <f t="shared" si="9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8"/>
        <v>0</v>
      </c>
      <c r="AI77" s="48">
        <f t="shared" si="9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>SUMIF(B67:B77,"&gt;0")</f>
        <v>416.59999999999997</v>
      </c>
      <c r="C78" s="60">
        <f t="shared" ref="C78:AF78" si="10">SUMIF(C67:C77,"&gt;0")</f>
        <v>288.8</v>
      </c>
      <c r="D78" s="60">
        <f>SUMIF(D67:D77,"&gt;0")</f>
        <v>294.3</v>
      </c>
      <c r="E78" s="60">
        <f t="shared" si="10"/>
        <v>288.39999999999998</v>
      </c>
      <c r="F78" s="60">
        <f t="shared" si="10"/>
        <v>275.7</v>
      </c>
      <c r="G78" s="60">
        <f t="shared" si="10"/>
        <v>292.8</v>
      </c>
      <c r="H78" s="60">
        <f t="shared" si="10"/>
        <v>369</v>
      </c>
      <c r="I78" s="60">
        <f t="shared" si="10"/>
        <v>378.2</v>
      </c>
      <c r="J78" s="60">
        <f t="shared" si="10"/>
        <v>446</v>
      </c>
      <c r="K78" s="60">
        <f t="shared" si="10"/>
        <v>454.2</v>
      </c>
      <c r="L78" s="60">
        <f t="shared" si="10"/>
        <v>422.6</v>
      </c>
      <c r="M78" s="60">
        <f t="shared" si="10"/>
        <v>336</v>
      </c>
      <c r="N78" s="60">
        <f t="shared" si="10"/>
        <v>241.39999999999998</v>
      </c>
      <c r="O78" s="60">
        <f t="shared" si="10"/>
        <v>259.2</v>
      </c>
      <c r="P78" s="60">
        <f t="shared" si="10"/>
        <v>491.4</v>
      </c>
      <c r="Q78" s="60">
        <f t="shared" si="10"/>
        <v>512.79999999999995</v>
      </c>
      <c r="R78" s="60">
        <f t="shared" si="10"/>
        <v>507.5</v>
      </c>
      <c r="S78" s="60">
        <f t="shared" si="10"/>
        <v>510.70000000000005</v>
      </c>
      <c r="T78" s="60">
        <f t="shared" si="10"/>
        <v>518</v>
      </c>
      <c r="U78" s="60">
        <f t="shared" si="10"/>
        <v>455</v>
      </c>
      <c r="V78" s="60">
        <f t="shared" si="10"/>
        <v>396.5</v>
      </c>
      <c r="W78" s="60">
        <f t="shared" si="10"/>
        <v>437.4</v>
      </c>
      <c r="X78" s="60">
        <f t="shared" si="10"/>
        <v>514.4</v>
      </c>
      <c r="Y78" s="60">
        <f t="shared" si="10"/>
        <v>421</v>
      </c>
      <c r="Z78" s="60">
        <f t="shared" si="10"/>
        <v>470.7</v>
      </c>
      <c r="AA78" s="60">
        <f t="shared" si="10"/>
        <v>427.7</v>
      </c>
      <c r="AB78" s="60">
        <f t="shared" si="10"/>
        <v>451.7</v>
      </c>
      <c r="AC78" s="60">
        <f t="shared" si="10"/>
        <v>451.7</v>
      </c>
      <c r="AD78" s="60">
        <f t="shared" si="10"/>
        <v>445.7</v>
      </c>
      <c r="AE78" s="60">
        <f t="shared" si="10"/>
        <v>390.3</v>
      </c>
      <c r="AF78" s="60">
        <f t="shared" si="10"/>
        <v>409.3</v>
      </c>
      <c r="AG78" s="88">
        <f>SUM(AG67:AG77)</f>
        <v>0</v>
      </c>
      <c r="AH78" s="47">
        <f t="shared" si="8"/>
        <v>518</v>
      </c>
      <c r="AI78" s="48">
        <f t="shared" si="9"/>
        <v>241.39999999999998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8"/>
        <v>0</v>
      </c>
      <c r="AI79" s="48">
        <f t="shared" si="9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8"/>
        <v>0</v>
      </c>
      <c r="AI80" s="48">
        <f t="shared" si="9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8"/>
        <v>0</v>
      </c>
      <c r="AI81" s="48">
        <f t="shared" si="9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>
        <v>0</v>
      </c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8"/>
        <v>0</v>
      </c>
      <c r="AI82" s="48">
        <f t="shared" si="9"/>
        <v>0</v>
      </c>
    </row>
    <row r="83" spans="1:37" ht="15.75" thickBot="1" x14ac:dyDescent="0.3">
      <c r="A83" s="74" t="s">
        <v>94</v>
      </c>
      <c r="B83" s="95">
        <f>B44+B48+B66+B62+B78+B82</f>
        <v>1089.3399999999999</v>
      </c>
      <c r="C83" s="95">
        <f t="shared" ref="C83:AG83" si="11">C44+C48+C66+C62+C78+C82</f>
        <v>1038.54</v>
      </c>
      <c r="D83" s="95">
        <f t="shared" si="11"/>
        <v>1073.6399999999999</v>
      </c>
      <c r="E83" s="95">
        <f t="shared" si="11"/>
        <v>1027.7399999999998</v>
      </c>
      <c r="F83" s="95">
        <f t="shared" si="11"/>
        <v>1049.24</v>
      </c>
      <c r="G83" s="95">
        <f t="shared" si="11"/>
        <v>1101.44</v>
      </c>
      <c r="H83" s="95">
        <f t="shared" si="11"/>
        <v>1148.94</v>
      </c>
      <c r="I83" s="95">
        <f t="shared" si="11"/>
        <v>1206.04</v>
      </c>
      <c r="J83" s="95">
        <f t="shared" si="11"/>
        <v>1324.1399999999999</v>
      </c>
      <c r="K83" s="95">
        <f t="shared" si="11"/>
        <v>1344.94</v>
      </c>
      <c r="L83" s="95">
        <f t="shared" si="11"/>
        <v>1436.74</v>
      </c>
      <c r="M83" s="95">
        <f t="shared" si="11"/>
        <v>1384.44</v>
      </c>
      <c r="N83" s="95">
        <f t="shared" si="11"/>
        <v>1343.04</v>
      </c>
      <c r="O83" s="95">
        <f t="shared" si="11"/>
        <v>1205.74</v>
      </c>
      <c r="P83" s="95">
        <f t="shared" si="11"/>
        <v>1425.2399999999998</v>
      </c>
      <c r="Q83" s="95">
        <f t="shared" si="11"/>
        <v>1407.6399999999999</v>
      </c>
      <c r="R83" s="95">
        <f t="shared" si="11"/>
        <v>1345.2399999999998</v>
      </c>
      <c r="S83" s="95">
        <f t="shared" si="11"/>
        <v>1384.44</v>
      </c>
      <c r="T83" s="95">
        <f t="shared" si="11"/>
        <v>1386.8399999999997</v>
      </c>
      <c r="U83" s="95">
        <f t="shared" si="11"/>
        <v>1325.7399999999998</v>
      </c>
      <c r="V83" s="95">
        <f t="shared" si="11"/>
        <v>1302.3399999999999</v>
      </c>
      <c r="W83" s="95">
        <f t="shared" si="11"/>
        <v>1341.7400000000002</v>
      </c>
      <c r="X83" s="95">
        <f t="shared" si="11"/>
        <v>1614.8400000000001</v>
      </c>
      <c r="Y83" s="95">
        <f t="shared" si="11"/>
        <v>1529.8400000000001</v>
      </c>
      <c r="Z83" s="95">
        <f t="shared" si="11"/>
        <v>1563.94</v>
      </c>
      <c r="AA83" s="95">
        <f t="shared" si="11"/>
        <v>1550.84</v>
      </c>
      <c r="AB83" s="95">
        <f t="shared" si="11"/>
        <v>1549.24</v>
      </c>
      <c r="AC83" s="95">
        <f t="shared" si="11"/>
        <v>1533.04</v>
      </c>
      <c r="AD83" s="95">
        <f t="shared" si="11"/>
        <v>1446.7399999999998</v>
      </c>
      <c r="AE83" s="95">
        <f t="shared" si="11"/>
        <v>1240.4399999999998</v>
      </c>
      <c r="AF83" s="95">
        <f t="shared" si="11"/>
        <v>1144.7399999999998</v>
      </c>
      <c r="AG83" s="61">
        <f t="shared" si="11"/>
        <v>2004.1900000000003</v>
      </c>
      <c r="AH83" s="47">
        <f>MAX(B83:AF83)</f>
        <v>1614.8400000000001</v>
      </c>
      <c r="AI83" s="48">
        <f>MIN(B83:AF83)</f>
        <v>1027.7399999999998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>
        <v>250</v>
      </c>
      <c r="N84" s="97">
        <v>250</v>
      </c>
      <c r="O84" s="97">
        <v>250</v>
      </c>
      <c r="P84" s="97"/>
      <c r="Q84" s="97"/>
      <c r="R84" s="97"/>
      <c r="S84" s="97"/>
      <c r="T84" s="97"/>
      <c r="U84" s="97"/>
      <c r="V84" s="97"/>
      <c r="W84" s="97"/>
      <c r="X84" s="97">
        <v>170</v>
      </c>
      <c r="Y84" s="97">
        <v>150</v>
      </c>
      <c r="Z84" s="97">
        <v>140</v>
      </c>
      <c r="AA84" s="97">
        <v>120</v>
      </c>
      <c r="AB84" s="97">
        <v>100</v>
      </c>
      <c r="AC84" s="97"/>
      <c r="AD84" s="97"/>
      <c r="AE84" s="97"/>
      <c r="AF84" s="97"/>
      <c r="AG84" s="88"/>
      <c r="AH84" s="47">
        <f t="shared" si="8"/>
        <v>250</v>
      </c>
      <c r="AI84" s="48">
        <f t="shared" si="9"/>
        <v>100</v>
      </c>
    </row>
    <row r="85" spans="1:37" ht="15.75" thickBot="1" x14ac:dyDescent="0.3">
      <c r="A85" s="74" t="s">
        <v>96</v>
      </c>
      <c r="B85" s="95">
        <f>B83+B84</f>
        <v>1089.3399999999999</v>
      </c>
      <c r="C85" s="95">
        <f t="shared" ref="C85:AF85" si="12">C83+C84</f>
        <v>1038.54</v>
      </c>
      <c r="D85" s="95">
        <f t="shared" si="12"/>
        <v>1073.6399999999999</v>
      </c>
      <c r="E85" s="95">
        <f t="shared" si="12"/>
        <v>1027.7399999999998</v>
      </c>
      <c r="F85" s="95">
        <f t="shared" si="12"/>
        <v>1049.24</v>
      </c>
      <c r="G85" s="95">
        <f t="shared" si="12"/>
        <v>1101.44</v>
      </c>
      <c r="H85" s="95">
        <f t="shared" si="12"/>
        <v>1148.94</v>
      </c>
      <c r="I85" s="95">
        <f t="shared" si="12"/>
        <v>1206.04</v>
      </c>
      <c r="J85" s="95">
        <f t="shared" si="12"/>
        <v>1324.1399999999999</v>
      </c>
      <c r="K85" s="95">
        <f t="shared" si="12"/>
        <v>1344.94</v>
      </c>
      <c r="L85" s="95">
        <f t="shared" si="12"/>
        <v>1436.74</v>
      </c>
      <c r="M85" s="95">
        <f t="shared" si="12"/>
        <v>1634.44</v>
      </c>
      <c r="N85" s="95">
        <f t="shared" si="12"/>
        <v>1593.04</v>
      </c>
      <c r="O85" s="95">
        <f t="shared" si="12"/>
        <v>1455.74</v>
      </c>
      <c r="P85" s="95">
        <f t="shared" si="12"/>
        <v>1425.2399999999998</v>
      </c>
      <c r="Q85" s="95">
        <f t="shared" si="12"/>
        <v>1407.6399999999999</v>
      </c>
      <c r="R85" s="95">
        <f t="shared" si="12"/>
        <v>1345.2399999999998</v>
      </c>
      <c r="S85" s="95">
        <f t="shared" si="12"/>
        <v>1384.44</v>
      </c>
      <c r="T85" s="95">
        <f t="shared" si="12"/>
        <v>1386.8399999999997</v>
      </c>
      <c r="U85" s="95">
        <f t="shared" si="12"/>
        <v>1325.7399999999998</v>
      </c>
      <c r="V85" s="95">
        <f t="shared" si="12"/>
        <v>1302.3399999999999</v>
      </c>
      <c r="W85" s="95">
        <f t="shared" si="12"/>
        <v>1341.7400000000002</v>
      </c>
      <c r="X85" s="95">
        <f t="shared" si="12"/>
        <v>1784.8400000000001</v>
      </c>
      <c r="Y85" s="95">
        <f t="shared" si="12"/>
        <v>1679.8400000000001</v>
      </c>
      <c r="Z85" s="95">
        <f t="shared" si="12"/>
        <v>1703.94</v>
      </c>
      <c r="AA85" s="95">
        <f t="shared" si="12"/>
        <v>1670.84</v>
      </c>
      <c r="AB85" s="95">
        <f t="shared" si="12"/>
        <v>1649.24</v>
      </c>
      <c r="AC85" s="95">
        <f t="shared" si="12"/>
        <v>1533.04</v>
      </c>
      <c r="AD85" s="95">
        <f t="shared" si="12"/>
        <v>1446.7399999999998</v>
      </c>
      <c r="AE85" s="95">
        <f t="shared" si="12"/>
        <v>1240.4399999999998</v>
      </c>
      <c r="AF85" s="95">
        <f t="shared" si="12"/>
        <v>1144.7399999999998</v>
      </c>
      <c r="AG85" s="88">
        <f>AG82+AG78+AG66+AG62+AG44+AG84</f>
        <v>1466.0900000000001</v>
      </c>
      <c r="AH85" s="47">
        <f t="shared" si="8"/>
        <v>1784.8400000000001</v>
      </c>
      <c r="AI85" s="48">
        <f t="shared" si="9"/>
        <v>1027.7399999999998</v>
      </c>
    </row>
    <row r="86" spans="1:37" ht="15.75" thickBot="1" x14ac:dyDescent="0.3">
      <c r="A86" s="74" t="s">
        <v>97</v>
      </c>
      <c r="B86" s="95">
        <f>B85-B93</f>
        <v>1089.3399999999999</v>
      </c>
      <c r="C86" s="95">
        <f t="shared" ref="C86:AF86" si="13">C85-C93</f>
        <v>1038.54</v>
      </c>
      <c r="D86" s="95">
        <f t="shared" si="13"/>
        <v>1073.6399999999999</v>
      </c>
      <c r="E86" s="95">
        <f t="shared" si="13"/>
        <v>1027.7399999999998</v>
      </c>
      <c r="F86" s="95">
        <f t="shared" si="13"/>
        <v>1049.24</v>
      </c>
      <c r="G86" s="95">
        <f t="shared" si="13"/>
        <v>1101.44</v>
      </c>
      <c r="H86" s="95">
        <f t="shared" si="13"/>
        <v>1148.94</v>
      </c>
      <c r="I86" s="95">
        <f t="shared" si="13"/>
        <v>1206.04</v>
      </c>
      <c r="J86" s="95">
        <f t="shared" si="13"/>
        <v>1324.1399999999999</v>
      </c>
      <c r="K86" s="95">
        <f t="shared" si="13"/>
        <v>1344.94</v>
      </c>
      <c r="L86" s="95">
        <f t="shared" si="13"/>
        <v>1436.74</v>
      </c>
      <c r="M86" s="95">
        <f t="shared" si="13"/>
        <v>1634.44</v>
      </c>
      <c r="N86" s="95">
        <f t="shared" si="13"/>
        <v>1593.04</v>
      </c>
      <c r="O86" s="95">
        <f t="shared" si="13"/>
        <v>1455.74</v>
      </c>
      <c r="P86" s="95">
        <f t="shared" si="13"/>
        <v>1425.2399999999998</v>
      </c>
      <c r="Q86" s="95">
        <f t="shared" si="13"/>
        <v>1407.6399999999999</v>
      </c>
      <c r="R86" s="95">
        <f t="shared" si="13"/>
        <v>1345.2399999999998</v>
      </c>
      <c r="S86" s="95">
        <f t="shared" si="13"/>
        <v>1384.44</v>
      </c>
      <c r="T86" s="95">
        <f t="shared" si="13"/>
        <v>1386.8399999999997</v>
      </c>
      <c r="U86" s="95">
        <f t="shared" si="13"/>
        <v>1325.7399999999998</v>
      </c>
      <c r="V86" s="95">
        <f t="shared" si="13"/>
        <v>1302.3399999999999</v>
      </c>
      <c r="W86" s="95">
        <f t="shared" si="13"/>
        <v>1341.7400000000002</v>
      </c>
      <c r="X86" s="95">
        <v>1784.8400000000001</v>
      </c>
      <c r="Y86" s="95">
        <v>1790.2399999999998</v>
      </c>
      <c r="Z86" s="95">
        <f t="shared" si="13"/>
        <v>1703.94</v>
      </c>
      <c r="AA86" s="95">
        <f t="shared" si="13"/>
        <v>1670.84</v>
      </c>
      <c r="AB86" s="95">
        <f t="shared" si="13"/>
        <v>1649.24</v>
      </c>
      <c r="AC86" s="95">
        <f t="shared" si="13"/>
        <v>1533.04</v>
      </c>
      <c r="AD86" s="95">
        <f t="shared" si="13"/>
        <v>1446.7399999999998</v>
      </c>
      <c r="AE86" s="95">
        <f t="shared" si="13"/>
        <v>1240.4399999999998</v>
      </c>
      <c r="AF86" s="95">
        <f t="shared" si="13"/>
        <v>1144.7399999999998</v>
      </c>
      <c r="AG86" s="88"/>
      <c r="AH86" s="47">
        <f t="shared" si="8"/>
        <v>1790.2399999999998</v>
      </c>
      <c r="AI86" s="48">
        <f t="shared" si="9"/>
        <v>1027.7399999999998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8"/>
        <v>0</v>
      </c>
      <c r="AI87" s="48">
        <f t="shared" si="9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8"/>
        <v>0</v>
      </c>
      <c r="AI88" s="48">
        <f t="shared" si="9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8"/>
        <v>0</v>
      </c>
      <c r="AI89" s="48">
        <f t="shared" si="9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8"/>
        <v>0</v>
      </c>
      <c r="AI90" s="48">
        <f t="shared" si="9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8"/>
        <v>0</v>
      </c>
      <c r="AI91" s="48">
        <f t="shared" si="9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8"/>
        <v>0</v>
      </c>
      <c r="AI92" s="48">
        <f t="shared" si="9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>
        <v>0</v>
      </c>
      <c r="Y93" s="60">
        <v>0</v>
      </c>
      <c r="Z93" s="60"/>
      <c r="AA93" s="60"/>
      <c r="AB93" s="60"/>
      <c r="AC93" s="60"/>
      <c r="AD93" s="60"/>
      <c r="AE93" s="60"/>
      <c r="AF93" s="60"/>
      <c r="AG93" s="88"/>
      <c r="AH93" s="47">
        <f t="shared" si="8"/>
        <v>0</v>
      </c>
      <c r="AI93" s="48">
        <f t="shared" si="9"/>
        <v>0</v>
      </c>
      <c r="AK93" s="49"/>
    </row>
    <row r="94" spans="1:37" ht="15.75" thickBot="1" x14ac:dyDescent="0.3">
      <c r="A94" s="74" t="s">
        <v>102</v>
      </c>
      <c r="B94" s="60">
        <f>B78-B93</f>
        <v>416.59999999999997</v>
      </c>
      <c r="C94" s="60">
        <f t="shared" ref="C94:AF94" si="14">C78-C93</f>
        <v>288.8</v>
      </c>
      <c r="D94" s="60">
        <f t="shared" si="14"/>
        <v>294.3</v>
      </c>
      <c r="E94" s="60">
        <f t="shared" si="14"/>
        <v>288.39999999999998</v>
      </c>
      <c r="F94" s="60">
        <f t="shared" si="14"/>
        <v>275.7</v>
      </c>
      <c r="G94" s="60">
        <f t="shared" si="14"/>
        <v>292.8</v>
      </c>
      <c r="H94" s="60">
        <f t="shared" si="14"/>
        <v>369</v>
      </c>
      <c r="I94" s="60">
        <f t="shared" si="14"/>
        <v>378.2</v>
      </c>
      <c r="J94" s="60">
        <f t="shared" si="14"/>
        <v>446</v>
      </c>
      <c r="K94" s="60">
        <f t="shared" si="14"/>
        <v>454.2</v>
      </c>
      <c r="L94" s="60">
        <f t="shared" si="14"/>
        <v>422.6</v>
      </c>
      <c r="M94" s="60">
        <f t="shared" si="14"/>
        <v>336</v>
      </c>
      <c r="N94" s="60">
        <f t="shared" si="14"/>
        <v>241.39999999999998</v>
      </c>
      <c r="O94" s="60">
        <f t="shared" si="14"/>
        <v>259.2</v>
      </c>
      <c r="P94" s="60">
        <f t="shared" si="14"/>
        <v>491.4</v>
      </c>
      <c r="Q94" s="60">
        <f t="shared" si="14"/>
        <v>512.79999999999995</v>
      </c>
      <c r="R94" s="60">
        <f t="shared" si="14"/>
        <v>507.5</v>
      </c>
      <c r="S94" s="60">
        <f t="shared" si="14"/>
        <v>510.70000000000005</v>
      </c>
      <c r="T94" s="60">
        <f t="shared" si="14"/>
        <v>518</v>
      </c>
      <c r="U94" s="60">
        <f t="shared" si="14"/>
        <v>455</v>
      </c>
      <c r="V94" s="60">
        <f t="shared" si="14"/>
        <v>396.5</v>
      </c>
      <c r="W94" s="60">
        <f t="shared" si="14"/>
        <v>437.4</v>
      </c>
      <c r="X94" s="60">
        <f t="shared" si="14"/>
        <v>514.4</v>
      </c>
      <c r="Y94" s="60">
        <f t="shared" si="14"/>
        <v>421</v>
      </c>
      <c r="Z94" s="60">
        <f t="shared" si="14"/>
        <v>470.7</v>
      </c>
      <c r="AA94" s="60">
        <f t="shared" si="14"/>
        <v>427.7</v>
      </c>
      <c r="AB94" s="60">
        <f t="shared" si="14"/>
        <v>451.7</v>
      </c>
      <c r="AC94" s="60">
        <f t="shared" si="14"/>
        <v>451.7</v>
      </c>
      <c r="AD94" s="60">
        <f t="shared" si="14"/>
        <v>445.7</v>
      </c>
      <c r="AE94" s="60">
        <f t="shared" si="14"/>
        <v>390.3</v>
      </c>
      <c r="AF94" s="60">
        <f t="shared" si="14"/>
        <v>409.3</v>
      </c>
      <c r="AG94" s="88"/>
      <c r="AH94" s="47">
        <f t="shared" si="8"/>
        <v>518</v>
      </c>
      <c r="AI94" s="48">
        <f t="shared" si="9"/>
        <v>241.39999999999998</v>
      </c>
    </row>
    <row r="95" spans="1:37" x14ac:dyDescent="0.25">
      <c r="A95" s="100" t="s">
        <v>103</v>
      </c>
      <c r="B95" s="101">
        <v>50.01</v>
      </c>
      <c r="C95" s="101">
        <v>50.1</v>
      </c>
      <c r="D95" s="101">
        <v>50.02</v>
      </c>
      <c r="E95" s="101">
        <v>50.033999999999999</v>
      </c>
      <c r="F95" s="101">
        <v>50.045999999999999</v>
      </c>
      <c r="G95" s="101">
        <v>50.064</v>
      </c>
      <c r="H95" s="101">
        <v>50.064</v>
      </c>
      <c r="I95" s="101">
        <v>50.033999999999999</v>
      </c>
      <c r="J95" s="101">
        <v>50.040999999999997</v>
      </c>
      <c r="K95" s="101"/>
      <c r="L95" s="101">
        <v>49.982999999999997</v>
      </c>
      <c r="M95" s="101">
        <v>50.165999999999997</v>
      </c>
      <c r="N95" s="101">
        <v>50.121000000000002</v>
      </c>
      <c r="O95" s="101">
        <v>50.121000000000002</v>
      </c>
      <c r="P95" s="101">
        <v>50.067999999999998</v>
      </c>
      <c r="Q95" s="101">
        <v>50.006999999999998</v>
      </c>
      <c r="R95" s="101">
        <v>49.994</v>
      </c>
      <c r="S95" s="101">
        <v>49.985999999999997</v>
      </c>
      <c r="T95" s="101">
        <v>49.83</v>
      </c>
      <c r="U95" s="101">
        <v>49.83</v>
      </c>
      <c r="V95" s="101">
        <v>49.91</v>
      </c>
      <c r="W95" s="101">
        <v>50.05</v>
      </c>
      <c r="X95" s="101">
        <v>49.88</v>
      </c>
      <c r="Y95" s="101">
        <v>50.04</v>
      </c>
      <c r="Z95" s="101">
        <v>50.08</v>
      </c>
      <c r="AA95" s="101">
        <v>50.1</v>
      </c>
      <c r="AB95" s="101">
        <v>50.064</v>
      </c>
      <c r="AC95" s="101">
        <v>49.96</v>
      </c>
      <c r="AD95" s="101">
        <v>49.96</v>
      </c>
      <c r="AE95" s="101">
        <v>49.89</v>
      </c>
      <c r="AF95" s="101">
        <v>50.048999999999999</v>
      </c>
      <c r="AG95" s="102"/>
      <c r="AH95" s="47">
        <f t="shared" si="8"/>
        <v>50.165999999999997</v>
      </c>
      <c r="AI95" s="48">
        <f t="shared" si="9"/>
        <v>49.83</v>
      </c>
    </row>
    <row r="96" spans="1:37" x14ac:dyDescent="0.25">
      <c r="A96" s="103" t="s">
        <v>104</v>
      </c>
      <c r="B96" s="65">
        <v>128.80000000000001</v>
      </c>
      <c r="C96" s="65">
        <v>129.19999999999999</v>
      </c>
      <c r="D96" s="65">
        <v>129</v>
      </c>
      <c r="E96" s="65">
        <v>129.1</v>
      </c>
      <c r="F96" s="65">
        <v>128.30000000000001</v>
      </c>
      <c r="G96" s="65">
        <v>127</v>
      </c>
      <c r="H96" s="65">
        <v>126.6</v>
      </c>
      <c r="I96" s="65">
        <v>126.1</v>
      </c>
      <c r="J96" s="65">
        <v>124.4</v>
      </c>
      <c r="K96" s="65"/>
      <c r="L96" s="65">
        <v>128.1</v>
      </c>
      <c r="M96" s="65">
        <v>128.69999999999999</v>
      </c>
      <c r="N96" s="65">
        <v>128.69999999999999</v>
      </c>
      <c r="O96" s="65">
        <v>128.69999999999999</v>
      </c>
      <c r="P96" s="65">
        <v>123.9</v>
      </c>
      <c r="Q96" s="65">
        <v>126.6</v>
      </c>
      <c r="R96" s="65">
        <v>125.6</v>
      </c>
      <c r="S96" s="65">
        <v>124.1</v>
      </c>
      <c r="T96" s="65">
        <v>124.7</v>
      </c>
      <c r="U96" s="65">
        <v>125.2</v>
      </c>
      <c r="V96" s="65">
        <v>129</v>
      </c>
      <c r="W96" s="65">
        <v>126.1</v>
      </c>
      <c r="X96" s="65">
        <v>127.4</v>
      </c>
      <c r="Y96" s="65">
        <v>127.8</v>
      </c>
      <c r="Z96" s="65">
        <v>128.80000000000001</v>
      </c>
      <c r="AA96" s="65">
        <v>129</v>
      </c>
      <c r="AB96" s="65">
        <v>129</v>
      </c>
      <c r="AC96" s="65">
        <v>127.8</v>
      </c>
      <c r="AD96" s="65">
        <v>127.8</v>
      </c>
      <c r="AE96" s="65">
        <v>128.4</v>
      </c>
      <c r="AF96" s="65">
        <v>127.8</v>
      </c>
      <c r="AG96" s="104"/>
      <c r="AH96" s="47">
        <f t="shared" si="8"/>
        <v>129.19999999999999</v>
      </c>
      <c r="AI96" s="48">
        <f t="shared" si="9"/>
        <v>123.9</v>
      </c>
    </row>
    <row r="97" spans="1:35" x14ac:dyDescent="0.25">
      <c r="A97" s="103" t="s">
        <v>105</v>
      </c>
      <c r="B97" s="65">
        <v>132.69999999999999</v>
      </c>
      <c r="C97" s="65">
        <v>133.1</v>
      </c>
      <c r="D97" s="65">
        <v>132.69999999999999</v>
      </c>
      <c r="E97" s="65">
        <v>132.80000000000001</v>
      </c>
      <c r="F97" s="65">
        <v>132</v>
      </c>
      <c r="G97" s="65">
        <v>131.1</v>
      </c>
      <c r="H97" s="65">
        <v>130.69999999999999</v>
      </c>
      <c r="I97" s="65">
        <v>130</v>
      </c>
      <c r="J97" s="65">
        <v>128.19999999999999</v>
      </c>
      <c r="K97" s="65"/>
      <c r="L97" s="65">
        <v>129.69999999999999</v>
      </c>
      <c r="M97" s="65">
        <v>129.80000000000001</v>
      </c>
      <c r="N97" s="65">
        <v>130.1</v>
      </c>
      <c r="O97" s="65">
        <v>130.1</v>
      </c>
      <c r="P97" s="65">
        <v>126.8</v>
      </c>
      <c r="Q97" s="65">
        <v>129.19999999999999</v>
      </c>
      <c r="R97" s="65">
        <v>129</v>
      </c>
      <c r="S97" s="65">
        <v>127.5</v>
      </c>
      <c r="T97" s="65">
        <v>128.30000000000001</v>
      </c>
      <c r="U97" s="65">
        <v>128.1</v>
      </c>
      <c r="V97" s="65">
        <v>130.4</v>
      </c>
      <c r="W97" s="65">
        <v>128.1</v>
      </c>
      <c r="X97" s="65">
        <v>128.6</v>
      </c>
      <c r="Y97" s="65">
        <v>128.6</v>
      </c>
      <c r="Z97" s="65">
        <v>129.69999999999999</v>
      </c>
      <c r="AA97" s="65">
        <v>130</v>
      </c>
      <c r="AB97" s="65">
        <v>130</v>
      </c>
      <c r="AC97" s="65">
        <v>130</v>
      </c>
      <c r="AD97" s="65">
        <v>130</v>
      </c>
      <c r="AE97" s="65">
        <v>131.4</v>
      </c>
      <c r="AF97" s="65">
        <v>131.4</v>
      </c>
      <c r="AG97" s="104"/>
      <c r="AH97" s="47">
        <f t="shared" si="8"/>
        <v>133.1</v>
      </c>
      <c r="AI97" s="48">
        <f t="shared" si="9"/>
        <v>126.8</v>
      </c>
    </row>
    <row r="98" spans="1:35" x14ac:dyDescent="0.25">
      <c r="A98" s="103" t="s">
        <v>106</v>
      </c>
      <c r="B98" s="65">
        <v>132.30000000000001</v>
      </c>
      <c r="C98" s="65">
        <v>132.80000000000001</v>
      </c>
      <c r="D98" s="65">
        <v>133.30000000000001</v>
      </c>
      <c r="E98" s="65">
        <v>133.5</v>
      </c>
      <c r="F98" s="65">
        <v>133</v>
      </c>
      <c r="G98" s="65">
        <v>132.4</v>
      </c>
      <c r="H98" s="65">
        <v>131</v>
      </c>
      <c r="I98" s="65">
        <v>132.4</v>
      </c>
      <c r="J98" s="65">
        <v>130.19999999999999</v>
      </c>
      <c r="K98" s="65"/>
      <c r="L98" s="65">
        <v>127.8</v>
      </c>
      <c r="M98" s="65">
        <v>132.1</v>
      </c>
      <c r="N98" s="65">
        <v>130.9</v>
      </c>
      <c r="O98" s="65">
        <v>130.9</v>
      </c>
      <c r="P98" s="65">
        <v>127.6</v>
      </c>
      <c r="Q98" s="65">
        <v>131.30000000000001</v>
      </c>
      <c r="R98" s="65">
        <v>128.5</v>
      </c>
      <c r="S98" s="65">
        <v>129.19999999999999</v>
      </c>
      <c r="T98" s="65">
        <v>130.9</v>
      </c>
      <c r="U98" s="65">
        <v>128.9</v>
      </c>
      <c r="V98" s="65">
        <v>130.9</v>
      </c>
      <c r="W98" s="65">
        <v>131.5</v>
      </c>
      <c r="X98" s="65">
        <v>132.5</v>
      </c>
      <c r="Y98" s="65">
        <v>133.69999999999999</v>
      </c>
      <c r="Z98" s="65">
        <v>130.19999999999999</v>
      </c>
      <c r="AA98" s="65">
        <v>131.1</v>
      </c>
      <c r="AB98" s="65">
        <v>131.1</v>
      </c>
      <c r="AC98" s="65">
        <v>132.80000000000001</v>
      </c>
      <c r="AD98" s="65">
        <v>132.80000000000001</v>
      </c>
      <c r="AE98" s="65">
        <v>129.4</v>
      </c>
      <c r="AF98" s="65">
        <v>130.6</v>
      </c>
      <c r="AG98" s="104"/>
      <c r="AH98" s="47">
        <f t="shared" si="8"/>
        <v>133.69999999999999</v>
      </c>
      <c r="AI98" s="48">
        <f t="shared" si="9"/>
        <v>127.6</v>
      </c>
    </row>
    <row r="99" spans="1:35" x14ac:dyDescent="0.25">
      <c r="A99" s="105" t="s">
        <v>107</v>
      </c>
      <c r="B99" s="65"/>
      <c r="C99" s="65"/>
      <c r="D99" s="65" t="s">
        <v>340</v>
      </c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104"/>
      <c r="AH99" s="47">
        <f t="shared" si="8"/>
        <v>0</v>
      </c>
      <c r="AI99" s="48">
        <f t="shared" si="9"/>
        <v>0</v>
      </c>
    </row>
    <row r="100" spans="1:35" x14ac:dyDescent="0.25">
      <c r="A100" s="105" t="s">
        <v>108</v>
      </c>
      <c r="B100" s="106">
        <v>134.5</v>
      </c>
      <c r="C100" s="106">
        <v>134.5</v>
      </c>
      <c r="D100" s="106">
        <v>132.69999999999999</v>
      </c>
      <c r="E100" s="106">
        <v>133</v>
      </c>
      <c r="F100" s="106">
        <v>132.9</v>
      </c>
      <c r="G100" s="106">
        <v>132.5</v>
      </c>
      <c r="H100" s="106">
        <v>134.30000000000001</v>
      </c>
      <c r="I100" s="106">
        <v>133.19999999999999</v>
      </c>
      <c r="J100" s="106">
        <v>133.19999999999999</v>
      </c>
      <c r="K100" s="106"/>
      <c r="L100" s="106">
        <v>135.80000000000001</v>
      </c>
      <c r="M100" s="106">
        <v>134.69999999999999</v>
      </c>
      <c r="N100" s="106">
        <v>134.1</v>
      </c>
      <c r="O100" s="106">
        <v>134.1</v>
      </c>
      <c r="P100" s="106">
        <v>134.19999999999999</v>
      </c>
      <c r="Q100" s="106">
        <v>133.9</v>
      </c>
      <c r="R100" s="106">
        <v>131.9</v>
      </c>
      <c r="S100" s="106">
        <v>131.69999999999999</v>
      </c>
      <c r="T100" s="106">
        <v>134.30000000000001</v>
      </c>
      <c r="U100" s="106">
        <v>134.30000000000001</v>
      </c>
      <c r="V100" s="106">
        <v>135</v>
      </c>
      <c r="W100" s="106">
        <v>132.5</v>
      </c>
      <c r="X100" s="106">
        <v>135.4</v>
      </c>
      <c r="Y100" s="106">
        <v>132.6</v>
      </c>
      <c r="Z100" s="106">
        <v>134.4</v>
      </c>
      <c r="AA100" s="106">
        <v>136.30000000000001</v>
      </c>
      <c r="AB100" s="106">
        <v>136.30000000000001</v>
      </c>
      <c r="AC100" s="106">
        <v>132.80000000000001</v>
      </c>
      <c r="AD100" s="106">
        <v>132.80000000000001</v>
      </c>
      <c r="AE100" s="106">
        <v>134.9</v>
      </c>
      <c r="AF100" s="106">
        <v>132.30000000000001</v>
      </c>
      <c r="AG100" s="107"/>
      <c r="AH100" s="47">
        <f t="shared" si="8"/>
        <v>136.30000000000001</v>
      </c>
      <c r="AI100" s="48">
        <f t="shared" si="9"/>
        <v>131.69999999999999</v>
      </c>
    </row>
    <row r="101" spans="1:35" x14ac:dyDescent="0.25">
      <c r="A101" s="103" t="s">
        <v>109</v>
      </c>
      <c r="B101" s="65">
        <v>132</v>
      </c>
      <c r="C101" s="65">
        <v>133.1</v>
      </c>
      <c r="D101" s="65">
        <v>133.80000000000001</v>
      </c>
      <c r="E101" s="65">
        <v>133.80000000000001</v>
      </c>
      <c r="F101" s="65">
        <v>137.9</v>
      </c>
      <c r="G101" s="65">
        <v>132.4</v>
      </c>
      <c r="H101" s="65">
        <v>134.80000000000001</v>
      </c>
      <c r="I101" s="65">
        <v>132.19999999999999</v>
      </c>
      <c r="J101" s="65">
        <v>132.6</v>
      </c>
      <c r="K101" s="65"/>
      <c r="L101" s="65">
        <v>132.4</v>
      </c>
      <c r="M101" s="65">
        <v>129.9</v>
      </c>
      <c r="N101" s="65">
        <v>129.1</v>
      </c>
      <c r="O101" s="65">
        <v>129.1</v>
      </c>
      <c r="P101" s="65">
        <v>126.5</v>
      </c>
      <c r="Q101" s="65">
        <v>135.4</v>
      </c>
      <c r="R101" s="65">
        <v>129.9</v>
      </c>
      <c r="S101" s="65">
        <v>133.6</v>
      </c>
      <c r="T101" s="65">
        <v>127.9</v>
      </c>
      <c r="U101" s="65">
        <v>132.19999999999999</v>
      </c>
      <c r="V101" s="65">
        <v>136</v>
      </c>
      <c r="W101" s="65">
        <v>136.4</v>
      </c>
      <c r="X101" s="65">
        <v>135.80000000000001</v>
      </c>
      <c r="Y101" s="65">
        <v>135</v>
      </c>
      <c r="Z101" s="65">
        <v>135.80000000000001</v>
      </c>
      <c r="AA101" s="65">
        <v>135.1</v>
      </c>
      <c r="AB101" s="65">
        <v>135.1</v>
      </c>
      <c r="AC101" s="65">
        <v>130.69999999999999</v>
      </c>
      <c r="AD101" s="65">
        <v>130.69999999999999</v>
      </c>
      <c r="AE101" s="65">
        <v>134.74</v>
      </c>
      <c r="AF101" s="65">
        <v>129.5</v>
      </c>
      <c r="AG101" s="104"/>
      <c r="AH101" s="47">
        <f t="shared" si="8"/>
        <v>137.9</v>
      </c>
      <c r="AI101" s="48">
        <f t="shared" si="9"/>
        <v>126.5</v>
      </c>
    </row>
    <row r="102" spans="1:35" ht="15.75" thickBot="1" x14ac:dyDescent="0.3">
      <c r="A102" s="103" t="s">
        <v>110</v>
      </c>
      <c r="B102" s="92">
        <v>66.5</v>
      </c>
      <c r="C102" s="92">
        <v>66.599999999999994</v>
      </c>
      <c r="D102" s="92">
        <v>66.400000000000006</v>
      </c>
      <c r="E102" s="92">
        <v>66.7</v>
      </c>
      <c r="F102" s="92">
        <v>66</v>
      </c>
      <c r="G102" s="92">
        <v>65.599999999999994</v>
      </c>
      <c r="H102" s="92">
        <v>65.3</v>
      </c>
      <c r="I102" s="92">
        <v>65.2</v>
      </c>
      <c r="J102" s="92">
        <v>64.3</v>
      </c>
      <c r="K102" s="92"/>
      <c r="L102" s="92">
        <v>64.599999999999994</v>
      </c>
      <c r="M102" s="92">
        <v>64.5</v>
      </c>
      <c r="N102" s="92">
        <v>64.599999999999994</v>
      </c>
      <c r="O102" s="92">
        <v>64.599999999999994</v>
      </c>
      <c r="P102" s="92">
        <v>63</v>
      </c>
      <c r="Q102" s="92">
        <v>64.8</v>
      </c>
      <c r="R102" s="92">
        <v>64.400000000000006</v>
      </c>
      <c r="S102" s="92">
        <v>63.9</v>
      </c>
      <c r="T102" s="92">
        <v>64.099999999999994</v>
      </c>
      <c r="U102" s="92">
        <v>64.2</v>
      </c>
      <c r="V102" s="92">
        <v>65.099999999999994</v>
      </c>
      <c r="W102" s="92">
        <v>64.099999999999994</v>
      </c>
      <c r="X102" s="92">
        <v>64.099999999999994</v>
      </c>
      <c r="Y102" s="92">
        <v>64.3</v>
      </c>
      <c r="Z102" s="92">
        <v>64.8</v>
      </c>
      <c r="AA102" s="92">
        <v>65.099999999999994</v>
      </c>
      <c r="AB102" s="92">
        <v>65.099999999999994</v>
      </c>
      <c r="AC102" s="92">
        <v>65.400000000000006</v>
      </c>
      <c r="AD102" s="92">
        <v>65.400000000000006</v>
      </c>
      <c r="AE102" s="92">
        <v>66</v>
      </c>
      <c r="AF102" s="92">
        <v>66.099999999999994</v>
      </c>
      <c r="AG102" s="108"/>
      <c r="AH102" s="47">
        <f t="shared" si="8"/>
        <v>66.7</v>
      </c>
      <c r="AI102" s="48">
        <f t="shared" si="9"/>
        <v>63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 t="s">
        <v>111</v>
      </c>
      <c r="Z103" s="92"/>
      <c r="AA103" s="92"/>
      <c r="AB103" s="92"/>
      <c r="AC103" s="92"/>
      <c r="AD103" s="92"/>
      <c r="AE103" s="92"/>
      <c r="AF103" s="92"/>
      <c r="AG103" s="108"/>
      <c r="AH103" s="47">
        <f t="shared" si="8"/>
        <v>0</v>
      </c>
      <c r="AI103" s="48">
        <f t="shared" si="9"/>
        <v>0</v>
      </c>
    </row>
    <row r="104" spans="1:35" ht="15.75" thickBot="1" x14ac:dyDescent="0.3">
      <c r="A104" s="110" t="s">
        <v>112</v>
      </c>
      <c r="B104" s="111">
        <f>SUM(B16,B22,B25:B26,B52,B54:B55,B57,B59,B105:B109,B131,B137,B143,B152,B154,B166,B173,B176:B177,B184,B186,B188,B192:B194,B196:B198,B203,B209:B210,B212:B214,B222,B227)</f>
        <v>149.4</v>
      </c>
      <c r="C104" s="111">
        <f t="shared" ref="C104:AF104" si="15">SUM(C16,C22,C25:C26,C52,C54:C55,C57,C59,C105:C109,C131,C137,C143,C152,C154,C166,C173,C176:C177,C184,C186,C188,C192:C194,C196:C198,C203,C209:C210,C212:C214,C222,C227)</f>
        <v>132.53999999999996</v>
      </c>
      <c r="D104" s="111">
        <f t="shared" si="15"/>
        <v>130.44</v>
      </c>
      <c r="E104" s="111">
        <f t="shared" si="15"/>
        <v>126.53999999999999</v>
      </c>
      <c r="F104" s="111">
        <f t="shared" si="15"/>
        <v>131.54</v>
      </c>
      <c r="G104" s="111">
        <f t="shared" si="15"/>
        <v>151.63999999999999</v>
      </c>
      <c r="H104" s="111">
        <f t="shared" si="15"/>
        <v>188.94</v>
      </c>
      <c r="I104" s="111">
        <f t="shared" si="15"/>
        <v>226.14</v>
      </c>
      <c r="J104" s="111">
        <f t="shared" si="15"/>
        <v>280.44</v>
      </c>
      <c r="K104" s="111">
        <f t="shared" si="15"/>
        <v>120.64</v>
      </c>
      <c r="L104" s="111">
        <f t="shared" si="15"/>
        <v>404.84</v>
      </c>
      <c r="M104" s="111">
        <f t="shared" si="15"/>
        <v>343.44</v>
      </c>
      <c r="N104" s="111">
        <f t="shared" si="15"/>
        <v>385.44</v>
      </c>
      <c r="O104" s="111">
        <f t="shared" si="15"/>
        <v>388.04</v>
      </c>
      <c r="P104" s="111">
        <v>42</v>
      </c>
      <c r="Q104" s="111">
        <f t="shared" si="15"/>
        <v>334.9</v>
      </c>
      <c r="R104" s="111">
        <f t="shared" si="15"/>
        <v>309.8</v>
      </c>
      <c r="S104" s="111">
        <f t="shared" si="15"/>
        <v>283.89999999999998</v>
      </c>
      <c r="T104" s="111">
        <f t="shared" si="15"/>
        <v>293.5</v>
      </c>
      <c r="U104" s="111">
        <f t="shared" si="15"/>
        <v>309.09999999999997</v>
      </c>
      <c r="V104" s="111">
        <f t="shared" si="15"/>
        <v>331.7</v>
      </c>
      <c r="W104" s="111">
        <f t="shared" si="15"/>
        <v>366.70000000000005</v>
      </c>
      <c r="X104" s="111">
        <f t="shared" si="15"/>
        <v>384.29999999999995</v>
      </c>
      <c r="Y104" s="111">
        <f t="shared" si="15"/>
        <v>433.5</v>
      </c>
      <c r="Z104" s="111">
        <f t="shared" si="15"/>
        <v>427.1</v>
      </c>
      <c r="AA104" s="111">
        <f t="shared" si="15"/>
        <v>427.9</v>
      </c>
      <c r="AB104" s="111">
        <f t="shared" si="15"/>
        <v>442.70000000000005</v>
      </c>
      <c r="AC104" s="111">
        <f t="shared" si="15"/>
        <v>443.20000000000005</v>
      </c>
      <c r="AD104" s="111">
        <f t="shared" si="15"/>
        <v>378.5</v>
      </c>
      <c r="AE104" s="111">
        <f t="shared" si="15"/>
        <v>279.3</v>
      </c>
      <c r="AF104" s="111">
        <f t="shared" si="15"/>
        <v>188</v>
      </c>
      <c r="AG104" s="112"/>
      <c r="AH104" s="47">
        <f t="shared" si="8"/>
        <v>443.20000000000005</v>
      </c>
      <c r="AI104" s="48">
        <f t="shared" si="9"/>
        <v>42</v>
      </c>
    </row>
    <row r="105" spans="1:35" x14ac:dyDescent="0.25">
      <c r="A105" s="100" t="s">
        <v>113</v>
      </c>
      <c r="B105" s="113">
        <v>-4.8</v>
      </c>
      <c r="C105" s="113">
        <v>-2.9</v>
      </c>
      <c r="D105" s="113">
        <v>-5.6</v>
      </c>
      <c r="E105" s="113">
        <v>-4.0999999999999996</v>
      </c>
      <c r="F105" s="113">
        <v>-3.3</v>
      </c>
      <c r="G105" s="113">
        <v>2.7</v>
      </c>
      <c r="H105" s="113">
        <v>4.7</v>
      </c>
      <c r="I105" s="113">
        <v>11.9</v>
      </c>
      <c r="J105" s="113">
        <v>25.1</v>
      </c>
      <c r="K105" s="113"/>
      <c r="L105" s="113">
        <v>45</v>
      </c>
      <c r="M105" s="113">
        <v>39.799999999999997</v>
      </c>
      <c r="N105" s="113">
        <v>45.7</v>
      </c>
      <c r="O105" s="113">
        <v>52.5</v>
      </c>
      <c r="P105" s="113">
        <v>51.5</v>
      </c>
      <c r="Q105" s="113">
        <v>31.2</v>
      </c>
      <c r="R105" s="113">
        <v>21.8</v>
      </c>
      <c r="S105" s="113">
        <v>23.3</v>
      </c>
      <c r="T105" s="113">
        <v>23.3</v>
      </c>
      <c r="U105" s="113">
        <v>25</v>
      </c>
      <c r="V105" s="113">
        <v>44.2</v>
      </c>
      <c r="W105" s="113">
        <v>39.299999999999997</v>
      </c>
      <c r="X105" s="113">
        <v>42.9</v>
      </c>
      <c r="Y105" s="113">
        <v>39.200000000000003</v>
      </c>
      <c r="Z105" s="113">
        <v>38.4</v>
      </c>
      <c r="AA105" s="113">
        <v>40.700000000000003</v>
      </c>
      <c r="AB105" s="113">
        <v>42.2</v>
      </c>
      <c r="AC105" s="113">
        <v>42.2</v>
      </c>
      <c r="AD105" s="113">
        <v>36.4</v>
      </c>
      <c r="AE105" s="113">
        <v>22.5</v>
      </c>
      <c r="AF105" s="113">
        <v>0.9</v>
      </c>
      <c r="AG105" s="114">
        <v>75</v>
      </c>
      <c r="AH105" s="47">
        <f t="shared" si="8"/>
        <v>52.5</v>
      </c>
      <c r="AI105" s="48">
        <f t="shared" si="9"/>
        <v>-5.6</v>
      </c>
    </row>
    <row r="106" spans="1:35" x14ac:dyDescent="0.25">
      <c r="A106" s="103" t="s">
        <v>114</v>
      </c>
      <c r="B106" s="115">
        <v>0</v>
      </c>
      <c r="C106" s="115">
        <v>1.1000000000000001</v>
      </c>
      <c r="D106" s="115">
        <v>-2.9</v>
      </c>
      <c r="E106" s="115">
        <v>0</v>
      </c>
      <c r="F106" s="115">
        <v>0</v>
      </c>
      <c r="G106" s="115">
        <v>9.1999999999999993</v>
      </c>
      <c r="H106" s="115">
        <v>11.2</v>
      </c>
      <c r="I106" s="115">
        <v>18</v>
      </c>
      <c r="J106" s="115">
        <v>43.5</v>
      </c>
      <c r="K106" s="115"/>
      <c r="L106" s="115">
        <v>66</v>
      </c>
      <c r="M106" s="115" t="s">
        <v>688</v>
      </c>
      <c r="N106" s="115">
        <v>60</v>
      </c>
      <c r="O106" s="115">
        <v>54.4</v>
      </c>
      <c r="P106" s="115">
        <v>74.400000000000006</v>
      </c>
      <c r="Q106" s="115">
        <v>47.3</v>
      </c>
      <c r="R106" s="115">
        <v>32.1</v>
      </c>
      <c r="S106" s="115">
        <v>34.6</v>
      </c>
      <c r="T106" s="115">
        <v>35</v>
      </c>
      <c r="U106" s="115">
        <v>37.9</v>
      </c>
      <c r="V106" s="115">
        <v>56.8</v>
      </c>
      <c r="W106" s="115">
        <v>48.1</v>
      </c>
      <c r="X106" s="115">
        <v>53.1</v>
      </c>
      <c r="Y106" s="115">
        <v>47.9</v>
      </c>
      <c r="Z106" s="115">
        <v>45.7</v>
      </c>
      <c r="AA106" s="115">
        <v>49.6</v>
      </c>
      <c r="AB106" s="115">
        <v>51.4</v>
      </c>
      <c r="AC106" s="115">
        <v>51.4</v>
      </c>
      <c r="AD106" s="115">
        <v>46.3</v>
      </c>
      <c r="AE106" s="115">
        <v>29.3</v>
      </c>
      <c r="AF106" s="115">
        <v>1.6</v>
      </c>
      <c r="AG106" s="114">
        <v>240</v>
      </c>
      <c r="AH106" s="47">
        <f t="shared" si="8"/>
        <v>74.400000000000006</v>
      </c>
      <c r="AI106" s="48">
        <f t="shared" si="9"/>
        <v>-2.9</v>
      </c>
    </row>
    <row r="107" spans="1:35" x14ac:dyDescent="0.25">
      <c r="A107" s="103" t="s">
        <v>115</v>
      </c>
      <c r="B107" s="115">
        <f>-20.5-22</f>
        <v>-42.5</v>
      </c>
      <c r="C107" s="115">
        <f>-24.5-26.4</f>
        <v>-50.9</v>
      </c>
      <c r="D107" s="115">
        <f>-24.5-25.9</f>
        <v>-50.4</v>
      </c>
      <c r="E107" s="115">
        <v>-52</v>
      </c>
      <c r="F107" s="115">
        <v>-54</v>
      </c>
      <c r="G107" s="115">
        <v>-53</v>
      </c>
      <c r="H107" s="115">
        <v>-35</v>
      </c>
      <c r="I107" s="115">
        <v>-23</v>
      </c>
      <c r="J107" s="115">
        <v>-19</v>
      </c>
      <c r="K107" s="115"/>
      <c r="L107" s="115">
        <v>15</v>
      </c>
      <c r="M107" s="115">
        <f>15+13</f>
        <v>28</v>
      </c>
      <c r="N107" s="115">
        <v>12</v>
      </c>
      <c r="O107" s="115">
        <v>12</v>
      </c>
      <c r="P107" s="115">
        <v>-19</v>
      </c>
      <c r="Q107" s="115">
        <v>4.8</v>
      </c>
      <c r="R107" s="115">
        <v>14</v>
      </c>
      <c r="S107" s="115">
        <v>-23.9</v>
      </c>
      <c r="T107" s="115">
        <f>-15.9-0</f>
        <v>-15.9</v>
      </c>
      <c r="U107" s="115">
        <f>-13+2.6</f>
        <v>-10.4</v>
      </c>
      <c r="V107" s="115">
        <f>-8+9</f>
        <v>1</v>
      </c>
      <c r="W107" s="115">
        <f>18+32.9</f>
        <v>50.9</v>
      </c>
      <c r="X107" s="115">
        <v>-1.4</v>
      </c>
      <c r="Y107" s="115">
        <f>6.3+40.1</f>
        <v>46.4</v>
      </c>
      <c r="Z107" s="115">
        <f>6.2+39.4</f>
        <v>45.6</v>
      </c>
      <c r="AA107" s="115">
        <f>10.4+39.7</f>
        <v>50.1</v>
      </c>
      <c r="AB107" s="115">
        <v>67</v>
      </c>
      <c r="AC107" s="115">
        <v>67</v>
      </c>
      <c r="AD107" s="115">
        <v>53</v>
      </c>
      <c r="AE107" s="115">
        <v>-5</v>
      </c>
      <c r="AF107" s="115">
        <v>-39</v>
      </c>
      <c r="AG107" s="114">
        <v>240</v>
      </c>
      <c r="AH107" s="47">
        <f t="shared" si="8"/>
        <v>67</v>
      </c>
      <c r="AI107" s="48">
        <f t="shared" si="9"/>
        <v>-54</v>
      </c>
    </row>
    <row r="108" spans="1:35" x14ac:dyDescent="0.25">
      <c r="A108" s="103" t="s">
        <v>116</v>
      </c>
      <c r="B108" s="115">
        <v>-0.7</v>
      </c>
      <c r="C108" s="115">
        <v>-5.7</v>
      </c>
      <c r="D108" s="115">
        <v>-6.8</v>
      </c>
      <c r="E108" s="115">
        <v>-6</v>
      </c>
      <c r="F108" s="115">
        <v>-9</v>
      </c>
      <c r="G108" s="115">
        <v>-6.2</v>
      </c>
      <c r="H108" s="115">
        <v>-3</v>
      </c>
      <c r="I108" s="115">
        <v>-1.6</v>
      </c>
      <c r="J108" s="115">
        <v>6.2</v>
      </c>
      <c r="K108" s="115"/>
      <c r="L108" s="115">
        <v>38</v>
      </c>
      <c r="M108" s="115">
        <v>41</v>
      </c>
      <c r="N108" s="115">
        <v>40.4</v>
      </c>
      <c r="O108" s="115">
        <v>40.4</v>
      </c>
      <c r="P108" s="115">
        <v>11.7</v>
      </c>
      <c r="Q108" s="115">
        <v>25.9</v>
      </c>
      <c r="R108" s="115">
        <v>30.9</v>
      </c>
      <c r="S108" s="115">
        <v>27.2</v>
      </c>
      <c r="T108" s="115">
        <v>29.1</v>
      </c>
      <c r="U108" s="115">
        <v>32.1</v>
      </c>
      <c r="V108" s="115">
        <v>36.799999999999997</v>
      </c>
      <c r="W108" s="115">
        <v>42.6</v>
      </c>
      <c r="X108" s="115">
        <v>66.099999999999994</v>
      </c>
      <c r="Y108" s="115">
        <v>65.099999999999994</v>
      </c>
      <c r="Z108" s="115">
        <v>66.099999999999994</v>
      </c>
      <c r="AA108" s="115">
        <v>60.7</v>
      </c>
      <c r="AB108" s="115">
        <v>61</v>
      </c>
      <c r="AC108" s="115">
        <v>61</v>
      </c>
      <c r="AD108" s="115">
        <v>47.6</v>
      </c>
      <c r="AE108" s="115">
        <v>11</v>
      </c>
      <c r="AF108" s="115">
        <v>12</v>
      </c>
      <c r="AG108" s="114">
        <v>60</v>
      </c>
      <c r="AH108" s="47">
        <f t="shared" si="8"/>
        <v>66.099999999999994</v>
      </c>
      <c r="AI108" s="48">
        <f t="shared" si="9"/>
        <v>-9</v>
      </c>
    </row>
    <row r="109" spans="1:35" x14ac:dyDescent="0.25">
      <c r="A109" s="116" t="s">
        <v>117</v>
      </c>
      <c r="B109" s="117">
        <v>76.3</v>
      </c>
      <c r="C109" s="117">
        <v>70.599999999999994</v>
      </c>
      <c r="D109" s="117">
        <v>75.8</v>
      </c>
      <c r="E109" s="117">
        <v>68.3</v>
      </c>
      <c r="F109" s="117">
        <v>77.5</v>
      </c>
      <c r="G109" s="117">
        <v>78.099999999999994</v>
      </c>
      <c r="H109" s="117">
        <v>90.2</v>
      </c>
      <c r="I109" s="117">
        <v>100</v>
      </c>
      <c r="J109" s="117">
        <v>104</v>
      </c>
      <c r="K109" s="117"/>
      <c r="L109" s="117">
        <v>120.2</v>
      </c>
      <c r="M109" s="117">
        <v>114</v>
      </c>
      <c r="N109" s="117">
        <v>108.1</v>
      </c>
      <c r="O109" s="117">
        <v>108.1</v>
      </c>
      <c r="P109" s="117">
        <v>122</v>
      </c>
      <c r="Q109" s="117">
        <v>106</v>
      </c>
      <c r="R109" s="117">
        <v>91.3</v>
      </c>
      <c r="S109" s="117">
        <v>106.3</v>
      </c>
      <c r="T109" s="117">
        <v>105.1</v>
      </c>
      <c r="U109" s="117">
        <v>107.6</v>
      </c>
      <c r="V109" s="117">
        <v>76</v>
      </c>
      <c r="W109" s="117">
        <v>69.099999999999994</v>
      </c>
      <c r="X109" s="117">
        <v>106.9</v>
      </c>
      <c r="Y109" s="117">
        <v>117.5</v>
      </c>
      <c r="Z109" s="117">
        <v>113.9</v>
      </c>
      <c r="AA109" s="117">
        <v>109.7</v>
      </c>
      <c r="AB109" s="117">
        <v>104</v>
      </c>
      <c r="AC109" s="117">
        <v>104</v>
      </c>
      <c r="AD109" s="117">
        <v>77.599999999999994</v>
      </c>
      <c r="AE109" s="117">
        <v>98</v>
      </c>
      <c r="AF109" s="117">
        <v>89</v>
      </c>
      <c r="AG109" s="118">
        <v>120</v>
      </c>
      <c r="AH109" s="47">
        <f t="shared" si="8"/>
        <v>122</v>
      </c>
      <c r="AI109" s="48">
        <f t="shared" si="9"/>
        <v>68.3</v>
      </c>
    </row>
    <row r="110" spans="1:35" x14ac:dyDescent="0.25">
      <c r="A110" s="116" t="s">
        <v>118</v>
      </c>
      <c r="B110" s="117">
        <v>75.900000000000006</v>
      </c>
      <c r="C110" s="117">
        <v>70.2</v>
      </c>
      <c r="D110" s="117">
        <v>78</v>
      </c>
      <c r="E110" s="117">
        <v>68</v>
      </c>
      <c r="F110" s="117">
        <v>82</v>
      </c>
      <c r="G110" s="117">
        <v>78.3</v>
      </c>
      <c r="H110" s="117">
        <v>84.5</v>
      </c>
      <c r="I110" s="117">
        <v>92</v>
      </c>
      <c r="J110" s="117">
        <v>96</v>
      </c>
      <c r="K110" s="117"/>
      <c r="L110" s="117">
        <v>53.4</v>
      </c>
      <c r="M110" s="117">
        <v>58.1</v>
      </c>
      <c r="N110" s="117">
        <v>41.8</v>
      </c>
      <c r="O110" s="117">
        <v>41.8</v>
      </c>
      <c r="P110" s="117">
        <v>80.099999999999994</v>
      </c>
      <c r="Q110" s="117">
        <v>89.3</v>
      </c>
      <c r="R110" s="117">
        <v>16</v>
      </c>
      <c r="S110" s="117">
        <v>96.5</v>
      </c>
      <c r="T110" s="117">
        <v>94.5</v>
      </c>
      <c r="U110" s="117">
        <v>90.6</v>
      </c>
      <c r="V110" s="117">
        <v>-1.1000000000000001</v>
      </c>
      <c r="W110" s="117">
        <v>96.1</v>
      </c>
      <c r="X110" s="117">
        <v>83.1</v>
      </c>
      <c r="Y110" s="117">
        <v>87.9</v>
      </c>
      <c r="Z110" s="117"/>
      <c r="AA110" s="117"/>
      <c r="AB110" s="117">
        <v>79.8</v>
      </c>
      <c r="AC110" s="117">
        <v>79.8</v>
      </c>
      <c r="AD110" s="117">
        <v>94</v>
      </c>
      <c r="AE110" s="117">
        <v>83</v>
      </c>
      <c r="AF110" s="117">
        <v>86</v>
      </c>
      <c r="AG110" s="118"/>
      <c r="AH110" s="47">
        <f t="shared" si="8"/>
        <v>96.5</v>
      </c>
      <c r="AI110" s="48">
        <f t="shared" si="9"/>
        <v>-1.1000000000000001</v>
      </c>
    </row>
    <row r="111" spans="1:35" x14ac:dyDescent="0.25">
      <c r="A111" s="116" t="s">
        <v>119</v>
      </c>
      <c r="B111" s="117">
        <v>30.1</v>
      </c>
      <c r="C111" s="117">
        <v>30</v>
      </c>
      <c r="D111" s="117">
        <v>31.3</v>
      </c>
      <c r="E111" s="117">
        <v>30</v>
      </c>
      <c r="F111" s="117">
        <v>29</v>
      </c>
      <c r="G111" s="117">
        <v>29.2</v>
      </c>
      <c r="H111" s="117">
        <v>24.8</v>
      </c>
      <c r="I111" s="117">
        <v>28.3</v>
      </c>
      <c r="J111" s="117">
        <v>14.2</v>
      </c>
      <c r="K111" s="117"/>
      <c r="L111" s="117">
        <v>-6</v>
      </c>
      <c r="M111" s="117">
        <v>4.3</v>
      </c>
      <c r="N111" s="117">
        <v>0.7</v>
      </c>
      <c r="O111" s="117">
        <v>0.7</v>
      </c>
      <c r="P111" s="117">
        <v>-11.4</v>
      </c>
      <c r="Q111" s="117">
        <v>-2.9</v>
      </c>
      <c r="R111" s="117">
        <v>6.6</v>
      </c>
      <c r="S111" s="117">
        <v>11.9</v>
      </c>
      <c r="T111" s="117">
        <v>6.5</v>
      </c>
      <c r="U111" s="117"/>
      <c r="V111" s="117">
        <v>19</v>
      </c>
      <c r="W111" s="117"/>
      <c r="X111" s="117"/>
      <c r="Y111" s="117"/>
      <c r="Z111" s="117"/>
      <c r="AA111" s="117"/>
      <c r="AB111" s="117"/>
      <c r="AC111" s="117"/>
      <c r="AD111" s="117"/>
      <c r="AE111" s="117">
        <v>20</v>
      </c>
      <c r="AF111" s="117"/>
      <c r="AG111" s="119"/>
      <c r="AH111" s="47">
        <f t="shared" si="8"/>
        <v>31.3</v>
      </c>
      <c r="AI111" s="48">
        <f t="shared" si="9"/>
        <v>-11.4</v>
      </c>
    </row>
    <row r="112" spans="1:35" x14ac:dyDescent="0.25">
      <c r="A112" s="120" t="s">
        <v>120</v>
      </c>
      <c r="B112" s="106">
        <v>32.5</v>
      </c>
      <c r="C112" s="106">
        <v>27.5</v>
      </c>
      <c r="D112" s="106">
        <v>33.4</v>
      </c>
      <c r="E112" s="106">
        <v>34.200000000000003</v>
      </c>
      <c r="F112" s="106">
        <v>34</v>
      </c>
      <c r="G112" s="106">
        <v>30.5</v>
      </c>
      <c r="H112" s="106">
        <v>21.4</v>
      </c>
      <c r="I112" s="106">
        <v>11.1</v>
      </c>
      <c r="J112" s="106">
        <v>-6</v>
      </c>
      <c r="K112" s="106"/>
      <c r="L112" s="106">
        <v>-20.6</v>
      </c>
      <c r="M112" s="106">
        <v>-33.700000000000003</v>
      </c>
      <c r="N112" s="106">
        <f>--34.3</f>
        <v>34.299999999999997</v>
      </c>
      <c r="O112" s="106">
        <f>--34.3</f>
        <v>34.299999999999997</v>
      </c>
      <c r="P112" s="106">
        <v>0</v>
      </c>
      <c r="Q112" s="106">
        <v>11.8</v>
      </c>
      <c r="R112" s="106">
        <v>16</v>
      </c>
      <c r="S112" s="106">
        <v>10.1</v>
      </c>
      <c r="T112" s="106">
        <v>12.6</v>
      </c>
      <c r="U112" s="106">
        <v>1.6</v>
      </c>
      <c r="V112" s="106">
        <v>-17.600000000000001</v>
      </c>
      <c r="W112" s="106">
        <v>-37</v>
      </c>
      <c r="X112" s="106">
        <v>99.1</v>
      </c>
      <c r="Y112" s="106">
        <v>-41.4</v>
      </c>
      <c r="Z112" s="106">
        <v>-34</v>
      </c>
      <c r="AA112" s="106">
        <v>-25.3</v>
      </c>
      <c r="AB112" s="106">
        <v>-21.6</v>
      </c>
      <c r="AC112" s="106">
        <v>-21.6</v>
      </c>
      <c r="AD112" s="106">
        <v>-1.2</v>
      </c>
      <c r="AE112" s="106">
        <v>22.3</v>
      </c>
      <c r="AF112" s="106">
        <v>24</v>
      </c>
      <c r="AG112" s="119"/>
      <c r="AH112" s="47">
        <f t="shared" si="8"/>
        <v>99.1</v>
      </c>
      <c r="AI112" s="48">
        <f t="shared" si="9"/>
        <v>-41.4</v>
      </c>
    </row>
    <row r="113" spans="1:37" ht="15.75" thickBot="1" x14ac:dyDescent="0.3">
      <c r="A113" s="120" t="s">
        <v>121</v>
      </c>
      <c r="B113" s="106">
        <v>20.399999999999999</v>
      </c>
      <c r="C113" s="106">
        <v>25.2</v>
      </c>
      <c r="D113" s="106">
        <v>22.7</v>
      </c>
      <c r="E113" s="106">
        <v>25.7</v>
      </c>
      <c r="F113" s="106">
        <v>26.2</v>
      </c>
      <c r="G113" s="106">
        <v>26</v>
      </c>
      <c r="H113" s="106">
        <v>17</v>
      </c>
      <c r="I113" s="106">
        <v>12.4</v>
      </c>
      <c r="J113" s="106">
        <v>13</v>
      </c>
      <c r="K113" s="106"/>
      <c r="L113" s="106">
        <v>0</v>
      </c>
      <c r="M113" s="106">
        <v>-9.6</v>
      </c>
      <c r="N113" s="106">
        <v>3.3</v>
      </c>
      <c r="O113" s="106">
        <v>4.3</v>
      </c>
      <c r="P113" s="106">
        <v>22.4</v>
      </c>
      <c r="Q113" s="106">
        <v>1.8</v>
      </c>
      <c r="R113" s="106">
        <v>6.7</v>
      </c>
      <c r="S113" s="106">
        <v>16.2</v>
      </c>
      <c r="T113" s="106">
        <v>14.4</v>
      </c>
      <c r="U113" s="106">
        <v>10.4</v>
      </c>
      <c r="V113" s="106">
        <v>2.9</v>
      </c>
      <c r="W113" s="106">
        <v>-35.799999999999997</v>
      </c>
      <c r="X113" s="106">
        <v>-40</v>
      </c>
      <c r="Y113" s="106">
        <v>-32.1</v>
      </c>
      <c r="Z113" s="106">
        <v>-32.5</v>
      </c>
      <c r="AA113" s="106">
        <v>32.6</v>
      </c>
      <c r="AB113" s="106">
        <v>-26.4</v>
      </c>
      <c r="AC113" s="106">
        <v>-26.4</v>
      </c>
      <c r="AD113" s="106">
        <v>-14.3</v>
      </c>
      <c r="AE113" s="106">
        <v>5.6</v>
      </c>
      <c r="AF113" s="106">
        <v>11</v>
      </c>
      <c r="AG113" s="119"/>
      <c r="AH113" s="47">
        <f t="shared" si="8"/>
        <v>32.6</v>
      </c>
      <c r="AI113" s="48">
        <f t="shared" si="9"/>
        <v>-40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6">SUM(B115:B219)</f>
        <v>0</v>
      </c>
      <c r="C220" s="136">
        <f t="shared" si="16"/>
        <v>0</v>
      </c>
      <c r="D220" s="136">
        <f t="shared" si="16"/>
        <v>0</v>
      </c>
      <c r="E220" s="136">
        <f t="shared" si="16"/>
        <v>0</v>
      </c>
      <c r="F220" s="136">
        <f t="shared" si="16"/>
        <v>0</v>
      </c>
      <c r="G220" s="136">
        <f t="shared" si="16"/>
        <v>0</v>
      </c>
      <c r="H220" s="136">
        <f t="shared" si="16"/>
        <v>0</v>
      </c>
      <c r="I220" s="136">
        <f t="shared" si="16"/>
        <v>0</v>
      </c>
      <c r="J220" s="136">
        <f t="shared" si="16"/>
        <v>0</v>
      </c>
      <c r="K220" s="136">
        <f t="shared" si="16"/>
        <v>0</v>
      </c>
      <c r="L220" s="136">
        <f t="shared" si="16"/>
        <v>0</v>
      </c>
      <c r="M220" s="136">
        <f t="shared" si="16"/>
        <v>0</v>
      </c>
      <c r="N220" s="136">
        <f t="shared" si="16"/>
        <v>0</v>
      </c>
      <c r="O220" s="136">
        <f t="shared" si="16"/>
        <v>0</v>
      </c>
      <c r="P220" s="136">
        <f t="shared" si="16"/>
        <v>0</v>
      </c>
      <c r="Q220" s="136">
        <f t="shared" si="16"/>
        <v>0</v>
      </c>
      <c r="R220" s="136">
        <f t="shared" si="16"/>
        <v>0</v>
      </c>
      <c r="S220" s="136">
        <f t="shared" si="16"/>
        <v>0</v>
      </c>
      <c r="T220" s="136">
        <f t="shared" si="16"/>
        <v>0</v>
      </c>
      <c r="U220" s="136">
        <f t="shared" si="16"/>
        <v>0</v>
      </c>
      <c r="V220" s="136">
        <f t="shared" si="16"/>
        <v>0</v>
      </c>
      <c r="W220" s="136">
        <f t="shared" si="16"/>
        <v>0</v>
      </c>
      <c r="X220" s="136">
        <f t="shared" si="16"/>
        <v>0</v>
      </c>
      <c r="Y220" s="136">
        <f t="shared" si="16"/>
        <v>0</v>
      </c>
      <c r="Z220" s="136">
        <f t="shared" si="16"/>
        <v>0</v>
      </c>
      <c r="AA220" s="136">
        <f t="shared" si="16"/>
        <v>0</v>
      </c>
      <c r="AB220" s="136">
        <f t="shared" si="16"/>
        <v>0</v>
      </c>
      <c r="AC220" s="136">
        <f t="shared" si="16"/>
        <v>0</v>
      </c>
      <c r="AD220" s="136">
        <f t="shared" si="16"/>
        <v>0</v>
      </c>
      <c r="AE220" s="136">
        <f t="shared" si="16"/>
        <v>0</v>
      </c>
      <c r="AF220" s="137">
        <f t="shared" si="16"/>
        <v>0</v>
      </c>
      <c r="AG220" s="138">
        <f t="shared" si="16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7">AF222</f>
        <v>0</v>
      </c>
      <c r="C222" s="140">
        <v>0.3</v>
      </c>
      <c r="D222" s="140">
        <f t="shared" ref="D222:P227" si="18">C222</f>
        <v>0.3</v>
      </c>
      <c r="E222" s="140">
        <f t="shared" si="18"/>
        <v>0.3</v>
      </c>
      <c r="F222" s="140">
        <f t="shared" si="18"/>
        <v>0.3</v>
      </c>
      <c r="G222" s="140">
        <f t="shared" si="18"/>
        <v>0.3</v>
      </c>
      <c r="H222" s="140">
        <f t="shared" si="18"/>
        <v>0.3</v>
      </c>
      <c r="I222" s="140">
        <f t="shared" si="18"/>
        <v>0.3</v>
      </c>
      <c r="J222" s="140">
        <f t="shared" si="18"/>
        <v>0.3</v>
      </c>
      <c r="K222" s="140">
        <f t="shared" si="18"/>
        <v>0.3</v>
      </c>
      <c r="L222" s="140">
        <f t="shared" si="18"/>
        <v>0.3</v>
      </c>
      <c r="M222" s="140">
        <f t="shared" si="18"/>
        <v>0.3</v>
      </c>
      <c r="N222" s="140">
        <f t="shared" si="18"/>
        <v>0.3</v>
      </c>
      <c r="O222" s="140">
        <f t="shared" si="18"/>
        <v>0.3</v>
      </c>
      <c r="P222" s="140">
        <f t="shared" si="18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7"/>
        <v>0</v>
      </c>
      <c r="C223" s="128">
        <v>0.4</v>
      </c>
      <c r="D223" s="128">
        <f t="shared" si="18"/>
        <v>0.4</v>
      </c>
      <c r="E223" s="128">
        <f t="shared" si="18"/>
        <v>0.4</v>
      </c>
      <c r="F223" s="128">
        <f t="shared" si="18"/>
        <v>0.4</v>
      </c>
      <c r="G223" s="128">
        <f t="shared" si="18"/>
        <v>0.4</v>
      </c>
      <c r="H223" s="128">
        <f t="shared" si="18"/>
        <v>0.4</v>
      </c>
      <c r="I223" s="128">
        <f t="shared" si="18"/>
        <v>0.4</v>
      </c>
      <c r="J223" s="128">
        <f t="shared" si="18"/>
        <v>0.4</v>
      </c>
      <c r="K223" s="128">
        <f t="shared" si="18"/>
        <v>0.4</v>
      </c>
      <c r="L223" s="128">
        <f t="shared" si="18"/>
        <v>0.4</v>
      </c>
      <c r="M223" s="128">
        <f t="shared" si="18"/>
        <v>0.4</v>
      </c>
      <c r="N223" s="128">
        <f t="shared" si="18"/>
        <v>0.4</v>
      </c>
      <c r="O223" s="128">
        <f t="shared" si="18"/>
        <v>0.4</v>
      </c>
      <c r="P223" s="128">
        <f t="shared" si="18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7"/>
        <v>0</v>
      </c>
      <c r="C224" s="128">
        <v>1.5</v>
      </c>
      <c r="D224" s="128">
        <f t="shared" si="18"/>
        <v>1.5</v>
      </c>
      <c r="E224" s="128">
        <f t="shared" si="18"/>
        <v>1.5</v>
      </c>
      <c r="F224" s="128">
        <f t="shared" si="18"/>
        <v>1.5</v>
      </c>
      <c r="G224" s="128">
        <f t="shared" si="18"/>
        <v>1.5</v>
      </c>
      <c r="H224" s="128">
        <f t="shared" si="18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18"/>
        <v>1.5</v>
      </c>
      <c r="K224" s="128">
        <f t="shared" ca="1" si="18"/>
        <v>1.5</v>
      </c>
      <c r="L224" s="128">
        <f t="shared" ca="1" si="18"/>
        <v>1.5</v>
      </c>
      <c r="M224" s="128">
        <f t="shared" ca="1" si="18"/>
        <v>1.5</v>
      </c>
      <c r="N224" s="128">
        <f t="shared" ca="1" si="18"/>
        <v>1.5</v>
      </c>
      <c r="O224" s="128">
        <f t="shared" ca="1" si="18"/>
        <v>1.5</v>
      </c>
      <c r="P224" s="128">
        <f t="shared" ca="1" si="18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7"/>
        <v>0</v>
      </c>
      <c r="C225" s="128">
        <v>0.3</v>
      </c>
      <c r="D225" s="128">
        <f t="shared" si="18"/>
        <v>0.3</v>
      </c>
      <c r="E225" s="128">
        <f t="shared" si="18"/>
        <v>0.3</v>
      </c>
      <c r="F225" s="128">
        <f t="shared" si="18"/>
        <v>0.3</v>
      </c>
      <c r="G225" s="128">
        <f t="shared" si="18"/>
        <v>0.3</v>
      </c>
      <c r="H225" s="128">
        <f t="shared" si="18"/>
        <v>0.3</v>
      </c>
      <c r="I225" s="128">
        <f t="shared" si="18"/>
        <v>0.3</v>
      </c>
      <c r="J225" s="128">
        <f t="shared" si="18"/>
        <v>0.3</v>
      </c>
      <c r="K225" s="128">
        <f t="shared" si="18"/>
        <v>0.3</v>
      </c>
      <c r="L225" s="128">
        <f t="shared" si="18"/>
        <v>0.3</v>
      </c>
      <c r="M225" s="128">
        <f t="shared" si="18"/>
        <v>0.3</v>
      </c>
      <c r="N225" s="128">
        <f t="shared" si="18"/>
        <v>0.3</v>
      </c>
      <c r="O225" s="128">
        <f t="shared" si="18"/>
        <v>0.3</v>
      </c>
      <c r="P225" s="128">
        <f t="shared" si="18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7"/>
        <v>0</v>
      </c>
      <c r="C226" s="128">
        <v>0.4</v>
      </c>
      <c r="D226" s="128">
        <f t="shared" si="18"/>
        <v>0.4</v>
      </c>
      <c r="E226" s="128">
        <f t="shared" si="18"/>
        <v>0.4</v>
      </c>
      <c r="F226" s="128">
        <f t="shared" si="18"/>
        <v>0.4</v>
      </c>
      <c r="G226" s="128">
        <f t="shared" si="18"/>
        <v>0.4</v>
      </c>
      <c r="H226" s="128">
        <f t="shared" si="18"/>
        <v>0.4</v>
      </c>
      <c r="I226" s="128">
        <f t="shared" si="18"/>
        <v>0.4</v>
      </c>
      <c r="J226" s="128">
        <f t="shared" si="18"/>
        <v>0.4</v>
      </c>
      <c r="K226" s="128">
        <f t="shared" si="18"/>
        <v>0.4</v>
      </c>
      <c r="L226" s="128">
        <f t="shared" si="18"/>
        <v>0.4</v>
      </c>
      <c r="M226" s="128">
        <f t="shared" si="18"/>
        <v>0.4</v>
      </c>
      <c r="N226" s="128">
        <f t="shared" si="18"/>
        <v>0.4</v>
      </c>
      <c r="O226" s="128">
        <f t="shared" si="18"/>
        <v>0.4</v>
      </c>
      <c r="P226" s="128">
        <f t="shared" si="18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7"/>
        <v>0</v>
      </c>
      <c r="C227" s="132">
        <v>0.64</v>
      </c>
      <c r="D227" s="132">
        <f t="shared" si="18"/>
        <v>0.64</v>
      </c>
      <c r="E227" s="132">
        <f t="shared" si="18"/>
        <v>0.64</v>
      </c>
      <c r="F227" s="132">
        <f t="shared" si="18"/>
        <v>0.64</v>
      </c>
      <c r="G227" s="132">
        <f t="shared" si="18"/>
        <v>0.64</v>
      </c>
      <c r="H227" s="132">
        <f t="shared" si="18"/>
        <v>0.64</v>
      </c>
      <c r="I227" s="132">
        <f t="shared" si="18"/>
        <v>0.64</v>
      </c>
      <c r="J227" s="132">
        <f t="shared" si="18"/>
        <v>0.64</v>
      </c>
      <c r="K227" s="132">
        <f t="shared" si="18"/>
        <v>0.64</v>
      </c>
      <c r="L227" s="132">
        <f t="shared" si="18"/>
        <v>0.64</v>
      </c>
      <c r="M227" s="132">
        <f t="shared" si="18"/>
        <v>0.64</v>
      </c>
      <c r="N227" s="132">
        <f t="shared" si="18"/>
        <v>0.64</v>
      </c>
      <c r="O227" s="132">
        <f t="shared" si="18"/>
        <v>0.64</v>
      </c>
      <c r="P227" s="132">
        <f t="shared" si="18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19">SUM(B222:B227)</f>
        <v>0</v>
      </c>
      <c r="C228" s="136">
        <f t="shared" si="19"/>
        <v>3.54</v>
      </c>
      <c r="D228" s="136">
        <f t="shared" si="19"/>
        <v>3.54</v>
      </c>
      <c r="E228" s="136">
        <f t="shared" si="19"/>
        <v>3.54</v>
      </c>
      <c r="F228" s="136">
        <f t="shared" si="19"/>
        <v>3.54</v>
      </c>
      <c r="G228" s="136">
        <f t="shared" si="19"/>
        <v>3.54</v>
      </c>
      <c r="H228" s="136">
        <f t="shared" si="19"/>
        <v>3.54</v>
      </c>
      <c r="I228" s="136">
        <f t="shared" ca="1" si="19"/>
        <v>3.54</v>
      </c>
      <c r="J228" s="136">
        <f t="shared" ca="1" si="19"/>
        <v>3.54</v>
      </c>
      <c r="K228" s="136">
        <f t="shared" ca="1" si="19"/>
        <v>3.54</v>
      </c>
      <c r="L228" s="136">
        <f t="shared" ca="1" si="19"/>
        <v>3.54</v>
      </c>
      <c r="M228" s="136">
        <f t="shared" ca="1" si="19"/>
        <v>3.54</v>
      </c>
      <c r="N228" s="136">
        <f t="shared" ca="1" si="19"/>
        <v>3.54</v>
      </c>
      <c r="O228" s="136">
        <f t="shared" ca="1" si="19"/>
        <v>3.54</v>
      </c>
      <c r="P228" s="136">
        <f t="shared" ca="1" si="19"/>
        <v>3.54</v>
      </c>
      <c r="Q228" s="136">
        <f t="shared" si="19"/>
        <v>0</v>
      </c>
      <c r="R228" s="136">
        <f t="shared" si="19"/>
        <v>0</v>
      </c>
      <c r="S228" s="136">
        <f t="shared" si="19"/>
        <v>0</v>
      </c>
      <c r="T228" s="136">
        <f t="shared" si="19"/>
        <v>0</v>
      </c>
      <c r="U228" s="136">
        <f t="shared" si="19"/>
        <v>0</v>
      </c>
      <c r="V228" s="136">
        <f t="shared" si="19"/>
        <v>0</v>
      </c>
      <c r="W228" s="136">
        <f t="shared" si="19"/>
        <v>0</v>
      </c>
      <c r="X228" s="136">
        <f t="shared" si="19"/>
        <v>0</v>
      </c>
      <c r="Y228" s="136">
        <f t="shared" si="19"/>
        <v>0</v>
      </c>
      <c r="Z228" s="136">
        <f t="shared" si="19"/>
        <v>0</v>
      </c>
      <c r="AA228" s="136">
        <f t="shared" si="19"/>
        <v>0</v>
      </c>
      <c r="AB228" s="136">
        <f t="shared" si="19"/>
        <v>0</v>
      </c>
      <c r="AC228" s="136">
        <f t="shared" si="19"/>
        <v>0</v>
      </c>
      <c r="AD228" s="136">
        <f t="shared" si="19"/>
        <v>0</v>
      </c>
      <c r="AE228" s="136">
        <f t="shared" si="19"/>
        <v>0</v>
      </c>
      <c r="AF228" s="136">
        <f t="shared" si="19"/>
        <v>0</v>
      </c>
      <c r="AG228" s="145">
        <f t="shared" si="19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1634.44</v>
      </c>
      <c r="C237" s="161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3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str">
        <f ca="1">"Pie Chart of Daily Peak Demand(Inclusive of Export) of Nepal ("&amp;A4&amp;" "&amp;B4&amp;")"</f>
        <v>Pie Chart of Daily Peak Demand(Inclusive of Export) of Nepal (Nepali Date: 2079/09/3)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2079/09/3)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0">B85</f>
        <v>1089.3399999999999</v>
      </c>
      <c r="U242" s="170">
        <f t="shared" si="20"/>
        <v>1038.54</v>
      </c>
      <c r="V242" s="170">
        <f t="shared" si="20"/>
        <v>1073.6399999999999</v>
      </c>
      <c r="W242" s="170">
        <f t="shared" si="20"/>
        <v>1027.7399999999998</v>
      </c>
      <c r="X242" s="170">
        <f t="shared" si="20"/>
        <v>1049.24</v>
      </c>
      <c r="Y242" s="170">
        <f t="shared" si="20"/>
        <v>1101.44</v>
      </c>
      <c r="Z242" s="170">
        <f t="shared" si="20"/>
        <v>1148.94</v>
      </c>
      <c r="AA242" s="170">
        <f t="shared" si="20"/>
        <v>1206.04</v>
      </c>
      <c r="AB242" s="170">
        <f t="shared" si="20"/>
        <v>1324.1399999999999</v>
      </c>
      <c r="AC242" s="170">
        <f t="shared" si="20"/>
        <v>1344.94</v>
      </c>
      <c r="AD242" s="170">
        <f t="shared" si="20"/>
        <v>1436.74</v>
      </c>
      <c r="AE242" s="170">
        <f t="shared" si="20"/>
        <v>1634.44</v>
      </c>
      <c r="AF242" s="170">
        <f t="shared" si="20"/>
        <v>1593.04</v>
      </c>
      <c r="AG242" s="170">
        <f t="shared" si="20"/>
        <v>1455.74</v>
      </c>
      <c r="AH242" s="170">
        <f t="shared" si="20"/>
        <v>1425.2399999999998</v>
      </c>
      <c r="AI242" s="170">
        <f t="shared" si="20"/>
        <v>1407.6399999999999</v>
      </c>
      <c r="AJ242" s="170">
        <f t="shared" si="20"/>
        <v>1345.2399999999998</v>
      </c>
      <c r="AK242" s="170">
        <f t="shared" si="20"/>
        <v>1384.44</v>
      </c>
      <c r="AL242" s="170">
        <f t="shared" si="20"/>
        <v>1386.8399999999997</v>
      </c>
      <c r="AM242" s="170">
        <f t="shared" si="20"/>
        <v>1325.7399999999998</v>
      </c>
      <c r="AN242" s="170">
        <f t="shared" si="20"/>
        <v>1302.3399999999999</v>
      </c>
      <c r="AO242" s="170">
        <f t="shared" si="20"/>
        <v>1341.7400000000002</v>
      </c>
      <c r="AP242" s="170">
        <f t="shared" si="20"/>
        <v>1784.8400000000001</v>
      </c>
      <c r="AQ242" s="170">
        <f t="shared" si="20"/>
        <v>1679.8400000000001</v>
      </c>
      <c r="AR242" s="170">
        <f t="shared" si="20"/>
        <v>1703.94</v>
      </c>
      <c r="AS242" s="170">
        <f t="shared" si="20"/>
        <v>1670.84</v>
      </c>
      <c r="AT242" s="170">
        <f t="shared" si="20"/>
        <v>1649.24</v>
      </c>
      <c r="AU242" s="170">
        <f t="shared" si="20"/>
        <v>1533.04</v>
      </c>
      <c r="AV242" s="170">
        <f t="shared" si="20"/>
        <v>1446.7399999999998</v>
      </c>
      <c r="AW242" s="170">
        <f t="shared" si="20"/>
        <v>1240.4399999999998</v>
      </c>
      <c r="AX242" s="170">
        <f t="shared" si="20"/>
        <v>1144.7399999999998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1">C227</f>
        <v>0.64</v>
      </c>
      <c r="C263" s="173">
        <f t="shared" si="21"/>
        <v>0.64</v>
      </c>
      <c r="D263" s="173">
        <f t="shared" si="21"/>
        <v>0.64</v>
      </c>
      <c r="E263" s="173">
        <f t="shared" si="21"/>
        <v>0.64</v>
      </c>
      <c r="F263" s="173">
        <f t="shared" si="21"/>
        <v>0.64</v>
      </c>
      <c r="G263" s="173">
        <f t="shared" si="21"/>
        <v>0.64</v>
      </c>
      <c r="H263" s="173">
        <f t="shared" si="21"/>
        <v>0.64</v>
      </c>
      <c r="I263" s="173">
        <f t="shared" si="21"/>
        <v>0.64</v>
      </c>
      <c r="J263" s="173">
        <f t="shared" si="21"/>
        <v>0.64</v>
      </c>
      <c r="K263" s="173">
        <f t="shared" si="21"/>
        <v>0.64</v>
      </c>
      <c r="L263" s="173">
        <f t="shared" si="21"/>
        <v>0.64</v>
      </c>
      <c r="M263" s="173">
        <f t="shared" si="21"/>
        <v>0.64</v>
      </c>
      <c r="N263" s="173">
        <f t="shared" si="21"/>
        <v>0.64</v>
      </c>
      <c r="O263" s="173">
        <f t="shared" si="21"/>
        <v>0.64</v>
      </c>
      <c r="P263" s="173">
        <f t="shared" si="21"/>
        <v>0</v>
      </c>
      <c r="Q263" s="173">
        <f t="shared" si="21"/>
        <v>0</v>
      </c>
      <c r="R263" s="173">
        <f t="shared" si="21"/>
        <v>0</v>
      </c>
      <c r="S263" s="173">
        <f t="shared" si="21"/>
        <v>0</v>
      </c>
      <c r="T263" s="173">
        <f t="shared" si="21"/>
        <v>0</v>
      </c>
      <c r="U263" s="173">
        <f t="shared" si="21"/>
        <v>0</v>
      </c>
      <c r="V263" s="173">
        <f t="shared" si="21"/>
        <v>0</v>
      </c>
      <c r="W263" s="173">
        <f t="shared" si="21"/>
        <v>0</v>
      </c>
      <c r="X263" s="173">
        <f t="shared" si="21"/>
        <v>0</v>
      </c>
      <c r="Y263" s="173">
        <f t="shared" si="21"/>
        <v>0</v>
      </c>
      <c r="Z263" s="173">
        <f t="shared" si="21"/>
        <v>0</v>
      </c>
      <c r="AA263" s="173">
        <f t="shared" si="21"/>
        <v>0</v>
      </c>
      <c r="AB263" s="173">
        <f t="shared" si="21"/>
        <v>0</v>
      </c>
      <c r="AC263" s="173">
        <f t="shared" si="21"/>
        <v>0</v>
      </c>
      <c r="AD263" s="173">
        <f t="shared" si="21"/>
        <v>0</v>
      </c>
      <c r="AE263" s="173">
        <f t="shared" si="21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2">IF(B231&lt;100,"",B231-520)</f>
        <v/>
      </c>
      <c r="C264" s="174" t="str">
        <f t="shared" si="22"/>
        <v/>
      </c>
      <c r="D264" s="174" t="str">
        <f t="shared" si="22"/>
        <v/>
      </c>
      <c r="E264" s="174" t="str">
        <f t="shared" si="22"/>
        <v/>
      </c>
      <c r="F264" s="174" t="str">
        <f t="shared" si="22"/>
        <v/>
      </c>
      <c r="G264" s="174" t="str">
        <f t="shared" si="22"/>
        <v/>
      </c>
      <c r="H264" s="174" t="str">
        <f t="shared" si="22"/>
        <v/>
      </c>
      <c r="I264" s="174" t="str">
        <f t="shared" si="22"/>
        <v/>
      </c>
      <c r="J264" s="174" t="str">
        <f t="shared" si="22"/>
        <v/>
      </c>
      <c r="K264" s="174" t="str">
        <f t="shared" si="22"/>
        <v/>
      </c>
      <c r="L264" s="174" t="str">
        <f t="shared" si="22"/>
        <v/>
      </c>
      <c r="M264" s="174" t="str">
        <f t="shared" si="22"/>
        <v/>
      </c>
      <c r="N264" s="174" t="str">
        <f t="shared" si="22"/>
        <v/>
      </c>
      <c r="O264" s="174" t="str">
        <f t="shared" si="22"/>
        <v/>
      </c>
      <c r="P264" s="174" t="str">
        <f t="shared" si="22"/>
        <v/>
      </c>
      <c r="Q264" s="174" t="str">
        <f t="shared" si="22"/>
        <v/>
      </c>
      <c r="R264" s="174" t="str">
        <f t="shared" si="22"/>
        <v/>
      </c>
      <c r="S264" s="174" t="str">
        <f t="shared" si="22"/>
        <v/>
      </c>
      <c r="T264" s="174" t="str">
        <f t="shared" si="22"/>
        <v/>
      </c>
      <c r="U264" s="174" t="str">
        <f t="shared" si="22"/>
        <v/>
      </c>
      <c r="V264" s="174" t="str">
        <f t="shared" si="22"/>
        <v/>
      </c>
      <c r="W264" s="174" t="str">
        <f t="shared" si="22"/>
        <v/>
      </c>
      <c r="X264" s="174" t="str">
        <f t="shared" si="22"/>
        <v/>
      </c>
      <c r="Y264" s="174" t="str">
        <f t="shared" si="22"/>
        <v/>
      </c>
      <c r="Z264" s="174" t="str">
        <f t="shared" si="22"/>
        <v/>
      </c>
      <c r="AA264" s="174" t="str">
        <f t="shared" si="22"/>
        <v/>
      </c>
      <c r="AB264" s="174" t="str">
        <f t="shared" si="22"/>
        <v/>
      </c>
      <c r="AC264" s="174" t="str">
        <f t="shared" si="22"/>
        <v/>
      </c>
      <c r="AD264" s="174" t="str">
        <f t="shared" si="22"/>
        <v/>
      </c>
      <c r="AE264" s="174" t="str">
        <f t="shared" si="22"/>
        <v/>
      </c>
      <c r="AF264" s="174" t="str">
        <f t="shared" si="22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3">IF(B232&lt;100,"",B232-620)</f>
        <v/>
      </c>
      <c r="C265" s="174" t="str">
        <f t="shared" si="23"/>
        <v/>
      </c>
      <c r="D265" s="174" t="str">
        <f t="shared" si="23"/>
        <v/>
      </c>
      <c r="E265" s="174" t="str">
        <f t="shared" si="23"/>
        <v/>
      </c>
      <c r="F265" s="174" t="str">
        <f t="shared" si="23"/>
        <v/>
      </c>
      <c r="G265" s="174" t="str">
        <f t="shared" si="23"/>
        <v/>
      </c>
      <c r="H265" s="174" t="str">
        <f t="shared" si="23"/>
        <v/>
      </c>
      <c r="I265" s="174" t="str">
        <f t="shared" si="23"/>
        <v/>
      </c>
      <c r="J265" s="174" t="str">
        <f t="shared" si="23"/>
        <v/>
      </c>
      <c r="K265" s="174" t="str">
        <f t="shared" si="23"/>
        <v/>
      </c>
      <c r="L265" s="174" t="str">
        <f t="shared" si="23"/>
        <v/>
      </c>
      <c r="M265" s="174" t="str">
        <f t="shared" si="23"/>
        <v/>
      </c>
      <c r="N265" s="174" t="str">
        <f t="shared" si="23"/>
        <v/>
      </c>
      <c r="O265" s="174" t="str">
        <f t="shared" si="23"/>
        <v/>
      </c>
      <c r="P265" s="174" t="str">
        <f t="shared" si="23"/>
        <v/>
      </c>
      <c r="Q265" s="174" t="str">
        <f t="shared" si="23"/>
        <v/>
      </c>
      <c r="R265" s="174" t="str">
        <f t="shared" si="23"/>
        <v/>
      </c>
      <c r="S265" s="174" t="str">
        <f t="shared" si="23"/>
        <v/>
      </c>
      <c r="T265" s="174" t="str">
        <f t="shared" si="23"/>
        <v/>
      </c>
      <c r="U265" s="174" t="str">
        <f t="shared" si="23"/>
        <v/>
      </c>
      <c r="V265" s="174" t="str">
        <f t="shared" si="23"/>
        <v/>
      </c>
      <c r="W265" s="174" t="str">
        <f t="shared" si="23"/>
        <v/>
      </c>
      <c r="X265" s="174" t="str">
        <f t="shared" si="23"/>
        <v/>
      </c>
      <c r="Y265" s="174" t="str">
        <f t="shared" si="23"/>
        <v/>
      </c>
      <c r="Z265" s="174" t="str">
        <f t="shared" si="23"/>
        <v/>
      </c>
      <c r="AA265" s="174" t="str">
        <f t="shared" si="23"/>
        <v/>
      </c>
      <c r="AB265" s="174" t="str">
        <f t="shared" si="23"/>
        <v/>
      </c>
      <c r="AC265" s="174" t="str">
        <f t="shared" si="23"/>
        <v/>
      </c>
      <c r="AD265" s="174" t="str">
        <f t="shared" si="23"/>
        <v/>
      </c>
      <c r="AE265" s="174" t="str">
        <f t="shared" si="23"/>
        <v/>
      </c>
      <c r="AF265" s="174" t="str">
        <f t="shared" si="23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4">IF(B233&lt;100,"",B233-330)</f>
        <v/>
      </c>
      <c r="C266" s="174" t="str">
        <f t="shared" si="24"/>
        <v/>
      </c>
      <c r="D266" s="174" t="str">
        <f t="shared" si="24"/>
        <v/>
      </c>
      <c r="E266" s="174" t="str">
        <f t="shared" si="24"/>
        <v/>
      </c>
      <c r="F266" s="174" t="str">
        <f t="shared" si="24"/>
        <v/>
      </c>
      <c r="G266" s="174" t="str">
        <f t="shared" si="24"/>
        <v/>
      </c>
      <c r="H266" s="174" t="str">
        <f t="shared" si="24"/>
        <v/>
      </c>
      <c r="I266" s="174" t="str">
        <f t="shared" si="24"/>
        <v/>
      </c>
      <c r="J266" s="174" t="str">
        <f t="shared" si="24"/>
        <v/>
      </c>
      <c r="K266" s="174" t="str">
        <f t="shared" si="24"/>
        <v/>
      </c>
      <c r="L266" s="174" t="str">
        <f t="shared" si="24"/>
        <v/>
      </c>
      <c r="M266" s="174" t="str">
        <f t="shared" si="24"/>
        <v/>
      </c>
      <c r="N266" s="174" t="str">
        <f t="shared" si="24"/>
        <v/>
      </c>
      <c r="O266" s="174" t="str">
        <f t="shared" si="24"/>
        <v/>
      </c>
      <c r="P266" s="174" t="str">
        <f t="shared" si="24"/>
        <v/>
      </c>
      <c r="Q266" s="174" t="str">
        <f t="shared" si="24"/>
        <v/>
      </c>
      <c r="R266" s="174" t="str">
        <f t="shared" si="24"/>
        <v/>
      </c>
      <c r="S266" s="174" t="str">
        <f t="shared" si="24"/>
        <v/>
      </c>
      <c r="T266" s="174" t="str">
        <f t="shared" si="24"/>
        <v/>
      </c>
      <c r="U266" s="174" t="str">
        <f t="shared" si="24"/>
        <v/>
      </c>
      <c r="V266" s="174" t="str">
        <f t="shared" si="24"/>
        <v/>
      </c>
      <c r="W266" s="174" t="str">
        <f t="shared" si="24"/>
        <v/>
      </c>
      <c r="X266" s="174" t="str">
        <f t="shared" si="24"/>
        <v/>
      </c>
      <c r="Y266" s="174" t="str">
        <f t="shared" si="24"/>
        <v/>
      </c>
      <c r="Z266" s="174" t="str">
        <f t="shared" si="24"/>
        <v/>
      </c>
      <c r="AA266" s="174" t="str">
        <f t="shared" si="24"/>
        <v/>
      </c>
      <c r="AB266" s="174" t="str">
        <f t="shared" si="24"/>
        <v/>
      </c>
      <c r="AC266" s="174" t="str">
        <f t="shared" si="24"/>
        <v/>
      </c>
      <c r="AD266" s="174" t="str">
        <f t="shared" si="24"/>
        <v/>
      </c>
      <c r="AE266" s="174" t="str">
        <f t="shared" si="24"/>
        <v/>
      </c>
      <c r="AF266" s="174" t="str">
        <f t="shared" si="24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5">IF(B234&lt;100,"",B234-1500)</f>
        <v/>
      </c>
      <c r="C267" s="174" t="str">
        <f t="shared" si="25"/>
        <v/>
      </c>
      <c r="D267" s="174" t="str">
        <f t="shared" si="25"/>
        <v/>
      </c>
      <c r="E267" s="174" t="str">
        <f t="shared" si="25"/>
        <v/>
      </c>
      <c r="F267" s="174" t="str">
        <f t="shared" si="25"/>
        <v/>
      </c>
      <c r="G267" s="174" t="str">
        <f t="shared" si="25"/>
        <v/>
      </c>
      <c r="H267" s="174" t="str">
        <f t="shared" si="25"/>
        <v/>
      </c>
      <c r="I267" s="174" t="str">
        <f t="shared" si="25"/>
        <v/>
      </c>
      <c r="J267" s="174" t="str">
        <f t="shared" si="25"/>
        <v/>
      </c>
      <c r="K267" s="174" t="str">
        <f t="shared" si="25"/>
        <v/>
      </c>
      <c r="L267" s="174" t="str">
        <f t="shared" si="25"/>
        <v/>
      </c>
      <c r="M267" s="174" t="str">
        <f t="shared" si="25"/>
        <v/>
      </c>
      <c r="N267" s="174" t="str">
        <f t="shared" si="25"/>
        <v/>
      </c>
      <c r="O267" s="174" t="str">
        <f t="shared" si="25"/>
        <v/>
      </c>
      <c r="P267" s="174" t="str">
        <f t="shared" si="25"/>
        <v/>
      </c>
      <c r="Q267" s="174" t="str">
        <f t="shared" si="25"/>
        <v/>
      </c>
      <c r="R267" s="174" t="str">
        <f t="shared" si="25"/>
        <v/>
      </c>
      <c r="S267" s="174" t="str">
        <f t="shared" si="25"/>
        <v/>
      </c>
      <c r="T267" s="174" t="str">
        <f t="shared" si="25"/>
        <v/>
      </c>
      <c r="U267" s="174" t="str">
        <f t="shared" si="25"/>
        <v/>
      </c>
      <c r="V267" s="174" t="str">
        <f t="shared" si="25"/>
        <v/>
      </c>
      <c r="W267" s="174" t="str">
        <f t="shared" si="25"/>
        <v/>
      </c>
      <c r="X267" s="174" t="str">
        <f t="shared" si="25"/>
        <v/>
      </c>
      <c r="Y267" s="174" t="str">
        <f t="shared" si="25"/>
        <v/>
      </c>
      <c r="Z267" s="174" t="str">
        <f t="shared" si="25"/>
        <v/>
      </c>
      <c r="AA267" s="174" t="str">
        <f t="shared" si="25"/>
        <v/>
      </c>
      <c r="AB267" s="174" t="str">
        <f t="shared" si="25"/>
        <v/>
      </c>
      <c r="AC267" s="174" t="str">
        <f t="shared" si="25"/>
        <v/>
      </c>
      <c r="AD267" s="174" t="str">
        <f t="shared" si="25"/>
        <v/>
      </c>
      <c r="AE267" s="174" t="str">
        <f t="shared" si="25"/>
        <v/>
      </c>
      <c r="AF267" s="174" t="str">
        <f t="shared" si="25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29">
    <cfRule type="expression" dxfId="853" priority="209">
      <formula>$AH11=0</formula>
    </cfRule>
  </conditionalFormatting>
  <conditionalFormatting sqref="B8 M8 S8 AB8">
    <cfRule type="expression" dxfId="852" priority="332">
      <formula>C$9&lt;8/24</formula>
    </cfRule>
    <cfRule type="expression" dxfId="851" priority="331">
      <formula>AND(C$9&gt;=8/24,C$9&lt;14/24)</formula>
    </cfRule>
    <cfRule type="expression" dxfId="850" priority="330">
      <formula>AND(C$9&gt;=14/24,C$9&lt;20/24)</formula>
    </cfRule>
  </conditionalFormatting>
  <conditionalFormatting sqref="B44:B48">
    <cfRule type="expression" dxfId="849" priority="14">
      <formula>B44&gt;$AG44</formula>
    </cfRule>
  </conditionalFormatting>
  <conditionalFormatting sqref="B45:B48">
    <cfRule type="expression" dxfId="848" priority="18">
      <formula>B$9&lt;8/24</formula>
    </cfRule>
    <cfRule type="expression" dxfId="847" priority="15">
      <formula>B$9&gt;=20/24</formula>
    </cfRule>
    <cfRule type="expression" dxfId="846" priority="16">
      <formula>AND(B$9&gt;=14/24,B$9&lt;20/24)</formula>
    </cfRule>
    <cfRule type="expression" dxfId="845" priority="17">
      <formula>AND(B$9&gt;=8/24,B$9&lt;14/24)</formula>
    </cfRule>
  </conditionalFormatting>
  <conditionalFormatting sqref="B49:C54">
    <cfRule type="expression" dxfId="844" priority="57">
      <formula>B$9&lt;8/24</formula>
    </cfRule>
    <cfRule type="expression" dxfId="843" priority="56">
      <formula>AND(B$9&gt;=8/24,B$9&lt;14/24)</formula>
    </cfRule>
    <cfRule type="expression" dxfId="842" priority="55">
      <formula>AND(B$9&gt;=14/24,B$9&lt;20/24)</formula>
    </cfRule>
    <cfRule type="expression" dxfId="841" priority="54">
      <formula>B$9&gt;=20/24</formula>
    </cfRule>
  </conditionalFormatting>
  <conditionalFormatting sqref="B68:D72 E70:W72">
    <cfRule type="expression" dxfId="836" priority="29">
      <formula>AND(B$9&gt;=14/24,B$9&lt;20/24)</formula>
    </cfRule>
    <cfRule type="expression" dxfId="835" priority="28">
      <formula>B$9&gt;=20/24</formula>
    </cfRule>
    <cfRule type="expression" dxfId="834" priority="30">
      <formula>AND(B$9&gt;=8/24,B$9&lt;14/24)</formula>
    </cfRule>
    <cfRule type="expression" dxfId="833" priority="31">
      <formula>B$9&lt;8/24</formula>
    </cfRule>
  </conditionalFormatting>
  <conditionalFormatting sqref="B11:F42">
    <cfRule type="expression" dxfId="832" priority="59">
      <formula>B$9&gt;=20/24</formula>
    </cfRule>
    <cfRule type="expression" dxfId="831" priority="58">
      <formula>B11&gt;$AG11</formula>
    </cfRule>
    <cfRule type="expression" dxfId="830" priority="60">
      <formula>AND(B$9&gt;=14/24,B$9&lt;20/24)</formula>
    </cfRule>
    <cfRule type="expression" dxfId="829" priority="61">
      <formula>AND(B$9&gt;=8/24,B$9&lt;14/24)</formula>
    </cfRule>
    <cfRule type="expression" dxfId="828" priority="62">
      <formula>B$9&lt;8/24</formula>
    </cfRule>
  </conditionalFormatting>
  <conditionalFormatting sqref="B9:AF10 B220:AF220 D222:AF223 B222:B228 D224:H224 J224:AF224 D225:AF228 U241:AF241">
    <cfRule type="expression" dxfId="827" priority="325">
      <formula>AND(B$9&gt;=8/24,B$9&lt;14/24)</formula>
    </cfRule>
    <cfRule type="expression" dxfId="826" priority="326">
      <formula>B$9&lt;8/24</formula>
    </cfRule>
    <cfRule type="expression" dxfId="825" priority="323">
      <formula>B$9&gt;=20/24</formula>
    </cfRule>
    <cfRule type="expression" dxfId="824" priority="324">
      <formula>AND(B$9&gt;=14/24,B$9&lt;20/24)</formula>
    </cfRule>
  </conditionalFormatting>
  <conditionalFormatting sqref="B43:AF43 B63:AF65">
    <cfRule type="expression" dxfId="823" priority="71">
      <formula>B$9&lt;8/24</formula>
    </cfRule>
    <cfRule type="expression" dxfId="822" priority="70">
      <formula>AND(B$9&gt;=8/24,B$9&lt;14/24)</formula>
    </cfRule>
    <cfRule type="expression" dxfId="821" priority="69">
      <formula>AND(B$9&gt;=14/24,B$9&lt;20/24)</formula>
    </cfRule>
    <cfRule type="expression" dxfId="820" priority="68">
      <formula>B$9&gt;=20/24</formula>
    </cfRule>
    <cfRule type="expression" dxfId="819" priority="67">
      <formula>B43&gt;$AG43</formula>
    </cfRule>
  </conditionalFormatting>
  <conditionalFormatting sqref="B49:AF60">
    <cfRule type="expression" dxfId="818" priority="5">
      <formula>B49&gt;$AG49</formula>
    </cfRule>
  </conditionalFormatting>
  <conditionalFormatting sqref="B67:AF67">
    <cfRule type="expression" dxfId="817" priority="77">
      <formula>B$9&gt;=20/24</formula>
    </cfRule>
    <cfRule type="expression" dxfId="816" priority="79">
      <formula>AND(B$9&gt;=8/24,B$9&lt;14/24)</formula>
    </cfRule>
    <cfRule type="expression" dxfId="815" priority="80">
      <formula>B$9&lt;8/24</formula>
    </cfRule>
    <cfRule type="expression" dxfId="814" priority="78">
      <formula>AND(B$9&gt;=14/24,B$9&lt;20/24)</formula>
    </cfRule>
  </conditionalFormatting>
  <conditionalFormatting sqref="B73:AF85">
    <cfRule type="expression" dxfId="813" priority="2">
      <formula>AND(B$9&gt;=14/24,B$9&lt;20/24)</formula>
    </cfRule>
    <cfRule type="expression" dxfId="812" priority="3">
      <formula>AND(B$9&gt;=8/24,B$9&lt;14/24)</formula>
    </cfRule>
    <cfRule type="expression" dxfId="811" priority="4">
      <formula>B$9&lt;8/24</formula>
    </cfRule>
    <cfRule type="expression" dxfId="810" priority="1">
      <formula>B$9&gt;=20/24</formula>
    </cfRule>
  </conditionalFormatting>
  <conditionalFormatting sqref="B105:AF112">
    <cfRule type="expression" dxfId="805" priority="32">
      <formula>B$9&gt;=20/24</formula>
    </cfRule>
    <cfRule type="expression" dxfId="804" priority="33">
      <formula>AND(B$9&gt;=14/24,B$9&lt;20/24)</formula>
    </cfRule>
    <cfRule type="expression" dxfId="803" priority="34">
      <formula>AND(B$9&gt;=8/24,B$9&lt;14/24)</formula>
    </cfRule>
    <cfRule type="expression" dxfId="802" priority="35">
      <formula>B$9&lt;8/24</formula>
    </cfRule>
  </conditionalFormatting>
  <conditionalFormatting sqref="B61:AG62 B66:AG66">
    <cfRule type="expression" dxfId="801" priority="23">
      <formula>B61&gt;$AG61</formula>
    </cfRule>
  </conditionalFormatting>
  <conditionalFormatting sqref="B66:AG66 B87:AF103">
    <cfRule type="expression" dxfId="800" priority="26">
      <formula>AND(B$9&gt;=8/24,B$9&lt;14/24)</formula>
    </cfRule>
    <cfRule type="expression" dxfId="799" priority="24">
      <formula>B$9&gt;=20/24</formula>
    </cfRule>
    <cfRule type="expression" dxfId="798" priority="25">
      <formula>AND(B$9&gt;=14/24,B$9&lt;20/24)</formula>
    </cfRule>
    <cfRule type="expression" dxfId="797" priority="27">
      <formula>B$9&lt;8/24</formula>
    </cfRule>
  </conditionalFormatting>
  <conditionalFormatting sqref="C45:AF48">
    <cfRule type="expression" dxfId="796" priority="137">
      <formula>C45&gt;$AG45</formula>
    </cfRule>
    <cfRule type="expression" dxfId="795" priority="138">
      <formula>C$9&gt;=20/24</formula>
    </cfRule>
    <cfRule type="expression" dxfId="794" priority="139">
      <formula>AND(C$9&gt;=14/24,C$9&lt;20/24)</formula>
    </cfRule>
    <cfRule type="expression" dxfId="793" priority="141">
      <formula>C$9&lt;8/24</formula>
    </cfRule>
    <cfRule type="expression" dxfId="792" priority="140">
      <formula>AND(C$9&gt;=8/24,C$9&lt;14/24)</formula>
    </cfRule>
  </conditionalFormatting>
  <conditionalFormatting sqref="C44:AG44">
    <cfRule type="expression" dxfId="791" priority="155">
      <formula>C44&gt;$AG44</formula>
    </cfRule>
  </conditionalFormatting>
  <conditionalFormatting sqref="D49:M51">
    <cfRule type="expression" dxfId="790" priority="182">
      <formula>AND(D$9&gt;=8/24,D$9&lt;14/24)</formula>
    </cfRule>
    <cfRule type="expression" dxfId="789" priority="181">
      <formula>AND(D$9&gt;=14/24,D$9&lt;20/24)</formula>
    </cfRule>
    <cfRule type="expression" dxfId="788" priority="183">
      <formula>D$9&lt;8/24</formula>
    </cfRule>
    <cfRule type="expression" dxfId="787" priority="180">
      <formula>D$9&gt;=20/24</formula>
    </cfRule>
  </conditionalFormatting>
  <conditionalFormatting sqref="D54:R54">
    <cfRule type="expression" dxfId="786" priority="170">
      <formula>D$9&gt;=20/24</formula>
    </cfRule>
    <cfRule type="expression" dxfId="785" priority="171">
      <formula>AND(D$9&gt;=14/24,D$9&lt;20/24)</formula>
    </cfRule>
    <cfRule type="expression" dxfId="784" priority="172">
      <formula>AND(D$9&gt;=8/24,D$9&lt;14/24)</formula>
    </cfRule>
    <cfRule type="expression" dxfId="783" priority="173">
      <formula>D$9&lt;8/24</formula>
    </cfRule>
  </conditionalFormatting>
  <conditionalFormatting sqref="E68:AE69 AF68:AF70 X70:AE70">
    <cfRule type="expression" dxfId="778" priority="286">
      <formula>AND(E$9&gt;=8/24,E$9&lt;14/24)</formula>
    </cfRule>
    <cfRule type="expression" dxfId="777" priority="284">
      <formula>E$9&gt;=20/24</formula>
    </cfRule>
    <cfRule type="expression" dxfId="776" priority="285">
      <formula>AND(E$9&gt;=14/24,E$9&lt;20/24)</formula>
    </cfRule>
    <cfRule type="expression" dxfId="775" priority="287">
      <formula>E$9&lt;8/24</formula>
    </cfRule>
  </conditionalFormatting>
  <conditionalFormatting sqref="G11:W11">
    <cfRule type="expression" dxfId="774" priority="114">
      <formula>G$9&lt;8/24</formula>
    </cfRule>
    <cfRule type="expression" dxfId="773" priority="113">
      <formula>AND(G$9&gt;=8/24,G$9&lt;14/24)</formula>
    </cfRule>
    <cfRule type="expression" dxfId="772" priority="112">
      <formula>AND(G$9&gt;=14/24,G$9&lt;20/24)</formula>
    </cfRule>
    <cfRule type="expression" dxfId="771" priority="111">
      <formula>G$9&gt;=20/24</formula>
    </cfRule>
  </conditionalFormatting>
  <conditionalFormatting sqref="G12:W14">
    <cfRule type="expression" dxfId="770" priority="109">
      <formula>G$9&lt;8/24</formula>
    </cfRule>
    <cfRule type="expression" dxfId="769" priority="108">
      <formula>AND(G$9&gt;=8/24,G$9&lt;14/24)</formula>
    </cfRule>
    <cfRule type="expression" dxfId="768" priority="107">
      <formula>AND(G$9&gt;=14/24,G$9&lt;20/24)</formula>
    </cfRule>
    <cfRule type="expression" dxfId="767" priority="106">
      <formula>G$9&gt;=20/24</formula>
    </cfRule>
  </conditionalFormatting>
  <conditionalFormatting sqref="G15:W40">
    <cfRule type="expression" dxfId="766" priority="200">
      <formula>G$9&lt;8/24</formula>
    </cfRule>
    <cfRule type="expression" dxfId="765" priority="199">
      <formula>AND(G$9&gt;=8/24,G$9&lt;14/24)</formula>
    </cfRule>
    <cfRule type="expression" dxfId="764" priority="197">
      <formula>G$9&gt;=20/24</formula>
    </cfRule>
    <cfRule type="expression" dxfId="763" priority="198">
      <formula>AND(G$9&gt;=14/24,G$9&lt;20/24)</formula>
    </cfRule>
  </conditionalFormatting>
  <conditionalFormatting sqref="G41:W41">
    <cfRule type="expression" dxfId="762" priority="102">
      <formula>G$9&gt;=20/24</formula>
    </cfRule>
    <cfRule type="expression" dxfId="761" priority="105">
      <formula>G$9&lt;8/24</formula>
    </cfRule>
    <cfRule type="expression" dxfId="760" priority="103">
      <formula>AND(G$9&gt;=14/24,G$9&lt;20/24)</formula>
    </cfRule>
    <cfRule type="expression" dxfId="759" priority="104">
      <formula>AND(G$9&gt;=8/24,G$9&lt;14/24)</formula>
    </cfRule>
  </conditionalFormatting>
  <conditionalFormatting sqref="G42:W42">
    <cfRule type="expression" dxfId="758" priority="161">
      <formula>G$9&gt;=20/24</formula>
    </cfRule>
    <cfRule type="expression" dxfId="757" priority="162">
      <formula>AND(G$9&gt;=14/24,G$9&lt;20/24)</formula>
    </cfRule>
    <cfRule type="expression" dxfId="756" priority="163">
      <formula>AND(G$9&gt;=8/24,G$9&lt;14/24)</formula>
    </cfRule>
    <cfRule type="expression" dxfId="755" priority="164">
      <formula>G$9&lt;8/24</formula>
    </cfRule>
  </conditionalFormatting>
  <conditionalFormatting sqref="G11:AF42">
    <cfRule type="expression" dxfId="754" priority="110">
      <formula>G11&gt;$AG11</formula>
    </cfRule>
  </conditionalFormatting>
  <conditionalFormatting sqref="N50:O52 P50:R53 O53">
    <cfRule type="expression" dxfId="753" priority="293">
      <formula>N$9&gt;=20/24</formula>
    </cfRule>
    <cfRule type="expression" dxfId="752" priority="296">
      <formula>N$9&lt;8/24</formula>
    </cfRule>
    <cfRule type="expression" dxfId="751" priority="295">
      <formula>AND(N$9&gt;=8/24,N$9&lt;14/24)</formula>
    </cfRule>
    <cfRule type="expression" dxfId="750" priority="294">
      <formula>AND(N$9&gt;=14/24,N$9&lt;20/24)</formula>
    </cfRule>
  </conditionalFormatting>
  <conditionalFormatting sqref="N49:R49">
    <cfRule type="expression" dxfId="749" priority="289">
      <formula>N$9&gt;=20/24</formula>
    </cfRule>
    <cfRule type="expression" dxfId="748" priority="292">
      <formula>N$9&lt;8/24</formula>
    </cfRule>
    <cfRule type="expression" dxfId="747" priority="291">
      <formula>AND(N$9&gt;=8/24,N$9&lt;14/24)</formula>
    </cfRule>
    <cfRule type="expression" dxfId="746" priority="290">
      <formula>AND(N$9&gt;=14/24,N$9&lt;20/24)</formula>
    </cfRule>
  </conditionalFormatting>
  <conditionalFormatting sqref="O3:P3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745" priority="329">
      <formula>C$9&gt;=20/24</formula>
    </cfRule>
  </conditionalFormatting>
  <conditionalFormatting sqref="S8">
    <cfRule type="expression" dxfId="744" priority="305">
      <formula>U$9&lt;8/24</formula>
    </cfRule>
    <cfRule type="expression" dxfId="743" priority="304">
      <formula>AND(U$9&gt;=8/24,U$9&lt;14/24)</formula>
    </cfRule>
    <cfRule type="expression" dxfId="742" priority="303">
      <formula>AND(U$9&gt;=14/24,U$9&lt;20/24)</formula>
    </cfRule>
    <cfRule type="expression" dxfId="741" priority="302">
      <formula>U$9&gt;=20/24</formula>
    </cfRule>
  </conditionalFormatting>
  <conditionalFormatting sqref="S49:AF60 B55:R60">
    <cfRule type="expression" dxfId="740" priority="9">
      <formula>B$9&lt;8/24</formula>
    </cfRule>
    <cfRule type="expression" dxfId="739" priority="6">
      <formula>B$9&gt;=20/24</formula>
    </cfRule>
    <cfRule type="expression" dxfId="738" priority="7">
      <formula>AND(B$9&gt;=14/24,B$9&lt;20/24)</formula>
    </cfRule>
    <cfRule type="expression" dxfId="737" priority="8">
      <formula>AND(B$9&gt;=8/24,B$9&lt;14/24)</formula>
    </cfRule>
  </conditionalFormatting>
  <conditionalFormatting sqref="T241">
    <cfRule type="expression" dxfId="736" priority="345">
      <formula>AX$9&lt;8/24</formula>
    </cfRule>
    <cfRule type="expression" dxfId="735" priority="342">
      <formula>AX$9&gt;=20/24</formula>
    </cfRule>
    <cfRule type="expression" dxfId="734" priority="343">
      <formula>AND(AX$9&gt;=14/24,AX$9&lt;20/24)</formula>
    </cfRule>
    <cfRule type="expression" dxfId="733" priority="344">
      <formula>AND(AX$9&gt;=8/24,AX$9&lt;14/24)</formula>
    </cfRule>
  </conditionalFormatting>
  <conditionalFormatting sqref="V3 AB3">
    <cfRule type="iconSet" priority="328">
      <iconSet iconSet="3TrafficLights2" reverse="1">
        <cfvo type="percent" val="0"/>
        <cfvo type="num" val="1"/>
        <cfvo type="num" val="1"/>
      </iconSet>
    </cfRule>
  </conditionalFormatting>
  <conditionalFormatting sqref="X11:AF42">
    <cfRule type="expression" dxfId="732" priority="268">
      <formula>X$9&lt;8/24</formula>
    </cfRule>
    <cfRule type="expression" dxfId="731" priority="267">
      <formula>AND(X$9&gt;=8/24,X$9&lt;14/24)</formula>
    </cfRule>
    <cfRule type="expression" dxfId="730" priority="266">
      <formula>AND(X$9&gt;=14/24,X$9&lt;20/24)</formula>
    </cfRule>
    <cfRule type="expression" dxfId="729" priority="265">
      <formula>X$9&gt;=20/24</formula>
    </cfRule>
  </conditionalFormatting>
  <conditionalFormatting sqref="X71:AF72">
    <cfRule type="expression" dxfId="728" priority="176">
      <formula>AND(X$9&gt;=14/24,X$9&lt;20/24)</formula>
    </cfRule>
    <cfRule type="expression" dxfId="727" priority="175">
      <formula>X$9&gt;=20/24</formula>
    </cfRule>
    <cfRule type="expression" dxfId="726" priority="177">
      <formula>AND(X$9&gt;=8/24,X$9&lt;14/24)</formula>
    </cfRule>
    <cfRule type="expression" dxfId="725" priority="178">
      <formula>X$9&lt;8/24</formula>
    </cfRule>
  </conditionalFormatting>
  <conditionalFormatting sqref="AB8">
    <cfRule type="expression" dxfId="724" priority="298">
      <formula>AD$9&gt;=20/24</formula>
    </cfRule>
    <cfRule type="expression" dxfId="723" priority="301">
      <formula>AD$9&lt;8/24</formula>
    </cfRule>
    <cfRule type="expression" dxfId="722" priority="300">
      <formula>AND(AD$9&gt;=8/24,AD$9&lt;14/24)</formula>
    </cfRule>
    <cfRule type="expression" dxfId="721" priority="299">
      <formula>AND(AD$9&gt;=14/24,AD$9&lt;20/24)</formula>
    </cfRule>
  </conditionalFormatting>
  <conditionalFormatting sqref="AG48">
    <cfRule type="expression" dxfId="720" priority="239">
      <formula>AG$9&lt;8/24</formula>
    </cfRule>
    <cfRule type="expression" dxfId="719" priority="238">
      <formula>AND(AG$9&gt;=8/24,AG$9&lt;14/24)</formula>
    </cfRule>
    <cfRule type="expression" dxfId="718" priority="236">
      <formula>AG$9&gt;=20/24</formula>
    </cfRule>
    <cfRule type="expression" dxfId="717" priority="235">
      <formula>AG48&gt;$AG48</formula>
    </cfRule>
    <cfRule type="expression" dxfId="716" priority="237">
      <formula>AND(AG$9&gt;=14/24,AG$9&lt;20/24)</formula>
    </cfRule>
  </conditionalFormatting>
  <conditionalFormatting sqref="AG83">
    <cfRule type="expression" dxfId="715" priority="258">
      <formula>AND(AG$9&gt;=8/24,AG$9&lt;14/24)</formula>
    </cfRule>
    <cfRule type="expression" dxfId="714" priority="257">
      <formula>AND(AG$9&gt;=14/24,AG$9&lt;20/24)</formula>
    </cfRule>
    <cfRule type="expression" dxfId="713" priority="256">
      <formula>AG$9&gt;=20/24</formula>
    </cfRule>
    <cfRule type="expression" dxfId="712" priority="259">
      <formula>AG$9&lt;8/24</formula>
    </cfRule>
  </conditionalFormatting>
  <conditionalFormatting sqref="AG241">
    <cfRule type="expression" dxfId="711" priority="337">
      <formula>B$9&lt;8/24</formula>
    </cfRule>
    <cfRule type="expression" dxfId="710" priority="336">
      <formula>AND(B$9&gt;=8/24,B$9&lt;14/24)</formula>
    </cfRule>
    <cfRule type="expression" dxfId="709" priority="335">
      <formula>AND(B$9&gt;=14/24,B$9&lt;20/24)</formula>
    </cfRule>
    <cfRule type="expression" dxfId="708" priority="334">
      <formula>B$9&gt;=20/24</formula>
    </cfRule>
  </conditionalFormatting>
  <conditionalFormatting sqref="AH241:AX241">
    <cfRule type="expression" dxfId="707" priority="339">
      <formula>AND(AG$9&gt;=14/24,AG$9&lt;20/24)</formula>
    </cfRule>
    <cfRule type="expression" dxfId="706" priority="341">
      <formula>AG$9&lt;8/24</formula>
    </cfRule>
    <cfRule type="expression" dxfId="705" priority="340">
      <formula>AND(AG$9&gt;=8/24,AG$9&lt;14/24)</formula>
    </cfRule>
    <cfRule type="expression" dxfId="704" priority="338">
      <formula>AG$9&gt;=20/24</formula>
    </cfRule>
  </conditionalFormatting>
  <conditionalFormatting sqref="AL4:AL6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212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210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318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306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346">
      <iconSet iconSet="3TrafficLights2" reverse="1">
        <cfvo type="percent" val="0"/>
        <cfvo type="num" val="1"/>
        <cfvo type="num" val="1"/>
      </iconSet>
    </cfRule>
  </conditionalFormatting>
  <conditionalFormatting sqref="AL75:AM79">
    <cfRule type="expression" dxfId="703" priority="348">
      <formula>AND(AJ$9&gt;=14/24,AJ$9&lt;20/24)</formula>
    </cfRule>
    <cfRule type="expression" dxfId="702" priority="349">
      <formula>AND(AJ$9&gt;=8/24,AJ$9&lt;14/24)</formula>
    </cfRule>
    <cfRule type="expression" dxfId="701" priority="350">
      <formula>AJ$9&lt;8/24</formula>
    </cfRule>
    <cfRule type="expression" dxfId="700" priority="347">
      <formula>AJ$9&gt;=20/24</formula>
    </cfRule>
  </conditionalFormatting>
  <conditionalFormatting sqref="AL74:AN74 AL80:AN80">
    <cfRule type="expression" dxfId="699" priority="97">
      <formula>AL$9&lt;8/24</formula>
    </cfRule>
    <cfRule type="expression" dxfId="698" priority="96">
      <formula>AND(AL$9&gt;=8/24,AL$9&lt;14/24)</formula>
    </cfRule>
    <cfRule type="expression" dxfId="697" priority="95">
      <formula>AND(AL$9&gt;=14/24,AL$9&lt;20/24)</formula>
    </cfRule>
    <cfRule type="expression" dxfId="696" priority="94">
      <formula>AL$9&gt;=20/24</formula>
    </cfRule>
  </conditionalFormatting>
  <conditionalFormatting sqref="AN75:AN78">
    <cfRule type="expression" dxfId="695" priority="93">
      <formula>AN$9&lt;8/24</formula>
    </cfRule>
    <cfRule type="expression" dxfId="694" priority="92">
      <formula>AND(AN$9&gt;=8/24,AN$9&lt;14/24)</formula>
    </cfRule>
    <cfRule type="expression" dxfId="693" priority="91">
      <formula>AND(AN$9&gt;=14/24,AN$9&lt;20/24)</formula>
    </cfRule>
    <cfRule type="expression" dxfId="692" priority="90">
      <formula>AN$9&gt;=20/24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9" id="{9A69EADC-6139-47ED-A1E2-E7E6CC592A31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36" id="{5AABC455-EEB8-4D8D-BA3C-E767C5ADCD24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86D2066F-BEEE-41CD-A59A-CCB484302E0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DC939596-05B2-46A7-AB3A-30BC3DC675A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m:sqref>B113:C113</xm:sqref>
        </x14:conditionalFormatting>
        <x14:conditionalFormatting xmlns:xm="http://schemas.microsoft.com/office/excel/2006/main">
          <x14:cfRule type="expression" priority="13" id="{0D9153B1-6FD9-451F-AA54-7A59EC7EBBCE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0" id="{FA619921-9AF3-4AC6-9B72-2862AC15110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1" id="{5D11E23D-8FE8-499D-98B2-F77548B0DC5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2" id="{ADF63C51-DDA0-4E9A-AABB-C846E4BB1F4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225" id="{DF2DCF5B-2AFA-4F1F-956B-2311091FC71B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24" id="{42EE5F07-259F-45D4-86C7-7E857E6A0370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26" id="{F2B377BC-37CF-4652-A12E-448E0DBD1A33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223" id="{7E6400AD-AC6F-4082-B2E3-03EA4A5DF1E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J274"/>
  <sheetViews>
    <sheetView workbookViewId="0">
      <pane ySplit="10" topLeftCell="A18" activePane="bottomLeft" state="frozen"/>
      <selection activeCell="U80" sqref="U80"/>
      <selection pane="bottomLeft" activeCell="G51" sqref="G51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>
        <v>70</v>
      </c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str">
        <f ca="1">"2079/"&amp;"09/"&amp;INT(MID(CELL("filename",D6),FIND("]",CELL("filename",D6))+1,200))</f>
        <v>2079/09/4</v>
      </c>
      <c r="C4" s="771"/>
      <c r="D4" s="771"/>
      <c r="E4" s="772" t="str">
        <f ca="1">"2079/"&amp;"09/"&amp;INT(MID(CELL("filename",G6),FIND("]",CELL("filename",G6))+1,200))</f>
        <v>2079/09/4</v>
      </c>
      <c r="F4" s="772"/>
      <c r="G4" s="772"/>
      <c r="H4" s="772" t="str">
        <f ca="1">TEXT(E4,"dddd")</f>
        <v>Monday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370.1</v>
      </c>
      <c r="C5" s="30">
        <f t="shared" si="0"/>
        <v>375.5</v>
      </c>
      <c r="D5" s="30">
        <f t="shared" si="0"/>
        <v>381.5</v>
      </c>
      <c r="E5" s="30">
        <f t="shared" si="0"/>
        <v>390.5</v>
      </c>
      <c r="F5" s="30">
        <f t="shared" si="0"/>
        <v>396</v>
      </c>
      <c r="G5" s="30">
        <f t="shared" si="0"/>
        <v>439</v>
      </c>
      <c r="H5" s="30">
        <f t="shared" si="0"/>
        <v>448</v>
      </c>
      <c r="I5" s="30">
        <f t="shared" si="0"/>
        <v>506.7</v>
      </c>
      <c r="J5" s="30">
        <f t="shared" si="0"/>
        <v>496</v>
      </c>
      <c r="K5" s="30">
        <f t="shared" si="0"/>
        <v>513</v>
      </c>
      <c r="L5" s="30">
        <f t="shared" si="0"/>
        <v>459</v>
      </c>
      <c r="M5" s="30">
        <f t="shared" si="0"/>
        <v>424</v>
      </c>
      <c r="N5" s="30">
        <f t="shared" si="0"/>
        <v>459.6</v>
      </c>
      <c r="O5" s="30">
        <f t="shared" si="0"/>
        <v>481.2</v>
      </c>
      <c r="P5" s="30">
        <f t="shared" si="0"/>
        <v>507</v>
      </c>
      <c r="Q5" s="30">
        <f t="shared" si="0"/>
        <v>501.7</v>
      </c>
      <c r="R5" s="30">
        <f t="shared" si="0"/>
        <v>506.59999999999997</v>
      </c>
      <c r="S5" s="30">
        <f t="shared" si="0"/>
        <v>536.70000000000005</v>
      </c>
      <c r="T5" s="30">
        <f t="shared" si="0"/>
        <v>521</v>
      </c>
      <c r="U5" s="30">
        <f t="shared" si="0"/>
        <v>510.79999999999995</v>
      </c>
      <c r="V5" s="30">
        <f t="shared" si="0"/>
        <v>510.9</v>
      </c>
      <c r="W5" s="30">
        <f t="shared" si="0"/>
        <v>478.3</v>
      </c>
      <c r="X5" s="30">
        <f t="shared" si="0"/>
        <v>436.3</v>
      </c>
      <c r="Y5" s="30">
        <f t="shared" si="0"/>
        <v>477.4</v>
      </c>
      <c r="Z5" s="30">
        <f t="shared" si="0"/>
        <v>485.4</v>
      </c>
      <c r="AA5" s="30">
        <f t="shared" si="0"/>
        <v>448.3</v>
      </c>
      <c r="AB5" s="30">
        <f t="shared" si="0"/>
        <v>436.3</v>
      </c>
      <c r="AC5" s="30">
        <f t="shared" si="0"/>
        <v>406.3</v>
      </c>
      <c r="AD5" s="30">
        <f t="shared" si="0"/>
        <v>411.7</v>
      </c>
      <c r="AE5" s="30">
        <f t="shared" si="0"/>
        <v>405.8</v>
      </c>
      <c r="AF5" s="30">
        <f>B78</f>
        <v>416.5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1659MW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Load=1046</v>
      </c>
      <c r="B7" s="35">
        <f t="shared" ref="B7:AF7" si="1">B85</f>
        <v>1121.94</v>
      </c>
      <c r="C7" s="35">
        <f t="shared" si="1"/>
        <v>1069.54</v>
      </c>
      <c r="D7" s="35">
        <f t="shared" si="1"/>
        <v>1054.94</v>
      </c>
      <c r="E7" s="35">
        <f t="shared" si="1"/>
        <v>1045.54</v>
      </c>
      <c r="F7" s="35">
        <f t="shared" si="1"/>
        <v>1054.54</v>
      </c>
      <c r="G7" s="35">
        <f t="shared" si="1"/>
        <v>1123.1399999999999</v>
      </c>
      <c r="H7" s="35">
        <f t="shared" si="1"/>
        <v>1196.7399999999998</v>
      </c>
      <c r="I7" s="35">
        <f t="shared" si="1"/>
        <v>1247.54</v>
      </c>
      <c r="J7" s="35">
        <f t="shared" si="1"/>
        <v>1370.04</v>
      </c>
      <c r="K7" s="35">
        <f t="shared" si="1"/>
        <v>1397.6399999999999</v>
      </c>
      <c r="L7" s="35">
        <f t="shared" si="1"/>
        <v>1642.94</v>
      </c>
      <c r="M7" s="35">
        <f t="shared" si="1"/>
        <v>1659.24</v>
      </c>
      <c r="N7" s="35">
        <f>N85</f>
        <v>1619.34</v>
      </c>
      <c r="O7" s="35">
        <f t="shared" si="1"/>
        <v>1553.94</v>
      </c>
      <c r="P7" s="35">
        <f t="shared" si="1"/>
        <v>1441.04</v>
      </c>
      <c r="Q7" s="35">
        <f t="shared" si="1"/>
        <v>1430.04</v>
      </c>
      <c r="R7" s="35">
        <f t="shared" si="1"/>
        <v>1418.44</v>
      </c>
      <c r="S7" s="35">
        <f t="shared" si="1"/>
        <v>1381.74</v>
      </c>
      <c r="T7" s="35">
        <f t="shared" si="1"/>
        <v>1381.44</v>
      </c>
      <c r="U7" s="35">
        <f t="shared" si="1"/>
        <v>1395.04</v>
      </c>
      <c r="V7" s="35">
        <f t="shared" si="1"/>
        <v>1367.84</v>
      </c>
      <c r="W7" s="35">
        <f t="shared" si="1"/>
        <v>1425.1399999999999</v>
      </c>
      <c r="X7" s="35">
        <f t="shared" si="1"/>
        <v>1711.44</v>
      </c>
      <c r="Y7" s="35">
        <f t="shared" si="1"/>
        <v>1748.3400000000001</v>
      </c>
      <c r="Z7" s="35">
        <f t="shared" si="1"/>
        <v>1728.3400000000001</v>
      </c>
      <c r="AA7" s="35">
        <f t="shared" si="1"/>
        <v>1678.3400000000001</v>
      </c>
      <c r="AB7" s="35">
        <f t="shared" si="1"/>
        <v>1637.1399999999999</v>
      </c>
      <c r="AC7" s="35">
        <f t="shared" si="1"/>
        <v>1569.6399999999999</v>
      </c>
      <c r="AD7" s="35">
        <f t="shared" si="1"/>
        <v>1503.84</v>
      </c>
      <c r="AE7" s="35">
        <f t="shared" si="1"/>
        <v>1236.94</v>
      </c>
      <c r="AF7" s="35">
        <f t="shared" si="1"/>
        <v>1157.54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19.399999999999999</v>
      </c>
      <c r="C11" s="45">
        <v>19.399999999999999</v>
      </c>
      <c r="D11" s="45">
        <v>19.399999999999999</v>
      </c>
      <c r="E11" s="45">
        <v>19.399999999999999</v>
      </c>
      <c r="F11" s="45">
        <v>19.399999999999999</v>
      </c>
      <c r="G11" s="45">
        <v>19.399999999999999</v>
      </c>
      <c r="H11" s="45">
        <v>19.399999999999999</v>
      </c>
      <c r="I11" s="45">
        <v>19.399999999999999</v>
      </c>
      <c r="J11" s="45">
        <v>19.399999999999999</v>
      </c>
      <c r="K11" s="45">
        <v>19.399999999999999</v>
      </c>
      <c r="L11" s="45">
        <v>19.399999999999999</v>
      </c>
      <c r="M11" s="45">
        <v>19.7</v>
      </c>
      <c r="N11" s="45">
        <v>17.3</v>
      </c>
      <c r="O11" s="45">
        <v>17.399999999999999</v>
      </c>
      <c r="P11" s="45">
        <v>17.399999999999999</v>
      </c>
      <c r="Q11" s="45">
        <v>17.399999999999999</v>
      </c>
      <c r="R11" s="45">
        <v>17.399999999999999</v>
      </c>
      <c r="S11" s="45">
        <v>17.399999999999999</v>
      </c>
      <c r="T11" s="45">
        <v>17.399999999999999</v>
      </c>
      <c r="U11" s="45">
        <v>17.399999999999999</v>
      </c>
      <c r="V11" s="45">
        <v>17.399999999999999</v>
      </c>
      <c r="W11" s="45">
        <v>17.399999999999999</v>
      </c>
      <c r="X11" s="45">
        <v>19</v>
      </c>
      <c r="Y11" s="45">
        <v>19</v>
      </c>
      <c r="Z11" s="45">
        <v>19</v>
      </c>
      <c r="AA11" s="45">
        <v>19</v>
      </c>
      <c r="AB11" s="45">
        <v>19</v>
      </c>
      <c r="AC11" s="45">
        <v>19</v>
      </c>
      <c r="AD11" s="45">
        <v>19</v>
      </c>
      <c r="AE11" s="45">
        <v>19</v>
      </c>
      <c r="AF11" s="45">
        <v>19</v>
      </c>
      <c r="AG11" s="46">
        <v>52.4</v>
      </c>
      <c r="AH11" s="47">
        <f t="shared" ref="AH11:AH74" si="2">MAX(B11:AF11)</f>
        <v>19.7</v>
      </c>
      <c r="AI11" s="48">
        <f t="shared" ref="AI11:AI74" si="3">MIN(B11:AF11)</f>
        <v>17.3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36.6</v>
      </c>
      <c r="C12" s="45">
        <v>36.6</v>
      </c>
      <c r="D12" s="45">
        <v>36.6</v>
      </c>
      <c r="E12" s="45">
        <v>36.6</v>
      </c>
      <c r="F12" s="45">
        <v>36.6</v>
      </c>
      <c r="G12" s="45">
        <v>36.6</v>
      </c>
      <c r="H12" s="45">
        <v>36.6</v>
      </c>
      <c r="I12" s="45">
        <v>36.6</v>
      </c>
      <c r="J12" s="45">
        <v>36.6</v>
      </c>
      <c r="K12" s="45">
        <v>36.6</v>
      </c>
      <c r="L12" s="45">
        <v>36.6</v>
      </c>
      <c r="M12" s="45">
        <v>36.9</v>
      </c>
      <c r="N12" s="45">
        <v>36.700000000000003</v>
      </c>
      <c r="O12" s="45">
        <v>36.6</v>
      </c>
      <c r="P12" s="45">
        <v>36.6</v>
      </c>
      <c r="Q12" s="45">
        <v>36.1</v>
      </c>
      <c r="R12" s="45">
        <v>36.6</v>
      </c>
      <c r="S12" s="45">
        <v>36.6</v>
      </c>
      <c r="T12" s="45">
        <v>36.6</v>
      </c>
      <c r="U12" s="45">
        <v>36.6</v>
      </c>
      <c r="V12" s="45">
        <v>36.6</v>
      </c>
      <c r="W12" s="45">
        <v>36.6</v>
      </c>
      <c r="X12" s="45">
        <v>36.5</v>
      </c>
      <c r="Y12" s="45">
        <v>36.700000000000003</v>
      </c>
      <c r="Z12" s="45">
        <v>36.5</v>
      </c>
      <c r="AA12" s="45">
        <v>36.5</v>
      </c>
      <c r="AB12" s="45">
        <v>36.5</v>
      </c>
      <c r="AC12" s="45">
        <v>36.5</v>
      </c>
      <c r="AD12" s="45">
        <v>36.5</v>
      </c>
      <c r="AE12" s="45">
        <v>36.5</v>
      </c>
      <c r="AF12" s="45">
        <v>36.5</v>
      </c>
      <c r="AG12" s="50">
        <v>50</v>
      </c>
      <c r="AH12" s="47">
        <f t="shared" si="2"/>
        <v>36.9</v>
      </c>
      <c r="AI12" s="48">
        <f t="shared" si="3"/>
        <v>36.1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21.1</v>
      </c>
      <c r="C13" s="45">
        <v>21.1</v>
      </c>
      <c r="D13" s="45">
        <v>21.1</v>
      </c>
      <c r="E13" s="45">
        <v>21.1</v>
      </c>
      <c r="F13" s="45">
        <v>21.1</v>
      </c>
      <c r="G13" s="45">
        <v>21.1</v>
      </c>
      <c r="H13" s="45">
        <v>21.1</v>
      </c>
      <c r="I13" s="45">
        <v>21.1</v>
      </c>
      <c r="J13" s="45">
        <v>21.1</v>
      </c>
      <c r="K13" s="45">
        <v>21.1</v>
      </c>
      <c r="L13" s="45">
        <v>21.1</v>
      </c>
      <c r="M13" s="45">
        <v>18.2</v>
      </c>
      <c r="N13" s="45">
        <v>16.399999999999999</v>
      </c>
      <c r="O13" s="45">
        <v>18.3</v>
      </c>
      <c r="P13" s="45">
        <v>16</v>
      </c>
      <c r="Q13" s="45">
        <v>16</v>
      </c>
      <c r="R13" s="45">
        <v>16</v>
      </c>
      <c r="S13" s="45">
        <v>16</v>
      </c>
      <c r="T13" s="45">
        <v>16</v>
      </c>
      <c r="U13" s="45">
        <v>16</v>
      </c>
      <c r="V13" s="45">
        <v>16</v>
      </c>
      <c r="W13" s="45">
        <v>16</v>
      </c>
      <c r="X13" s="45">
        <v>23</v>
      </c>
      <c r="Y13" s="45">
        <v>20.9</v>
      </c>
      <c r="Z13" s="45">
        <v>21.2</v>
      </c>
      <c r="AA13" s="45">
        <v>21.2</v>
      </c>
      <c r="AB13" s="45">
        <v>21.2</v>
      </c>
      <c r="AC13" s="45">
        <v>21.2</v>
      </c>
      <c r="AD13" s="45">
        <v>21.2</v>
      </c>
      <c r="AE13" s="45">
        <v>21.2</v>
      </c>
      <c r="AF13" s="45">
        <v>21.2</v>
      </c>
      <c r="AG13" s="50">
        <v>45</v>
      </c>
      <c r="AH13" s="47">
        <f t="shared" si="2"/>
        <v>23</v>
      </c>
      <c r="AI13" s="48">
        <f t="shared" si="3"/>
        <v>16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10</v>
      </c>
      <c r="C14" s="45">
        <v>10</v>
      </c>
      <c r="D14" s="45">
        <v>10</v>
      </c>
      <c r="E14" s="45">
        <v>10</v>
      </c>
      <c r="F14" s="45">
        <v>10</v>
      </c>
      <c r="G14" s="45">
        <v>10</v>
      </c>
      <c r="H14" s="45">
        <v>10</v>
      </c>
      <c r="I14" s="45">
        <v>10</v>
      </c>
      <c r="J14" s="45">
        <v>10</v>
      </c>
      <c r="K14" s="45">
        <v>10</v>
      </c>
      <c r="L14" s="45">
        <v>10</v>
      </c>
      <c r="M14" s="45">
        <v>10</v>
      </c>
      <c r="N14" s="45">
        <v>10</v>
      </c>
      <c r="O14" s="45">
        <v>10</v>
      </c>
      <c r="P14" s="45">
        <v>10</v>
      </c>
      <c r="Q14" s="45">
        <v>10</v>
      </c>
      <c r="R14" s="45">
        <v>10</v>
      </c>
      <c r="S14" s="45">
        <v>10</v>
      </c>
      <c r="T14" s="45">
        <v>10</v>
      </c>
      <c r="U14" s="45">
        <v>10</v>
      </c>
      <c r="V14" s="45">
        <v>10</v>
      </c>
      <c r="W14" s="45">
        <v>10</v>
      </c>
      <c r="X14" s="45">
        <v>10</v>
      </c>
      <c r="Y14" s="45">
        <v>10</v>
      </c>
      <c r="Z14" s="45">
        <v>10</v>
      </c>
      <c r="AA14" s="45">
        <v>10</v>
      </c>
      <c r="AB14" s="45">
        <v>10</v>
      </c>
      <c r="AC14" s="45">
        <v>10</v>
      </c>
      <c r="AD14" s="45">
        <v>10</v>
      </c>
      <c r="AE14" s="45">
        <v>10</v>
      </c>
      <c r="AF14" s="45">
        <v>10</v>
      </c>
      <c r="AG14" s="50">
        <v>42</v>
      </c>
      <c r="AH14" s="47">
        <f t="shared" si="2"/>
        <v>10</v>
      </c>
      <c r="AI14" s="48">
        <f t="shared" si="3"/>
        <v>10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17</v>
      </c>
      <c r="C15" s="45">
        <v>17</v>
      </c>
      <c r="D15" s="45">
        <v>17</v>
      </c>
      <c r="E15" s="45">
        <v>17</v>
      </c>
      <c r="F15" s="45">
        <v>17</v>
      </c>
      <c r="G15" s="45">
        <v>17</v>
      </c>
      <c r="H15" s="45">
        <v>17</v>
      </c>
      <c r="I15" s="45">
        <v>17</v>
      </c>
      <c r="J15" s="45">
        <v>17</v>
      </c>
      <c r="K15" s="45">
        <v>17</v>
      </c>
      <c r="L15" s="45">
        <v>17</v>
      </c>
      <c r="M15" s="45">
        <v>17</v>
      </c>
      <c r="N15" s="45">
        <v>17</v>
      </c>
      <c r="O15" s="45">
        <v>17</v>
      </c>
      <c r="P15" s="45">
        <v>17</v>
      </c>
      <c r="Q15" s="45">
        <v>17</v>
      </c>
      <c r="R15" s="45">
        <v>17</v>
      </c>
      <c r="S15" s="45">
        <v>17</v>
      </c>
      <c r="T15" s="45">
        <v>17</v>
      </c>
      <c r="U15" s="45">
        <v>17</v>
      </c>
      <c r="V15" s="45">
        <v>17</v>
      </c>
      <c r="W15" s="45">
        <v>17</v>
      </c>
      <c r="X15" s="45">
        <v>17</v>
      </c>
      <c r="Y15" s="45">
        <v>17</v>
      </c>
      <c r="Z15" s="45">
        <v>17</v>
      </c>
      <c r="AA15" s="45">
        <v>17</v>
      </c>
      <c r="AB15" s="45">
        <v>17</v>
      </c>
      <c r="AC15" s="45">
        <v>17</v>
      </c>
      <c r="AD15" s="45">
        <v>17</v>
      </c>
      <c r="AE15" s="45">
        <v>17</v>
      </c>
      <c r="AF15" s="45">
        <v>17</v>
      </c>
      <c r="AG15" s="50">
        <v>36</v>
      </c>
      <c r="AH15" s="47">
        <f t="shared" si="2"/>
        <v>17</v>
      </c>
      <c r="AI15" s="48">
        <f t="shared" si="3"/>
        <v>17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9.5</v>
      </c>
      <c r="C16" s="45">
        <v>9.5</v>
      </c>
      <c r="D16" s="45">
        <v>9.5</v>
      </c>
      <c r="E16" s="45">
        <v>9.5</v>
      </c>
      <c r="F16" s="45">
        <v>9.5</v>
      </c>
      <c r="G16" s="45">
        <v>9.5</v>
      </c>
      <c r="H16" s="45">
        <v>9.5</v>
      </c>
      <c r="I16" s="45">
        <v>9.5</v>
      </c>
      <c r="J16" s="45">
        <v>9.5</v>
      </c>
      <c r="K16" s="45">
        <v>9.5</v>
      </c>
      <c r="L16" s="45">
        <v>9.5</v>
      </c>
      <c r="M16" s="45">
        <v>9.5</v>
      </c>
      <c r="N16" s="45">
        <v>9.5</v>
      </c>
      <c r="O16" s="45">
        <v>9.6999999999999993</v>
      </c>
      <c r="P16" s="45">
        <v>9.6999999999999993</v>
      </c>
      <c r="Q16" s="45">
        <v>9.6999999999999993</v>
      </c>
      <c r="R16" s="45">
        <v>9.6999999999999993</v>
      </c>
      <c r="S16" s="45">
        <v>9.6999999999999993</v>
      </c>
      <c r="T16" s="45">
        <v>9.6999999999999993</v>
      </c>
      <c r="U16" s="45">
        <v>9.6999999999999993</v>
      </c>
      <c r="V16" s="45">
        <v>9.6999999999999993</v>
      </c>
      <c r="W16" s="45">
        <v>9.6999999999999993</v>
      </c>
      <c r="X16" s="45">
        <v>9.6999999999999993</v>
      </c>
      <c r="Y16" s="45">
        <v>9.6999999999999993</v>
      </c>
      <c r="Z16" s="45">
        <v>9.6999999999999993</v>
      </c>
      <c r="AA16" s="45">
        <v>9.6999999999999993</v>
      </c>
      <c r="AB16" s="45">
        <v>9.6999999999999993</v>
      </c>
      <c r="AC16" s="45">
        <v>9.6999999999999993</v>
      </c>
      <c r="AD16" s="45">
        <v>9.6999999999999993</v>
      </c>
      <c r="AE16" s="45">
        <v>9.6999999999999993</v>
      </c>
      <c r="AF16" s="45">
        <v>9.6999999999999993</v>
      </c>
      <c r="AG16" s="51">
        <v>30</v>
      </c>
      <c r="AH16" s="47">
        <f t="shared" si="2"/>
        <v>9.6999999999999993</v>
      </c>
      <c r="AI16" s="48">
        <f t="shared" si="3"/>
        <v>9.5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8.5</v>
      </c>
      <c r="C17" s="45">
        <v>8.5</v>
      </c>
      <c r="D17" s="45">
        <v>8.5</v>
      </c>
      <c r="E17" s="45">
        <v>8.5</v>
      </c>
      <c r="F17" s="45">
        <v>8.5</v>
      </c>
      <c r="G17" s="45">
        <v>8.5</v>
      </c>
      <c r="H17" s="45">
        <v>8.5</v>
      </c>
      <c r="I17" s="45">
        <v>8.5</v>
      </c>
      <c r="J17" s="45">
        <v>8.5</v>
      </c>
      <c r="K17" s="45">
        <v>8.5</v>
      </c>
      <c r="L17" s="45">
        <v>8.5</v>
      </c>
      <c r="M17" s="45">
        <v>8.5</v>
      </c>
      <c r="N17" s="45">
        <v>8.5</v>
      </c>
      <c r="O17" s="45">
        <v>8.5</v>
      </c>
      <c r="P17" s="45">
        <v>8.5</v>
      </c>
      <c r="Q17" s="45">
        <v>8.5</v>
      </c>
      <c r="R17" s="45">
        <v>8.5</v>
      </c>
      <c r="S17" s="45">
        <v>8.5</v>
      </c>
      <c r="T17" s="45">
        <v>8.5</v>
      </c>
      <c r="U17" s="45">
        <v>8.5</v>
      </c>
      <c r="V17" s="45">
        <v>8.5</v>
      </c>
      <c r="W17" s="45">
        <v>8.5</v>
      </c>
      <c r="X17" s="45">
        <v>8.5</v>
      </c>
      <c r="Y17" s="45">
        <v>8.5</v>
      </c>
      <c r="Z17" s="45">
        <v>8.5</v>
      </c>
      <c r="AA17" s="45">
        <v>8.5</v>
      </c>
      <c r="AB17" s="45">
        <v>8.5</v>
      </c>
      <c r="AC17" s="45">
        <v>8.5</v>
      </c>
      <c r="AD17" s="45">
        <v>8.5</v>
      </c>
      <c r="AE17" s="45">
        <v>8.5</v>
      </c>
      <c r="AF17" s="45">
        <v>8.5</v>
      </c>
      <c r="AG17" s="50">
        <v>24.2</v>
      </c>
      <c r="AH17" s="47">
        <f t="shared" si="2"/>
        <v>8.5</v>
      </c>
      <c r="AI17" s="48">
        <f t="shared" si="3"/>
        <v>8.5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0">
        <v>28</v>
      </c>
      <c r="AH18" s="47">
        <f t="shared" si="2"/>
        <v>13</v>
      </c>
      <c r="AI18" s="48">
        <f t="shared" si="3"/>
        <v>13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>
        <v>10</v>
      </c>
      <c r="L20" s="45">
        <v>10</v>
      </c>
      <c r="M20" s="45">
        <v>10</v>
      </c>
      <c r="N20" s="45">
        <v>10</v>
      </c>
      <c r="O20" s="45">
        <v>10</v>
      </c>
      <c r="P20" s="45">
        <v>10</v>
      </c>
      <c r="Q20" s="45">
        <v>10</v>
      </c>
      <c r="R20" s="45">
        <v>10</v>
      </c>
      <c r="S20" s="45">
        <v>10</v>
      </c>
      <c r="T20" s="45">
        <v>10</v>
      </c>
      <c r="U20" s="45">
        <v>10</v>
      </c>
      <c r="V20" s="45">
        <v>10</v>
      </c>
      <c r="W20" s="45">
        <v>10</v>
      </c>
      <c r="X20" s="45">
        <v>10</v>
      </c>
      <c r="Y20" s="45">
        <v>10</v>
      </c>
      <c r="Z20" s="45">
        <v>10</v>
      </c>
      <c r="AA20" s="45">
        <v>10</v>
      </c>
      <c r="AB20" s="45">
        <v>10</v>
      </c>
      <c r="AC20" s="45">
        <v>10</v>
      </c>
      <c r="AD20" s="45">
        <v>10</v>
      </c>
      <c r="AE20" s="45">
        <v>10</v>
      </c>
      <c r="AF20" s="45">
        <v>10</v>
      </c>
      <c r="AG20" s="50">
        <v>25</v>
      </c>
      <c r="AH20" s="47">
        <f t="shared" si="2"/>
        <v>10</v>
      </c>
      <c r="AI20" s="48">
        <f t="shared" si="3"/>
        <v>10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0">
        <v>25</v>
      </c>
      <c r="AH22" s="47">
        <f t="shared" si="2"/>
        <v>11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9.1</v>
      </c>
      <c r="C24" s="45">
        <v>9.1</v>
      </c>
      <c r="D24" s="45">
        <v>9.1</v>
      </c>
      <c r="E24" s="45">
        <v>9.1</v>
      </c>
      <c r="F24" s="45">
        <v>9.1</v>
      </c>
      <c r="G24" s="45">
        <v>9.1</v>
      </c>
      <c r="H24" s="45">
        <v>9.1</v>
      </c>
      <c r="I24" s="45">
        <v>9.1</v>
      </c>
      <c r="J24" s="45">
        <v>9.1</v>
      </c>
      <c r="K24" s="45">
        <v>9.1</v>
      </c>
      <c r="L24" s="45">
        <v>9.1</v>
      </c>
      <c r="M24" s="45">
        <v>9.1</v>
      </c>
      <c r="N24" s="45">
        <v>9.1</v>
      </c>
      <c r="O24" s="45">
        <v>9.1</v>
      </c>
      <c r="P24" s="45">
        <v>9.1</v>
      </c>
      <c r="Q24" s="45">
        <v>9.1</v>
      </c>
      <c r="R24" s="45">
        <v>9.1</v>
      </c>
      <c r="S24" s="45">
        <v>9.1</v>
      </c>
      <c r="T24" s="45">
        <v>9.1</v>
      </c>
      <c r="U24" s="45">
        <v>9.1</v>
      </c>
      <c r="V24" s="45">
        <v>9.1</v>
      </c>
      <c r="W24" s="45">
        <v>9.1</v>
      </c>
      <c r="X24" s="45">
        <v>9.1</v>
      </c>
      <c r="Y24" s="45">
        <v>9.1</v>
      </c>
      <c r="Z24" s="45">
        <v>9.1</v>
      </c>
      <c r="AA24" s="45">
        <v>9.1</v>
      </c>
      <c r="AB24" s="45">
        <v>9.1</v>
      </c>
      <c r="AC24" s="45">
        <v>9.1</v>
      </c>
      <c r="AD24" s="45">
        <v>9.1</v>
      </c>
      <c r="AE24" s="45">
        <v>9.1</v>
      </c>
      <c r="AF24" s="45">
        <v>9.1</v>
      </c>
      <c r="AG24" s="50">
        <v>23.5</v>
      </c>
      <c r="AH24" s="47">
        <f t="shared" si="2"/>
        <v>9.1</v>
      </c>
      <c r="AI24" s="48">
        <f t="shared" si="3"/>
        <v>9.1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0">
        <v>22</v>
      </c>
      <c r="AH28" s="47">
        <f t="shared" si="2"/>
        <v>12</v>
      </c>
      <c r="AI28" s="48">
        <f t="shared" si="3"/>
        <v>12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5</v>
      </c>
      <c r="C30" s="45">
        <v>5</v>
      </c>
      <c r="D30" s="45">
        <v>5</v>
      </c>
      <c r="E30" s="45">
        <v>5</v>
      </c>
      <c r="F30" s="45">
        <v>5</v>
      </c>
      <c r="G30" s="45">
        <v>5</v>
      </c>
      <c r="H30" s="45">
        <v>5</v>
      </c>
      <c r="I30" s="45">
        <v>5</v>
      </c>
      <c r="J30" s="45">
        <v>5</v>
      </c>
      <c r="K30" s="45">
        <v>5</v>
      </c>
      <c r="L30" s="45">
        <v>5</v>
      </c>
      <c r="M30" s="45">
        <v>5</v>
      </c>
      <c r="N30" s="45">
        <v>5</v>
      </c>
      <c r="O30" s="45">
        <v>5</v>
      </c>
      <c r="P30" s="45">
        <v>5</v>
      </c>
      <c r="Q30" s="45">
        <v>5</v>
      </c>
      <c r="R30" s="45">
        <v>5</v>
      </c>
      <c r="S30" s="45">
        <v>5</v>
      </c>
      <c r="T30" s="45">
        <v>5</v>
      </c>
      <c r="U30" s="45">
        <v>5</v>
      </c>
      <c r="V30" s="45">
        <v>5</v>
      </c>
      <c r="W30" s="45">
        <v>5</v>
      </c>
      <c r="X30" s="45">
        <v>5</v>
      </c>
      <c r="Y30" s="45">
        <v>5</v>
      </c>
      <c r="Z30" s="45">
        <v>5</v>
      </c>
      <c r="AA30" s="45">
        <v>5</v>
      </c>
      <c r="AB30" s="45">
        <v>5</v>
      </c>
      <c r="AC30" s="45">
        <v>5</v>
      </c>
      <c r="AD30" s="45">
        <v>5</v>
      </c>
      <c r="AE30" s="45">
        <v>5</v>
      </c>
      <c r="AF30" s="45">
        <v>5</v>
      </c>
      <c r="AG30" s="50">
        <v>18</v>
      </c>
      <c r="AH30" s="47">
        <f t="shared" si="2"/>
        <v>5</v>
      </c>
      <c r="AI30" s="48">
        <f t="shared" si="3"/>
        <v>5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>
        <v>10</v>
      </c>
      <c r="L35" s="45">
        <v>10</v>
      </c>
      <c r="M35" s="45">
        <v>10</v>
      </c>
      <c r="N35" s="45">
        <v>10</v>
      </c>
      <c r="O35" s="45">
        <v>10</v>
      </c>
      <c r="P35" s="45">
        <v>10</v>
      </c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45">
        <v>10</v>
      </c>
      <c r="Z35" s="45">
        <v>10</v>
      </c>
      <c r="AA35" s="45">
        <v>10</v>
      </c>
      <c r="AB35" s="45">
        <v>10</v>
      </c>
      <c r="AC35" s="45">
        <v>10</v>
      </c>
      <c r="AD35" s="45">
        <v>10</v>
      </c>
      <c r="AE35" s="45">
        <v>10</v>
      </c>
      <c r="AF35" s="45">
        <v>10</v>
      </c>
      <c r="AG35" s="50">
        <v>12</v>
      </c>
      <c r="AH35" s="47">
        <f t="shared" si="2"/>
        <v>10</v>
      </c>
      <c r="AI35" s="48">
        <f t="shared" si="3"/>
        <v>10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150</v>
      </c>
      <c r="C42" s="56">
        <v>150</v>
      </c>
      <c r="D42" s="56">
        <v>150</v>
      </c>
      <c r="E42" s="56">
        <v>150</v>
      </c>
      <c r="F42" s="56">
        <v>150</v>
      </c>
      <c r="G42" s="56">
        <v>150</v>
      </c>
      <c r="H42" s="56">
        <v>150</v>
      </c>
      <c r="I42" s="56">
        <v>150</v>
      </c>
      <c r="J42" s="56">
        <v>150</v>
      </c>
      <c r="K42" s="56">
        <v>150</v>
      </c>
      <c r="L42" s="56">
        <v>150</v>
      </c>
      <c r="M42" s="56">
        <v>150</v>
      </c>
      <c r="N42" s="56">
        <v>150</v>
      </c>
      <c r="O42" s="56">
        <v>150</v>
      </c>
      <c r="P42" s="56">
        <v>150</v>
      </c>
      <c r="Q42" s="56">
        <v>150</v>
      </c>
      <c r="R42" s="56">
        <v>150</v>
      </c>
      <c r="S42" s="56">
        <v>150</v>
      </c>
      <c r="T42" s="56">
        <v>150</v>
      </c>
      <c r="U42" s="56">
        <v>150</v>
      </c>
      <c r="V42" s="56">
        <v>150</v>
      </c>
      <c r="W42" s="56">
        <v>150</v>
      </c>
      <c r="X42" s="56">
        <v>150</v>
      </c>
      <c r="Y42" s="56">
        <v>150</v>
      </c>
      <c r="Z42" s="56">
        <v>150</v>
      </c>
      <c r="AA42" s="56">
        <v>150</v>
      </c>
      <c r="AB42" s="56">
        <v>150</v>
      </c>
      <c r="AC42" s="56">
        <v>150</v>
      </c>
      <c r="AD42" s="56">
        <v>150</v>
      </c>
      <c r="AE42" s="56">
        <v>150</v>
      </c>
      <c r="AF42" s="56">
        <v>150</v>
      </c>
      <c r="AG42" s="54">
        <v>85</v>
      </c>
      <c r="AH42" s="47">
        <f t="shared" si="2"/>
        <v>150</v>
      </c>
      <c r="AI42" s="48">
        <f t="shared" si="3"/>
        <v>150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:AG44" si="4">SUM(B11:B42)</f>
        <v>456.09999999999997</v>
      </c>
      <c r="C44" s="60">
        <f t="shared" si="4"/>
        <v>456.09999999999997</v>
      </c>
      <c r="D44" s="60">
        <f t="shared" si="4"/>
        <v>456.09999999999997</v>
      </c>
      <c r="E44" s="60">
        <f t="shared" si="4"/>
        <v>456.09999999999997</v>
      </c>
      <c r="F44" s="60">
        <f t="shared" si="4"/>
        <v>456.09999999999997</v>
      </c>
      <c r="G44" s="60">
        <f t="shared" si="4"/>
        <v>456.09999999999997</v>
      </c>
      <c r="H44" s="60">
        <f t="shared" si="4"/>
        <v>456.09999999999997</v>
      </c>
      <c r="I44" s="60">
        <f t="shared" si="4"/>
        <v>456.09999999999997</v>
      </c>
      <c r="J44" s="60">
        <f t="shared" si="4"/>
        <v>456.09999999999997</v>
      </c>
      <c r="K44" s="60">
        <f t="shared" si="4"/>
        <v>456.09999999999997</v>
      </c>
      <c r="L44" s="60">
        <f t="shared" si="4"/>
        <v>456.09999999999997</v>
      </c>
      <c r="M44" s="60">
        <f t="shared" si="4"/>
        <v>453.8</v>
      </c>
      <c r="N44" s="60">
        <f t="shared" si="4"/>
        <v>449.4</v>
      </c>
      <c r="O44" s="60">
        <f t="shared" si="4"/>
        <v>451.49999999999994</v>
      </c>
      <c r="P44" s="60">
        <f t="shared" si="4"/>
        <v>449.2</v>
      </c>
      <c r="Q44" s="60">
        <f t="shared" si="4"/>
        <v>448.7</v>
      </c>
      <c r="R44" s="60">
        <f t="shared" si="4"/>
        <v>449.2</v>
      </c>
      <c r="S44" s="60">
        <f t="shared" si="4"/>
        <v>449.2</v>
      </c>
      <c r="T44" s="60">
        <f t="shared" si="4"/>
        <v>449.2</v>
      </c>
      <c r="U44" s="60">
        <f t="shared" si="4"/>
        <v>449.2</v>
      </c>
      <c r="V44" s="60">
        <f t="shared" si="4"/>
        <v>449.2</v>
      </c>
      <c r="W44" s="60">
        <f>SUM(W11:W42)</f>
        <v>449.2</v>
      </c>
      <c r="X44" s="60">
        <v>457.7</v>
      </c>
      <c r="Y44" s="60">
        <f>SUM(Y11:Y42)</f>
        <v>455.8</v>
      </c>
      <c r="Z44" s="60">
        <f>SUM(Z11:Z42)</f>
        <v>455.9</v>
      </c>
      <c r="AA44" s="60">
        <f t="shared" si="4"/>
        <v>455.9</v>
      </c>
      <c r="AB44" s="60">
        <f t="shared" si="4"/>
        <v>455.9</v>
      </c>
      <c r="AC44" s="60">
        <f t="shared" si="4"/>
        <v>455.9</v>
      </c>
      <c r="AD44" s="60">
        <f t="shared" si="4"/>
        <v>455.9</v>
      </c>
      <c r="AE44" s="60">
        <f t="shared" si="4"/>
        <v>455.9</v>
      </c>
      <c r="AF44" s="60">
        <f t="shared" si="4"/>
        <v>455.9</v>
      </c>
      <c r="AG44" s="61">
        <f t="shared" si="4"/>
        <v>814.78000000000009</v>
      </c>
      <c r="AH44" s="47">
        <f t="shared" si="2"/>
        <v>457.7</v>
      </c>
      <c r="AI44" s="48">
        <f t="shared" si="3"/>
        <v>448.7</v>
      </c>
      <c r="AK44" s="49"/>
    </row>
    <row r="45" spans="1:88" x14ac:dyDescent="0.25">
      <c r="A45" s="62" t="s">
        <v>53</v>
      </c>
      <c r="B45" s="45">
        <v>70</v>
      </c>
      <c r="C45" s="45">
        <v>70</v>
      </c>
      <c r="D45" s="45">
        <v>50</v>
      </c>
      <c r="E45" s="45">
        <v>55</v>
      </c>
      <c r="F45" s="45">
        <v>55</v>
      </c>
      <c r="G45" s="45">
        <v>70</v>
      </c>
      <c r="H45" s="45">
        <v>60</v>
      </c>
      <c r="I45" s="45">
        <v>60</v>
      </c>
      <c r="J45" s="45">
        <v>50</v>
      </c>
      <c r="K45" s="45">
        <v>50</v>
      </c>
      <c r="L45" s="45">
        <v>95</v>
      </c>
      <c r="M45" s="63">
        <v>135</v>
      </c>
      <c r="N45" s="63">
        <v>135</v>
      </c>
      <c r="O45" s="45">
        <v>135</v>
      </c>
      <c r="P45" s="45">
        <v>80</v>
      </c>
      <c r="Q45" s="45">
        <v>110</v>
      </c>
      <c r="R45" s="45">
        <v>120</v>
      </c>
      <c r="S45" s="45">
        <v>75</v>
      </c>
      <c r="T45" s="45">
        <v>34.799999999999997</v>
      </c>
      <c r="U45" s="45">
        <v>70</v>
      </c>
      <c r="V45" s="45">
        <v>70</v>
      </c>
      <c r="W45" s="45">
        <v>70</v>
      </c>
      <c r="X45" s="45">
        <v>100</v>
      </c>
      <c r="Y45" s="45">
        <v>190</v>
      </c>
      <c r="Z45" s="45">
        <v>140</v>
      </c>
      <c r="AA45" s="45">
        <v>140</v>
      </c>
      <c r="AB45" s="45">
        <v>140</v>
      </c>
      <c r="AC45" s="45">
        <v>120</v>
      </c>
      <c r="AD45" s="45">
        <v>120</v>
      </c>
      <c r="AE45" s="45">
        <v>110</v>
      </c>
      <c r="AF45" s="45">
        <v>110</v>
      </c>
      <c r="AG45" s="51">
        <v>456</v>
      </c>
      <c r="AH45" s="47">
        <f t="shared" si="2"/>
        <v>190</v>
      </c>
      <c r="AI45" s="48">
        <f t="shared" si="3"/>
        <v>34.799999999999997</v>
      </c>
      <c r="AK45" s="49"/>
    </row>
    <row r="46" spans="1:88" x14ac:dyDescent="0.25">
      <c r="A46" s="64" t="s">
        <v>54</v>
      </c>
      <c r="B46" s="65">
        <v>41</v>
      </c>
      <c r="C46" s="65">
        <v>41</v>
      </c>
      <c r="D46" s="65">
        <v>41</v>
      </c>
      <c r="E46" s="65">
        <v>41</v>
      </c>
      <c r="F46" s="65">
        <v>41</v>
      </c>
      <c r="G46" s="65">
        <v>41</v>
      </c>
      <c r="H46" s="65">
        <v>41</v>
      </c>
      <c r="I46" s="65">
        <v>41</v>
      </c>
      <c r="J46" s="65">
        <v>41</v>
      </c>
      <c r="K46" s="65">
        <v>41</v>
      </c>
      <c r="L46" s="65">
        <v>41</v>
      </c>
      <c r="M46" s="65">
        <v>41</v>
      </c>
      <c r="N46" s="65">
        <v>41</v>
      </c>
      <c r="O46" s="65">
        <v>41</v>
      </c>
      <c r="P46" s="65">
        <v>41</v>
      </c>
      <c r="Q46" s="65">
        <v>41</v>
      </c>
      <c r="R46" s="65">
        <v>41</v>
      </c>
      <c r="S46" s="65">
        <v>41</v>
      </c>
      <c r="T46" s="65">
        <v>41</v>
      </c>
      <c r="U46" s="65">
        <v>41</v>
      </c>
      <c r="V46" s="65">
        <v>41</v>
      </c>
      <c r="W46" s="65">
        <v>41</v>
      </c>
      <c r="X46" s="65">
        <v>41</v>
      </c>
      <c r="Y46" s="65">
        <v>41</v>
      </c>
      <c r="Z46" s="65">
        <v>41</v>
      </c>
      <c r="AA46" s="65">
        <v>41</v>
      </c>
      <c r="AB46" s="65">
        <v>41</v>
      </c>
      <c r="AC46" s="65">
        <v>35</v>
      </c>
      <c r="AD46" s="65">
        <v>35</v>
      </c>
      <c r="AE46" s="65">
        <v>35</v>
      </c>
      <c r="AF46" s="65">
        <v>35</v>
      </c>
      <c r="AG46" s="54">
        <v>60</v>
      </c>
      <c r="AH46" s="47">
        <f t="shared" si="2"/>
        <v>41</v>
      </c>
      <c r="AI46" s="48">
        <f t="shared" si="3"/>
        <v>35</v>
      </c>
      <c r="AK46" s="49"/>
    </row>
    <row r="47" spans="1:88" ht="15.75" thickBot="1" x14ac:dyDescent="0.3">
      <c r="A47" s="66" t="s">
        <v>55</v>
      </c>
      <c r="B47" s="67">
        <v>12</v>
      </c>
      <c r="C47" s="67">
        <v>12</v>
      </c>
      <c r="D47" s="67">
        <v>12</v>
      </c>
      <c r="E47" s="67">
        <v>12</v>
      </c>
      <c r="F47" s="67">
        <v>12</v>
      </c>
      <c r="G47" s="67">
        <v>12.2</v>
      </c>
      <c r="H47" s="67">
        <v>12.2</v>
      </c>
      <c r="I47" s="67">
        <v>12.2</v>
      </c>
      <c r="J47" s="67">
        <v>12.2</v>
      </c>
      <c r="K47" s="67">
        <v>12.2</v>
      </c>
      <c r="L47" s="67">
        <v>10.199999999999999</v>
      </c>
      <c r="M47" s="67">
        <v>10.199999999999999</v>
      </c>
      <c r="N47" s="67">
        <v>10.199999999999999</v>
      </c>
      <c r="O47" s="67">
        <v>10.199999999999999</v>
      </c>
      <c r="P47" s="67">
        <v>10.7</v>
      </c>
      <c r="Q47" s="67">
        <v>10.7</v>
      </c>
      <c r="R47" s="67">
        <v>10.7</v>
      </c>
      <c r="S47" s="67">
        <v>10.7</v>
      </c>
      <c r="T47" s="67">
        <v>10.7</v>
      </c>
      <c r="U47" s="67">
        <v>10.7</v>
      </c>
      <c r="V47" s="67">
        <v>10.7</v>
      </c>
      <c r="W47" s="67">
        <v>10.7</v>
      </c>
      <c r="X47" s="67">
        <v>20</v>
      </c>
      <c r="Y47" s="67">
        <v>20</v>
      </c>
      <c r="Z47" s="67">
        <v>20</v>
      </c>
      <c r="AA47" s="67">
        <v>20</v>
      </c>
      <c r="AB47" s="67">
        <v>20</v>
      </c>
      <c r="AC47" s="67">
        <v>14</v>
      </c>
      <c r="AD47" s="67">
        <v>11.6</v>
      </c>
      <c r="AE47" s="67">
        <v>11.6</v>
      </c>
      <c r="AF47" s="67">
        <v>11.6</v>
      </c>
      <c r="AG47" s="68">
        <v>22.1</v>
      </c>
      <c r="AH47" s="47">
        <f t="shared" si="2"/>
        <v>20</v>
      </c>
      <c r="AI47" s="48">
        <f t="shared" si="3"/>
        <v>10.199999999999999</v>
      </c>
      <c r="AK47" s="49"/>
    </row>
    <row r="48" spans="1:88" ht="15.75" thickBot="1" x14ac:dyDescent="0.3">
      <c r="A48" s="69" t="s">
        <v>56</v>
      </c>
      <c r="B48" s="60">
        <f t="shared" ref="B48:AG48" si="5">SUM(B45:B47)</f>
        <v>123</v>
      </c>
      <c r="C48" s="60">
        <f t="shared" si="5"/>
        <v>123</v>
      </c>
      <c r="D48" s="60">
        <f t="shared" si="5"/>
        <v>103</v>
      </c>
      <c r="E48" s="60">
        <f t="shared" si="5"/>
        <v>108</v>
      </c>
      <c r="F48" s="60">
        <f t="shared" si="5"/>
        <v>108</v>
      </c>
      <c r="G48" s="60">
        <f t="shared" si="5"/>
        <v>123.2</v>
      </c>
      <c r="H48" s="60">
        <f t="shared" si="5"/>
        <v>113.2</v>
      </c>
      <c r="I48" s="60">
        <f t="shared" si="5"/>
        <v>113.2</v>
      </c>
      <c r="J48" s="60">
        <f t="shared" si="5"/>
        <v>103.2</v>
      </c>
      <c r="K48" s="60">
        <f t="shared" si="5"/>
        <v>103.2</v>
      </c>
      <c r="L48" s="60">
        <f t="shared" si="5"/>
        <v>146.19999999999999</v>
      </c>
      <c r="M48" s="60">
        <f t="shared" si="5"/>
        <v>186.2</v>
      </c>
      <c r="N48" s="60">
        <f t="shared" si="5"/>
        <v>186.2</v>
      </c>
      <c r="O48" s="60">
        <f t="shared" si="5"/>
        <v>186.2</v>
      </c>
      <c r="P48" s="60">
        <f t="shared" si="5"/>
        <v>131.69999999999999</v>
      </c>
      <c r="Q48" s="60">
        <f t="shared" si="5"/>
        <v>161.69999999999999</v>
      </c>
      <c r="R48" s="60">
        <f t="shared" si="5"/>
        <v>171.7</v>
      </c>
      <c r="S48" s="60">
        <f t="shared" si="5"/>
        <v>126.7</v>
      </c>
      <c r="T48" s="60">
        <f t="shared" si="5"/>
        <v>86.5</v>
      </c>
      <c r="U48" s="60">
        <f t="shared" si="5"/>
        <v>121.7</v>
      </c>
      <c r="V48" s="60">
        <f>SUM(V45:V47)</f>
        <v>121.7</v>
      </c>
      <c r="W48" s="60">
        <f t="shared" si="5"/>
        <v>121.7</v>
      </c>
      <c r="X48" s="60">
        <v>161</v>
      </c>
      <c r="Y48" s="60">
        <f t="shared" si="5"/>
        <v>251</v>
      </c>
      <c r="Z48" s="60">
        <f t="shared" si="5"/>
        <v>201</v>
      </c>
      <c r="AA48" s="60">
        <f t="shared" si="5"/>
        <v>201</v>
      </c>
      <c r="AB48" s="60">
        <f t="shared" si="5"/>
        <v>201</v>
      </c>
      <c r="AC48" s="60">
        <f t="shared" si="5"/>
        <v>169</v>
      </c>
      <c r="AD48" s="60">
        <f t="shared" si="5"/>
        <v>166.6</v>
      </c>
      <c r="AE48" s="60">
        <f t="shared" si="5"/>
        <v>156.6</v>
      </c>
      <c r="AF48" s="60">
        <f t="shared" si="5"/>
        <v>156.6</v>
      </c>
      <c r="AG48" s="61">
        <f t="shared" si="5"/>
        <v>538.1</v>
      </c>
      <c r="AH48" s="47">
        <f t="shared" si="2"/>
        <v>251</v>
      </c>
      <c r="AI48" s="48">
        <f t="shared" si="3"/>
        <v>86.5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21.9</v>
      </c>
      <c r="I49" s="45">
        <v>65</v>
      </c>
      <c r="J49" s="45">
        <v>87.2</v>
      </c>
      <c r="K49" s="45">
        <v>97</v>
      </c>
      <c r="L49" s="45">
        <v>97.6</v>
      </c>
      <c r="M49" s="45">
        <v>131.80000000000001</v>
      </c>
      <c r="N49" s="45">
        <v>132.30000000000001</v>
      </c>
      <c r="O49" s="45">
        <v>91.9</v>
      </c>
      <c r="P49" s="45">
        <v>61</v>
      </c>
      <c r="Q49" s="45">
        <v>94.7</v>
      </c>
      <c r="R49" s="45">
        <v>94.7</v>
      </c>
      <c r="S49" s="45">
        <v>93.6</v>
      </c>
      <c r="T49" s="45">
        <v>114.7</v>
      </c>
      <c r="U49" s="45">
        <v>110</v>
      </c>
      <c r="V49" s="45">
        <v>61.6</v>
      </c>
      <c r="W49" s="45">
        <v>110</v>
      </c>
      <c r="X49" s="45">
        <v>140</v>
      </c>
      <c r="Y49" s="45">
        <v>140</v>
      </c>
      <c r="Z49" s="45">
        <v>121</v>
      </c>
      <c r="AA49" s="45">
        <v>121</v>
      </c>
      <c r="AB49" s="45">
        <v>92</v>
      </c>
      <c r="AC49" s="45">
        <v>93.7</v>
      </c>
      <c r="AD49" s="45">
        <v>82</v>
      </c>
      <c r="AE49" s="45">
        <v>45</v>
      </c>
      <c r="AF49" s="45">
        <v>0</v>
      </c>
      <c r="AG49" s="51">
        <v>144</v>
      </c>
      <c r="AH49" s="47">
        <f t="shared" si="2"/>
        <v>140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20</v>
      </c>
      <c r="H50" s="65">
        <v>20.399999999999999</v>
      </c>
      <c r="I50" s="65">
        <v>21.5</v>
      </c>
      <c r="J50" s="65">
        <v>36.5</v>
      </c>
      <c r="K50" s="65">
        <v>46.6</v>
      </c>
      <c r="L50" s="65">
        <v>70.7</v>
      </c>
      <c r="M50" s="65">
        <v>70.099999999999994</v>
      </c>
      <c r="N50" s="65">
        <v>68.8</v>
      </c>
      <c r="O50" s="65">
        <v>50</v>
      </c>
      <c r="P50" s="65">
        <v>62.3</v>
      </c>
      <c r="Q50" s="65">
        <v>62.3</v>
      </c>
      <c r="R50" s="45">
        <v>60</v>
      </c>
      <c r="S50" s="45">
        <v>64.5</v>
      </c>
      <c r="T50" s="45">
        <v>0</v>
      </c>
      <c r="U50" s="45">
        <v>0</v>
      </c>
      <c r="V50" s="45">
        <v>0</v>
      </c>
      <c r="W50" s="45">
        <v>0</v>
      </c>
      <c r="X50" s="45">
        <v>0</v>
      </c>
      <c r="Y50" s="45">
        <v>70.400000000000006</v>
      </c>
      <c r="Z50" s="45">
        <v>70.099999999999994</v>
      </c>
      <c r="AA50" s="45">
        <v>70.099999999999994</v>
      </c>
      <c r="AB50" s="45">
        <v>33</v>
      </c>
      <c r="AC50" s="45">
        <v>40</v>
      </c>
      <c r="AD50" s="65">
        <v>20.9</v>
      </c>
      <c r="AE50" s="65">
        <v>20.9</v>
      </c>
      <c r="AF50" s="65">
        <v>0</v>
      </c>
      <c r="AG50" s="54">
        <v>70</v>
      </c>
      <c r="AH50" s="47">
        <f t="shared" si="2"/>
        <v>70.7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22.6</v>
      </c>
      <c r="C51" s="65">
        <v>16.600000000000001</v>
      </c>
      <c r="D51" s="65">
        <v>16.600000000000001</v>
      </c>
      <c r="E51" s="65">
        <v>0</v>
      </c>
      <c r="F51" s="65">
        <v>0</v>
      </c>
      <c r="G51" s="65">
        <v>17.899999999999999</v>
      </c>
      <c r="H51" s="65">
        <v>36.200000000000003</v>
      </c>
      <c r="I51" s="65">
        <v>34</v>
      </c>
      <c r="J51" s="65">
        <v>65.599999999999994</v>
      </c>
      <c r="K51" s="65">
        <v>69</v>
      </c>
      <c r="L51" s="65">
        <v>67.400000000000006</v>
      </c>
      <c r="M51" s="65">
        <v>66.7</v>
      </c>
      <c r="N51" s="65">
        <v>67</v>
      </c>
      <c r="O51" s="65">
        <v>31.9</v>
      </c>
      <c r="P51" s="65">
        <v>44.2</v>
      </c>
      <c r="Q51" s="65">
        <v>44.2</v>
      </c>
      <c r="R51" s="45">
        <v>45.2</v>
      </c>
      <c r="S51" s="45">
        <v>45.2</v>
      </c>
      <c r="T51" s="45">
        <v>45.2</v>
      </c>
      <c r="U51" s="45">
        <v>45</v>
      </c>
      <c r="V51" s="45">
        <v>39</v>
      </c>
      <c r="W51" s="45">
        <v>61.3</v>
      </c>
      <c r="X51" s="45">
        <v>60.8</v>
      </c>
      <c r="Y51" s="45">
        <v>66.900000000000006</v>
      </c>
      <c r="Z51" s="45">
        <v>52.6</v>
      </c>
      <c r="AA51" s="45">
        <v>52.6</v>
      </c>
      <c r="AB51" s="45">
        <v>67</v>
      </c>
      <c r="AC51" s="45">
        <v>67</v>
      </c>
      <c r="AD51" s="65">
        <v>61.1</v>
      </c>
      <c r="AE51" s="65">
        <v>39.6</v>
      </c>
      <c r="AF51" s="65">
        <v>32</v>
      </c>
      <c r="AG51" s="54">
        <v>69</v>
      </c>
      <c r="AH51" s="47">
        <f t="shared" si="2"/>
        <v>69</v>
      </c>
      <c r="AI51" s="48">
        <f t="shared" si="3"/>
        <v>0</v>
      </c>
      <c r="AK51" s="49"/>
    </row>
    <row r="52" spans="1:41" x14ac:dyDescent="0.25">
      <c r="A52" s="53" t="s">
        <v>60</v>
      </c>
      <c r="B52" s="56">
        <v>54.2</v>
      </c>
      <c r="C52" s="56">
        <v>54.2</v>
      </c>
      <c r="D52" s="56">
        <v>54.2</v>
      </c>
      <c r="E52" s="56">
        <v>50.4</v>
      </c>
      <c r="F52" s="56">
        <v>50.4</v>
      </c>
      <c r="G52" s="56">
        <v>50.4</v>
      </c>
      <c r="H52" s="56">
        <v>50.4</v>
      </c>
      <c r="I52" s="56">
        <v>50.2</v>
      </c>
      <c r="J52" s="56">
        <v>50.2</v>
      </c>
      <c r="K52" s="56">
        <v>50.2</v>
      </c>
      <c r="L52" s="56">
        <v>47.4</v>
      </c>
      <c r="M52" s="65">
        <v>47.1</v>
      </c>
      <c r="N52" s="65">
        <v>47.1</v>
      </c>
      <c r="O52" s="65">
        <v>48.3</v>
      </c>
      <c r="P52" s="65">
        <v>49.1</v>
      </c>
      <c r="Q52" s="65">
        <v>49.1</v>
      </c>
      <c r="R52" s="45">
        <v>46.4</v>
      </c>
      <c r="S52" s="45">
        <v>46.4</v>
      </c>
      <c r="T52" s="45">
        <v>46.6</v>
      </c>
      <c r="U52" s="45">
        <v>46.6</v>
      </c>
      <c r="V52" s="45">
        <v>46.4</v>
      </c>
      <c r="W52" s="45">
        <v>46.4</v>
      </c>
      <c r="X52" s="65">
        <v>46.6</v>
      </c>
      <c r="Y52" s="65">
        <v>47.1</v>
      </c>
      <c r="Z52" s="65">
        <v>47.1</v>
      </c>
      <c r="AA52" s="65">
        <v>47.1</v>
      </c>
      <c r="AB52" s="65">
        <v>47.1</v>
      </c>
      <c r="AC52" s="65">
        <v>47.1</v>
      </c>
      <c r="AD52" s="65">
        <v>50.4</v>
      </c>
      <c r="AE52" s="65">
        <v>50.4</v>
      </c>
      <c r="AF52" s="65">
        <v>50.4</v>
      </c>
      <c r="AG52" s="54">
        <v>60</v>
      </c>
      <c r="AH52" s="47">
        <f t="shared" si="2"/>
        <v>54.2</v>
      </c>
      <c r="AI52" s="48">
        <f t="shared" si="3"/>
        <v>46.4</v>
      </c>
      <c r="AK52" s="49"/>
    </row>
    <row r="53" spans="1:41" x14ac:dyDescent="0.25">
      <c r="A53" s="53" t="s">
        <v>61</v>
      </c>
      <c r="B53" s="56">
        <v>0</v>
      </c>
      <c r="C53" s="56">
        <v>0</v>
      </c>
      <c r="D53" s="56">
        <v>0</v>
      </c>
      <c r="E53" s="56">
        <v>0</v>
      </c>
      <c r="F53" s="56">
        <v>0</v>
      </c>
      <c r="G53" s="56">
        <v>10</v>
      </c>
      <c r="H53" s="56">
        <v>10</v>
      </c>
      <c r="I53" s="56">
        <v>10</v>
      </c>
      <c r="J53" s="56">
        <v>15</v>
      </c>
      <c r="K53" s="56">
        <v>30</v>
      </c>
      <c r="L53" s="56">
        <v>25</v>
      </c>
      <c r="M53" s="65">
        <v>25</v>
      </c>
      <c r="N53" s="65">
        <v>25</v>
      </c>
      <c r="O53" s="65">
        <v>15</v>
      </c>
      <c r="P53" s="65">
        <v>12.8</v>
      </c>
      <c r="Q53" s="65">
        <v>12.8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14.5</v>
      </c>
      <c r="Y53" s="65">
        <v>14.5</v>
      </c>
      <c r="Z53" s="65">
        <v>7.3</v>
      </c>
      <c r="AA53" s="65">
        <v>7.3</v>
      </c>
      <c r="AB53" s="65">
        <v>7.3</v>
      </c>
      <c r="AC53" s="65">
        <v>7.3</v>
      </c>
      <c r="AD53" s="65">
        <v>7.3</v>
      </c>
      <c r="AE53" s="65">
        <v>7.3</v>
      </c>
      <c r="AF53" s="65">
        <v>7.3</v>
      </c>
      <c r="AG53" s="54">
        <v>30</v>
      </c>
      <c r="AH53" s="47">
        <f t="shared" si="2"/>
        <v>30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0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17</v>
      </c>
      <c r="C55" s="65">
        <v>17</v>
      </c>
      <c r="D55" s="65">
        <v>17</v>
      </c>
      <c r="E55" s="65">
        <v>17</v>
      </c>
      <c r="F55" s="65">
        <v>17</v>
      </c>
      <c r="G55" s="65">
        <v>17</v>
      </c>
      <c r="H55" s="65">
        <v>17</v>
      </c>
      <c r="I55" s="65">
        <v>17</v>
      </c>
      <c r="J55" s="65">
        <v>17</v>
      </c>
      <c r="K55" s="65">
        <v>17</v>
      </c>
      <c r="L55" s="65">
        <v>17</v>
      </c>
      <c r="M55" s="65">
        <v>17</v>
      </c>
      <c r="N55" s="65">
        <v>17</v>
      </c>
      <c r="O55" s="65">
        <v>17</v>
      </c>
      <c r="P55" s="65">
        <v>17</v>
      </c>
      <c r="Q55" s="65">
        <v>17</v>
      </c>
      <c r="R55" s="65">
        <v>17</v>
      </c>
      <c r="S55" s="65">
        <v>17</v>
      </c>
      <c r="T55" s="65">
        <v>17</v>
      </c>
      <c r="U55" s="65">
        <v>17</v>
      </c>
      <c r="V55" s="65">
        <v>17</v>
      </c>
      <c r="W55" s="65">
        <v>17</v>
      </c>
      <c r="X55" s="65">
        <v>17</v>
      </c>
      <c r="Y55" s="65">
        <v>17</v>
      </c>
      <c r="Z55" s="65">
        <v>17</v>
      </c>
      <c r="AA55" s="65">
        <v>17</v>
      </c>
      <c r="AB55" s="65">
        <v>17</v>
      </c>
      <c r="AC55" s="65">
        <v>17</v>
      </c>
      <c r="AD55" s="65">
        <v>17</v>
      </c>
      <c r="AE55" s="65">
        <v>17</v>
      </c>
      <c r="AF55" s="65">
        <v>17</v>
      </c>
      <c r="AG55" s="54">
        <v>24</v>
      </c>
      <c r="AH55" s="47">
        <f t="shared" si="2"/>
        <v>17</v>
      </c>
      <c r="AI55" s="48">
        <f t="shared" si="3"/>
        <v>17</v>
      </c>
      <c r="AK55" s="49"/>
    </row>
    <row r="56" spans="1:41" x14ac:dyDescent="0.25">
      <c r="A56" s="53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4">
        <v>15</v>
      </c>
      <c r="AH56" s="47">
        <f t="shared" si="2"/>
        <v>3.2</v>
      </c>
      <c r="AI56" s="48">
        <f t="shared" si="3"/>
        <v>3.2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12.6</v>
      </c>
      <c r="C57" s="65">
        <v>12.6</v>
      </c>
      <c r="D57" s="65">
        <v>12.6</v>
      </c>
      <c r="E57" s="65">
        <v>12.6</v>
      </c>
      <c r="F57" s="65">
        <v>12.6</v>
      </c>
      <c r="G57" s="65">
        <v>12.6</v>
      </c>
      <c r="H57" s="65">
        <v>12.6</v>
      </c>
      <c r="I57" s="65">
        <v>12.6</v>
      </c>
      <c r="J57" s="65">
        <v>12.6</v>
      </c>
      <c r="K57" s="65">
        <v>12.6</v>
      </c>
      <c r="L57" s="65">
        <v>12.6</v>
      </c>
      <c r="M57" s="65">
        <v>12.6</v>
      </c>
      <c r="N57" s="65">
        <v>12.6</v>
      </c>
      <c r="O57" s="65">
        <v>12.6</v>
      </c>
      <c r="P57" s="65">
        <v>12.6</v>
      </c>
      <c r="Q57" s="65">
        <v>12.6</v>
      </c>
      <c r="R57" s="65">
        <v>12.6</v>
      </c>
      <c r="S57" s="65">
        <v>12.6</v>
      </c>
      <c r="T57" s="65">
        <v>12.6</v>
      </c>
      <c r="U57" s="65">
        <v>12.6</v>
      </c>
      <c r="V57" s="65">
        <v>12.6</v>
      </c>
      <c r="W57" s="65">
        <v>12.6</v>
      </c>
      <c r="X57" s="65">
        <v>12.6</v>
      </c>
      <c r="Y57" s="65">
        <v>12.6</v>
      </c>
      <c r="Z57" s="65">
        <v>12.6</v>
      </c>
      <c r="AA57" s="65">
        <v>12.6</v>
      </c>
      <c r="AB57" s="65">
        <v>12.6</v>
      </c>
      <c r="AC57" s="65">
        <v>12.6</v>
      </c>
      <c r="AD57" s="65">
        <v>12.6</v>
      </c>
      <c r="AE57" s="65">
        <v>12.6</v>
      </c>
      <c r="AF57" s="65">
        <v>12.6</v>
      </c>
      <c r="AG57" s="54">
        <v>14.1</v>
      </c>
      <c r="AH57" s="47">
        <f t="shared" si="2"/>
        <v>12.6</v>
      </c>
      <c r="AI57" s="48">
        <f t="shared" si="3"/>
        <v>12.6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4.8</v>
      </c>
      <c r="C58" s="65">
        <v>4.8</v>
      </c>
      <c r="D58" s="65">
        <v>4.8</v>
      </c>
      <c r="E58" s="65">
        <v>4.8</v>
      </c>
      <c r="F58" s="65">
        <v>4.8</v>
      </c>
      <c r="G58" s="65">
        <v>4.8</v>
      </c>
      <c r="H58" s="65">
        <v>4.8</v>
      </c>
      <c r="I58" s="65">
        <v>4.8</v>
      </c>
      <c r="J58" s="65">
        <v>4.8</v>
      </c>
      <c r="K58" s="65">
        <v>4.8</v>
      </c>
      <c r="L58" s="65">
        <v>4.8</v>
      </c>
      <c r="M58" s="65">
        <v>4.8</v>
      </c>
      <c r="N58" s="65">
        <v>4.8</v>
      </c>
      <c r="O58" s="65">
        <v>4.8</v>
      </c>
      <c r="P58" s="65">
        <v>4.8</v>
      </c>
      <c r="Q58" s="65">
        <v>4.8</v>
      </c>
      <c r="R58" s="65">
        <v>4.8</v>
      </c>
      <c r="S58" s="65">
        <v>4.8</v>
      </c>
      <c r="T58" s="65">
        <v>4.8</v>
      </c>
      <c r="U58" s="65">
        <v>4.8</v>
      </c>
      <c r="V58" s="65">
        <v>4.8</v>
      </c>
      <c r="W58" s="65">
        <v>4.8</v>
      </c>
      <c r="X58" s="65">
        <v>4.8</v>
      </c>
      <c r="Y58" s="65">
        <v>4.8</v>
      </c>
      <c r="Z58" s="65">
        <v>4.8</v>
      </c>
      <c r="AA58" s="65">
        <v>4.8</v>
      </c>
      <c r="AB58" s="65">
        <v>4.8</v>
      </c>
      <c r="AC58" s="65">
        <v>4.8</v>
      </c>
      <c r="AD58" s="65">
        <v>4.8</v>
      </c>
      <c r="AE58" s="65">
        <v>4.8</v>
      </c>
      <c r="AF58" s="65">
        <v>4.8</v>
      </c>
      <c r="AG58" s="54">
        <v>14</v>
      </c>
      <c r="AH58" s="47">
        <f t="shared" si="2"/>
        <v>4.8</v>
      </c>
      <c r="AI58" s="48">
        <f t="shared" si="3"/>
        <v>4.8</v>
      </c>
      <c r="AK58" s="49"/>
    </row>
    <row r="59" spans="1:41" x14ac:dyDescent="0.25">
      <c r="A59" s="53" t="s">
        <v>67</v>
      </c>
      <c r="B59" s="65">
        <v>5.2</v>
      </c>
      <c r="C59" s="65">
        <v>5.2</v>
      </c>
      <c r="D59" s="65">
        <v>5.2</v>
      </c>
      <c r="E59" s="65">
        <v>5.2</v>
      </c>
      <c r="F59" s="65">
        <v>5.2</v>
      </c>
      <c r="G59" s="65">
        <v>5.2</v>
      </c>
      <c r="H59" s="65">
        <v>5.2</v>
      </c>
      <c r="I59" s="65">
        <v>5.2</v>
      </c>
      <c r="J59" s="65">
        <v>5.2</v>
      </c>
      <c r="K59" s="65">
        <v>5.2</v>
      </c>
      <c r="L59" s="65">
        <v>5.2</v>
      </c>
      <c r="M59" s="65">
        <v>5.2</v>
      </c>
      <c r="N59" s="65">
        <v>5.2</v>
      </c>
      <c r="O59" s="65">
        <v>5.2</v>
      </c>
      <c r="P59" s="65">
        <v>5.2</v>
      </c>
      <c r="Q59" s="65">
        <v>5.2</v>
      </c>
      <c r="R59" s="65">
        <v>5.2</v>
      </c>
      <c r="S59" s="65">
        <v>5.2</v>
      </c>
      <c r="T59" s="65">
        <v>5.2</v>
      </c>
      <c r="U59" s="65">
        <v>5.2</v>
      </c>
      <c r="V59" s="65">
        <v>5.2</v>
      </c>
      <c r="W59" s="65">
        <v>5.2</v>
      </c>
      <c r="X59" s="65">
        <v>5.2</v>
      </c>
      <c r="Y59" s="65">
        <v>5.2</v>
      </c>
      <c r="Z59" s="65">
        <v>5.2</v>
      </c>
      <c r="AA59" s="65">
        <v>5.2</v>
      </c>
      <c r="AB59" s="65">
        <v>5.2</v>
      </c>
      <c r="AC59" s="65">
        <v>5.2</v>
      </c>
      <c r="AD59" s="65">
        <v>5.2</v>
      </c>
      <c r="AE59" s="65">
        <v>5.2</v>
      </c>
      <c r="AF59" s="65">
        <v>5.2</v>
      </c>
      <c r="AG59" s="54">
        <v>10.050000000000001</v>
      </c>
      <c r="AH59" s="47">
        <f t="shared" si="2"/>
        <v>5.2</v>
      </c>
      <c r="AI59" s="48">
        <f t="shared" si="3"/>
        <v>5.2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 t="shared" ref="B62:AG62" si="6">SUM(B49:B61)</f>
        <v>126.34000000000002</v>
      </c>
      <c r="C62" s="60">
        <f t="shared" si="6"/>
        <v>120.34000000000002</v>
      </c>
      <c r="D62" s="60">
        <f t="shared" si="6"/>
        <v>120.34000000000002</v>
      </c>
      <c r="E62" s="60">
        <f t="shared" si="6"/>
        <v>99.940000000000012</v>
      </c>
      <c r="F62" s="60">
        <f t="shared" si="6"/>
        <v>99.940000000000012</v>
      </c>
      <c r="G62" s="60">
        <f t="shared" si="6"/>
        <v>147.83999999999997</v>
      </c>
      <c r="H62" s="60">
        <f t="shared" si="6"/>
        <v>188.43999999999997</v>
      </c>
      <c r="I62" s="60">
        <f t="shared" si="6"/>
        <v>230.23999999999995</v>
      </c>
      <c r="J62" s="60">
        <f t="shared" si="6"/>
        <v>304.04000000000002</v>
      </c>
      <c r="K62" s="60">
        <f t="shared" si="6"/>
        <v>342.34000000000003</v>
      </c>
      <c r="L62" s="60">
        <f t="shared" si="6"/>
        <v>357.64000000000004</v>
      </c>
      <c r="M62" s="60">
        <f t="shared" si="6"/>
        <v>390.24000000000007</v>
      </c>
      <c r="N62" s="60">
        <f t="shared" si="6"/>
        <v>389.74000000000007</v>
      </c>
      <c r="O62" s="60">
        <f t="shared" si="6"/>
        <v>286.64000000000004</v>
      </c>
      <c r="P62" s="60">
        <f t="shared" si="6"/>
        <v>278.94</v>
      </c>
      <c r="Q62" s="60">
        <f t="shared" si="6"/>
        <v>312.64</v>
      </c>
      <c r="R62" s="60">
        <f t="shared" si="6"/>
        <v>295.83999999999997</v>
      </c>
      <c r="S62" s="60">
        <f t="shared" si="6"/>
        <v>299.24000000000007</v>
      </c>
      <c r="T62" s="60">
        <f t="shared" si="6"/>
        <v>256.03999999999996</v>
      </c>
      <c r="U62" s="60">
        <f t="shared" si="6"/>
        <v>251.13999999999996</v>
      </c>
      <c r="V62" s="60">
        <f t="shared" si="6"/>
        <v>196.53999999999996</v>
      </c>
      <c r="W62" s="60">
        <f t="shared" si="6"/>
        <v>267.24</v>
      </c>
      <c r="X62" s="60">
        <v>311.44</v>
      </c>
      <c r="Y62" s="60">
        <f t="shared" si="6"/>
        <v>388.44000000000005</v>
      </c>
      <c r="Z62" s="60">
        <f t="shared" si="6"/>
        <v>347.64000000000004</v>
      </c>
      <c r="AA62" s="60">
        <f t="shared" si="6"/>
        <v>347.64000000000004</v>
      </c>
      <c r="AB62" s="60">
        <f t="shared" si="6"/>
        <v>295.94</v>
      </c>
      <c r="AC62" s="60">
        <f t="shared" si="6"/>
        <v>304.64000000000004</v>
      </c>
      <c r="AD62" s="60">
        <f t="shared" si="6"/>
        <v>271.24</v>
      </c>
      <c r="AE62" s="60">
        <f t="shared" si="6"/>
        <v>212.73999999999998</v>
      </c>
      <c r="AF62" s="60">
        <f t="shared" si="6"/>
        <v>139.23999999999998</v>
      </c>
      <c r="AG62" s="61">
        <f t="shared" si="6"/>
        <v>489.91</v>
      </c>
      <c r="AH62" s="47">
        <f t="shared" si="2"/>
        <v>390.24000000000007</v>
      </c>
      <c r="AI62" s="48">
        <f t="shared" si="3"/>
        <v>99.940000000000012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35</v>
      </c>
      <c r="U63" s="45">
        <v>35</v>
      </c>
      <c r="V63" s="45">
        <v>55.3</v>
      </c>
      <c r="W63" s="45">
        <v>44.6</v>
      </c>
      <c r="X63" s="45">
        <v>55.8</v>
      </c>
      <c r="Y63" s="45">
        <v>54.9</v>
      </c>
      <c r="Z63" s="45">
        <v>59.2</v>
      </c>
      <c r="AA63" s="45">
        <v>59.2</v>
      </c>
      <c r="AB63" s="45">
        <v>53.9</v>
      </c>
      <c r="AC63" s="45">
        <v>29.2</v>
      </c>
      <c r="AD63" s="45">
        <v>29.2</v>
      </c>
      <c r="AE63" s="45">
        <v>0</v>
      </c>
      <c r="AF63" s="45">
        <v>0</v>
      </c>
      <c r="AG63" s="51">
        <v>60</v>
      </c>
      <c r="AH63" s="47">
        <f t="shared" si="2"/>
        <v>59.2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14</v>
      </c>
      <c r="U64" s="65">
        <v>13</v>
      </c>
      <c r="V64" s="65">
        <v>25.1</v>
      </c>
      <c r="W64" s="65">
        <v>23.1</v>
      </c>
      <c r="X64" s="65">
        <v>19.899999999999999</v>
      </c>
      <c r="Y64" s="65">
        <v>26.7</v>
      </c>
      <c r="Z64" s="65">
        <v>25.4</v>
      </c>
      <c r="AA64" s="65">
        <v>25.4</v>
      </c>
      <c r="AB64" s="65">
        <v>23.5</v>
      </c>
      <c r="AC64" s="65">
        <v>18</v>
      </c>
      <c r="AD64" s="65">
        <v>18</v>
      </c>
      <c r="AE64" s="45">
        <v>0</v>
      </c>
      <c r="AF64" s="45">
        <v>0</v>
      </c>
      <c r="AG64" s="54">
        <v>32</v>
      </c>
      <c r="AH64" s="47">
        <f t="shared" si="2"/>
        <v>26.7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0</v>
      </c>
      <c r="N65" s="67">
        <v>0</v>
      </c>
      <c r="O65" s="67">
        <v>0</v>
      </c>
      <c r="P65" s="67">
        <v>0</v>
      </c>
      <c r="Q65" s="67">
        <v>0</v>
      </c>
      <c r="R65" s="67">
        <v>0</v>
      </c>
      <c r="S65" s="67">
        <v>0</v>
      </c>
      <c r="T65" s="67">
        <v>4</v>
      </c>
      <c r="U65" s="67">
        <v>4</v>
      </c>
      <c r="V65" s="67">
        <v>9.1999999999999993</v>
      </c>
      <c r="W65" s="67">
        <v>8.4</v>
      </c>
      <c r="X65" s="67">
        <v>7.3</v>
      </c>
      <c r="Y65" s="67">
        <v>9.6999999999999993</v>
      </c>
      <c r="Z65" s="67">
        <v>9.3000000000000007</v>
      </c>
      <c r="AA65" s="67">
        <v>9.3000000000000007</v>
      </c>
      <c r="AB65" s="67">
        <v>8.6</v>
      </c>
      <c r="AC65" s="67">
        <v>6.6</v>
      </c>
      <c r="AD65" s="67">
        <v>6.6</v>
      </c>
      <c r="AE65" s="45">
        <v>0</v>
      </c>
      <c r="AF65" s="45">
        <v>0</v>
      </c>
      <c r="AG65" s="68">
        <v>14</v>
      </c>
      <c r="AH65" s="47">
        <f t="shared" si="2"/>
        <v>9.6999999999999993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0</v>
      </c>
      <c r="M66" s="60">
        <f t="shared" ref="M66:AF66" si="7">M63+M64+M65</f>
        <v>0</v>
      </c>
      <c r="N66" s="60">
        <f t="shared" si="7"/>
        <v>0</v>
      </c>
      <c r="O66" s="60">
        <f t="shared" si="7"/>
        <v>0</v>
      </c>
      <c r="P66" s="60">
        <f t="shared" si="7"/>
        <v>0</v>
      </c>
      <c r="Q66" s="60">
        <f t="shared" si="7"/>
        <v>0</v>
      </c>
      <c r="R66" s="60">
        <f t="shared" si="7"/>
        <v>0</v>
      </c>
      <c r="S66" s="60">
        <f t="shared" si="7"/>
        <v>0</v>
      </c>
      <c r="T66" s="60">
        <f t="shared" si="7"/>
        <v>53</v>
      </c>
      <c r="U66" s="60">
        <f t="shared" si="7"/>
        <v>52</v>
      </c>
      <c r="V66" s="60">
        <f t="shared" si="7"/>
        <v>89.600000000000009</v>
      </c>
      <c r="W66" s="60">
        <f t="shared" si="7"/>
        <v>76.100000000000009</v>
      </c>
      <c r="X66" s="60">
        <v>82.999999999999986</v>
      </c>
      <c r="Y66" s="60">
        <f t="shared" si="7"/>
        <v>91.3</v>
      </c>
      <c r="Z66" s="60">
        <f t="shared" si="7"/>
        <v>93.899999999999991</v>
      </c>
      <c r="AA66" s="60">
        <f t="shared" si="7"/>
        <v>93.899999999999991</v>
      </c>
      <c r="AB66" s="60">
        <f t="shared" si="7"/>
        <v>86</v>
      </c>
      <c r="AC66" s="60">
        <f t="shared" si="7"/>
        <v>53.800000000000004</v>
      </c>
      <c r="AD66" s="60">
        <f t="shared" si="7"/>
        <v>53.800000000000004</v>
      </c>
      <c r="AE66" s="60">
        <f t="shared" si="7"/>
        <v>0</v>
      </c>
      <c r="AF66" s="60">
        <f t="shared" si="7"/>
        <v>0</v>
      </c>
      <c r="AG66" s="61">
        <f>SUM(AG63:AG65)</f>
        <v>106</v>
      </c>
      <c r="AH66" s="47">
        <f t="shared" si="2"/>
        <v>93.899999999999991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74</v>
      </c>
      <c r="C67" s="45">
        <v>67</v>
      </c>
      <c r="D67" s="45">
        <v>67</v>
      </c>
      <c r="E67" s="45">
        <v>70</v>
      </c>
      <c r="F67" s="45">
        <v>74</v>
      </c>
      <c r="G67" s="45">
        <v>67</v>
      </c>
      <c r="H67" s="45">
        <v>60</v>
      </c>
      <c r="I67" s="45">
        <v>68</v>
      </c>
      <c r="J67" s="45">
        <v>75</v>
      </c>
      <c r="K67" s="45">
        <v>70</v>
      </c>
      <c r="L67" s="45">
        <v>68</v>
      </c>
      <c r="M67" s="45">
        <v>70</v>
      </c>
      <c r="N67" s="45">
        <v>65</v>
      </c>
      <c r="O67" s="45">
        <v>64.599999999999994</v>
      </c>
      <c r="P67" s="45">
        <v>58</v>
      </c>
      <c r="Q67" s="45">
        <v>72</v>
      </c>
      <c r="R67" s="45">
        <v>74</v>
      </c>
      <c r="S67" s="45">
        <v>73.900000000000006</v>
      </c>
      <c r="T67" s="45">
        <v>75.5</v>
      </c>
      <c r="U67" s="45">
        <v>78</v>
      </c>
      <c r="V67" s="45">
        <v>68.400000000000006</v>
      </c>
      <c r="W67" s="45">
        <v>70.900000000000006</v>
      </c>
      <c r="X67" s="45">
        <v>70.099999999999994</v>
      </c>
      <c r="Y67" s="45">
        <v>61.1</v>
      </c>
      <c r="Z67" s="45">
        <v>64</v>
      </c>
      <c r="AA67" s="45">
        <v>68</v>
      </c>
      <c r="AB67" s="45">
        <v>67.5</v>
      </c>
      <c r="AC67" s="45">
        <v>64.5</v>
      </c>
      <c r="AD67" s="45">
        <v>64.5</v>
      </c>
      <c r="AE67" s="45">
        <v>70.900000000000006</v>
      </c>
      <c r="AF67" s="45">
        <v>63</v>
      </c>
      <c r="AG67" s="51"/>
      <c r="AH67" s="47">
        <f t="shared" si="2"/>
        <v>78</v>
      </c>
      <c r="AI67" s="48">
        <f t="shared" si="3"/>
        <v>58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256</v>
      </c>
      <c r="C69" s="65">
        <v>232.6</v>
      </c>
      <c r="D69" s="65">
        <v>238</v>
      </c>
      <c r="E69" s="65">
        <v>241</v>
      </c>
      <c r="F69" s="65">
        <v>246</v>
      </c>
      <c r="G69" s="65">
        <v>241</v>
      </c>
      <c r="H69" s="65">
        <v>291</v>
      </c>
      <c r="I69" s="65">
        <v>288</v>
      </c>
      <c r="J69" s="65">
        <v>335.7</v>
      </c>
      <c r="K69" s="65">
        <v>329</v>
      </c>
      <c r="L69" s="65">
        <v>338</v>
      </c>
      <c r="M69" s="65">
        <v>291</v>
      </c>
      <c r="N69" s="65">
        <v>259</v>
      </c>
      <c r="O69" s="65">
        <v>292</v>
      </c>
      <c r="P69" s="65">
        <v>320.2</v>
      </c>
      <c r="Q69" s="65">
        <v>334</v>
      </c>
      <c r="R69" s="65">
        <v>329</v>
      </c>
      <c r="S69" s="65">
        <v>334</v>
      </c>
      <c r="T69" s="65">
        <v>361.3</v>
      </c>
      <c r="U69" s="65">
        <v>340</v>
      </c>
      <c r="V69" s="65">
        <v>339.4</v>
      </c>
      <c r="W69" s="65">
        <v>337</v>
      </c>
      <c r="X69" s="65">
        <v>323</v>
      </c>
      <c r="Y69" s="65">
        <v>290</v>
      </c>
      <c r="Z69" s="65">
        <v>330</v>
      </c>
      <c r="AA69" s="65">
        <v>334</v>
      </c>
      <c r="AB69" s="65">
        <v>301</v>
      </c>
      <c r="AC69" s="65">
        <v>292</v>
      </c>
      <c r="AD69" s="65">
        <v>262</v>
      </c>
      <c r="AE69" s="65">
        <v>261</v>
      </c>
      <c r="AF69" s="65">
        <v>263</v>
      </c>
      <c r="AG69" s="75"/>
      <c r="AH69" s="47">
        <f t="shared" si="2"/>
        <v>361.3</v>
      </c>
      <c r="AI69" s="48">
        <f t="shared" si="3"/>
        <v>232.6</v>
      </c>
      <c r="AK69" s="49"/>
    </row>
    <row r="70" spans="1:40" x14ac:dyDescent="0.25">
      <c r="A70" s="53" t="s">
        <v>78</v>
      </c>
      <c r="B70" s="76">
        <v>60.5</v>
      </c>
      <c r="C70" s="76">
        <v>44.5</v>
      </c>
      <c r="D70" s="76">
        <v>44.5</v>
      </c>
      <c r="E70" s="76">
        <v>44.5</v>
      </c>
      <c r="F70" s="76">
        <v>44.5</v>
      </c>
      <c r="G70" s="76">
        <v>59</v>
      </c>
      <c r="H70" s="76">
        <v>59</v>
      </c>
      <c r="I70" s="76">
        <v>62</v>
      </c>
      <c r="J70" s="76">
        <v>65</v>
      </c>
      <c r="K70" s="76">
        <v>62</v>
      </c>
      <c r="L70" s="76">
        <v>72</v>
      </c>
      <c r="M70" s="76">
        <v>61</v>
      </c>
      <c r="N70" s="76">
        <v>65</v>
      </c>
      <c r="O70" s="76">
        <v>62</v>
      </c>
      <c r="P70" s="76">
        <v>64</v>
      </c>
      <c r="Q70" s="76">
        <v>62</v>
      </c>
      <c r="R70" s="76">
        <v>62</v>
      </c>
      <c r="S70" s="76">
        <v>62</v>
      </c>
      <c r="T70" s="76">
        <v>63.2</v>
      </c>
      <c r="U70" s="76">
        <v>67</v>
      </c>
      <c r="V70" s="76">
        <v>67</v>
      </c>
      <c r="W70" s="76">
        <v>67</v>
      </c>
      <c r="X70" s="65">
        <v>50.2</v>
      </c>
      <c r="Y70" s="65">
        <v>50.2</v>
      </c>
      <c r="Z70" s="65">
        <v>48.4</v>
      </c>
      <c r="AA70" s="65">
        <v>48.4</v>
      </c>
      <c r="AB70" s="65">
        <v>44.8</v>
      </c>
      <c r="AC70" s="65">
        <v>44.8</v>
      </c>
      <c r="AD70" s="65">
        <v>44.8</v>
      </c>
      <c r="AE70" s="65">
        <v>44.8</v>
      </c>
      <c r="AF70" s="65">
        <v>44.8</v>
      </c>
      <c r="AG70" s="75"/>
      <c r="AH70" s="47">
        <f t="shared" si="2"/>
        <v>72</v>
      </c>
      <c r="AI70" s="48">
        <f t="shared" si="3"/>
        <v>44.5</v>
      </c>
      <c r="AK70" s="49"/>
    </row>
    <row r="71" spans="1:40" x14ac:dyDescent="0.25">
      <c r="A71" s="53" t="s">
        <v>79</v>
      </c>
      <c r="B71" s="45">
        <v>21</v>
      </c>
      <c r="C71" s="45">
        <v>21</v>
      </c>
      <c r="D71" s="45">
        <v>21</v>
      </c>
      <c r="E71" s="45">
        <v>21</v>
      </c>
      <c r="F71" s="45">
        <v>21</v>
      </c>
      <c r="G71" s="45">
        <v>24</v>
      </c>
      <c r="H71" s="45">
        <v>24</v>
      </c>
      <c r="I71" s="45">
        <v>25</v>
      </c>
      <c r="J71" s="45">
        <v>26</v>
      </c>
      <c r="K71" s="45">
        <v>30</v>
      </c>
      <c r="L71" s="45">
        <v>30</v>
      </c>
      <c r="M71" s="45">
        <v>32</v>
      </c>
      <c r="N71" s="45">
        <v>30</v>
      </c>
      <c r="O71" s="45">
        <v>36</v>
      </c>
      <c r="P71" s="45">
        <v>34</v>
      </c>
      <c r="Q71" s="45">
        <v>34</v>
      </c>
      <c r="R71" s="45">
        <v>31.7</v>
      </c>
      <c r="S71" s="45">
        <v>31.7</v>
      </c>
      <c r="T71" s="45">
        <v>31.7</v>
      </c>
      <c r="U71" s="45">
        <v>31</v>
      </c>
      <c r="V71" s="45">
        <v>31</v>
      </c>
      <c r="W71" s="45">
        <v>31</v>
      </c>
      <c r="X71" s="45">
        <v>30</v>
      </c>
      <c r="Y71" s="45">
        <v>30</v>
      </c>
      <c r="Z71" s="45">
        <v>30</v>
      </c>
      <c r="AA71" s="45">
        <v>30</v>
      </c>
      <c r="AB71" s="45">
        <v>30</v>
      </c>
      <c r="AC71" s="45">
        <v>30</v>
      </c>
      <c r="AD71" s="45">
        <v>30</v>
      </c>
      <c r="AE71" s="45">
        <v>30</v>
      </c>
      <c r="AF71" s="45">
        <v>30</v>
      </c>
      <c r="AG71" s="75"/>
      <c r="AH71" s="47">
        <f t="shared" si="2"/>
        <v>36</v>
      </c>
      <c r="AI71" s="48">
        <f t="shared" si="3"/>
        <v>21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5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8">MAX(B75:AF75)</f>
        <v>0</v>
      </c>
      <c r="AI75" s="48">
        <f t="shared" ref="AI75:AI113" si="9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8"/>
        <v>0</v>
      </c>
      <c r="AI76" s="48">
        <f t="shared" si="9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8"/>
        <v>0</v>
      </c>
      <c r="AI77" s="48">
        <f t="shared" si="9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F78" si="10">SUMIF(B67:B77,"&gt;0")</f>
        <v>416.5</v>
      </c>
      <c r="C78" s="60">
        <f t="shared" si="10"/>
        <v>370.1</v>
      </c>
      <c r="D78" s="60">
        <f t="shared" si="10"/>
        <v>375.5</v>
      </c>
      <c r="E78" s="60">
        <f t="shared" si="10"/>
        <v>381.5</v>
      </c>
      <c r="F78" s="60">
        <f t="shared" si="10"/>
        <v>390.5</v>
      </c>
      <c r="G78" s="60">
        <f t="shared" si="10"/>
        <v>396</v>
      </c>
      <c r="H78" s="60">
        <f t="shared" si="10"/>
        <v>439</v>
      </c>
      <c r="I78" s="60">
        <f t="shared" si="10"/>
        <v>448</v>
      </c>
      <c r="J78" s="60">
        <f t="shared" si="10"/>
        <v>506.7</v>
      </c>
      <c r="K78" s="60">
        <f t="shared" si="10"/>
        <v>496</v>
      </c>
      <c r="L78" s="60">
        <f t="shared" si="10"/>
        <v>513</v>
      </c>
      <c r="M78" s="60">
        <f t="shared" si="10"/>
        <v>459</v>
      </c>
      <c r="N78" s="60">
        <f t="shared" si="10"/>
        <v>424</v>
      </c>
      <c r="O78" s="60">
        <f t="shared" si="10"/>
        <v>459.6</v>
      </c>
      <c r="P78" s="60">
        <f t="shared" si="10"/>
        <v>481.2</v>
      </c>
      <c r="Q78" s="60">
        <f t="shared" si="10"/>
        <v>507</v>
      </c>
      <c r="R78" s="60">
        <f t="shared" si="10"/>
        <v>501.7</v>
      </c>
      <c r="S78" s="60">
        <f t="shared" si="10"/>
        <v>506.59999999999997</v>
      </c>
      <c r="T78" s="60">
        <f t="shared" si="10"/>
        <v>536.70000000000005</v>
      </c>
      <c r="U78" s="60">
        <f t="shared" si="10"/>
        <v>521</v>
      </c>
      <c r="V78" s="60">
        <f t="shared" si="10"/>
        <v>510.79999999999995</v>
      </c>
      <c r="W78" s="60">
        <f t="shared" si="10"/>
        <v>510.9</v>
      </c>
      <c r="X78" s="60">
        <v>478.3</v>
      </c>
      <c r="Y78" s="60">
        <f t="shared" si="10"/>
        <v>436.3</v>
      </c>
      <c r="Z78" s="60">
        <f t="shared" si="10"/>
        <v>477.4</v>
      </c>
      <c r="AA78" s="60">
        <f t="shared" si="10"/>
        <v>485.4</v>
      </c>
      <c r="AB78" s="60">
        <f t="shared" si="10"/>
        <v>448.3</v>
      </c>
      <c r="AC78" s="60">
        <f t="shared" si="10"/>
        <v>436.3</v>
      </c>
      <c r="AD78" s="60">
        <f t="shared" si="10"/>
        <v>406.3</v>
      </c>
      <c r="AE78" s="60">
        <f t="shared" si="10"/>
        <v>411.7</v>
      </c>
      <c r="AF78" s="60">
        <f t="shared" si="10"/>
        <v>405.8</v>
      </c>
      <c r="AG78" s="88">
        <f>SUM(AG67:AG77)</f>
        <v>0</v>
      </c>
      <c r="AH78" s="47">
        <f t="shared" si="8"/>
        <v>536.70000000000005</v>
      </c>
      <c r="AI78" s="48">
        <f t="shared" si="9"/>
        <v>370.1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8"/>
        <v>0</v>
      </c>
      <c r="AI79" s="48">
        <f t="shared" si="9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8"/>
        <v>0</v>
      </c>
      <c r="AI80" s="48">
        <f t="shared" si="9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8"/>
        <v>0</v>
      </c>
      <c r="AI81" s="48">
        <f t="shared" si="9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>
        <v>0</v>
      </c>
      <c r="Z82" s="60">
        <v>0</v>
      </c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8"/>
        <v>0</v>
      </c>
      <c r="AI82" s="48">
        <f t="shared" si="9"/>
        <v>0</v>
      </c>
    </row>
    <row r="83" spans="1:37" ht="15.75" thickBot="1" x14ac:dyDescent="0.3">
      <c r="A83" s="74" t="s">
        <v>94</v>
      </c>
      <c r="B83" s="95">
        <f>B44+B48+B66+B62+B78+B82</f>
        <v>1121.94</v>
      </c>
      <c r="C83" s="95">
        <f t="shared" ref="C83:AG83" si="11">C44+C48+C66+C62+C78+C82</f>
        <v>1069.54</v>
      </c>
      <c r="D83" s="95">
        <f t="shared" si="11"/>
        <v>1054.94</v>
      </c>
      <c r="E83" s="95">
        <f t="shared" si="11"/>
        <v>1045.54</v>
      </c>
      <c r="F83" s="95">
        <f t="shared" si="11"/>
        <v>1054.54</v>
      </c>
      <c r="G83" s="95">
        <f t="shared" si="11"/>
        <v>1123.1399999999999</v>
      </c>
      <c r="H83" s="95">
        <f t="shared" si="11"/>
        <v>1196.7399999999998</v>
      </c>
      <c r="I83" s="95">
        <f t="shared" si="11"/>
        <v>1247.54</v>
      </c>
      <c r="J83" s="95">
        <f t="shared" si="11"/>
        <v>1370.04</v>
      </c>
      <c r="K83" s="95">
        <f t="shared" si="11"/>
        <v>1397.6399999999999</v>
      </c>
      <c r="L83" s="95">
        <f t="shared" si="11"/>
        <v>1472.94</v>
      </c>
      <c r="M83" s="95">
        <f t="shared" si="11"/>
        <v>1489.24</v>
      </c>
      <c r="N83" s="95">
        <f t="shared" si="11"/>
        <v>1449.34</v>
      </c>
      <c r="O83" s="95">
        <f t="shared" si="11"/>
        <v>1383.94</v>
      </c>
      <c r="P83" s="95">
        <f t="shared" si="11"/>
        <v>1341.04</v>
      </c>
      <c r="Q83" s="95">
        <f t="shared" si="11"/>
        <v>1430.04</v>
      </c>
      <c r="R83" s="95">
        <f t="shared" si="11"/>
        <v>1418.44</v>
      </c>
      <c r="S83" s="95">
        <f t="shared" si="11"/>
        <v>1381.74</v>
      </c>
      <c r="T83" s="95">
        <f t="shared" si="11"/>
        <v>1381.44</v>
      </c>
      <c r="U83" s="95">
        <f t="shared" si="11"/>
        <v>1395.04</v>
      </c>
      <c r="V83" s="95">
        <f t="shared" si="11"/>
        <v>1367.84</v>
      </c>
      <c r="W83" s="95">
        <f t="shared" si="11"/>
        <v>1425.1399999999999</v>
      </c>
      <c r="X83" s="95">
        <v>1491.44</v>
      </c>
      <c r="Y83" s="95">
        <v>1528.3400000000001</v>
      </c>
      <c r="Z83" s="95">
        <v>1528.3400000000001</v>
      </c>
      <c r="AA83" s="95">
        <v>1528.3400000000001</v>
      </c>
      <c r="AB83" s="95">
        <f t="shared" si="11"/>
        <v>1487.1399999999999</v>
      </c>
      <c r="AC83" s="95">
        <f t="shared" si="11"/>
        <v>1419.6399999999999</v>
      </c>
      <c r="AD83" s="95">
        <f t="shared" si="11"/>
        <v>1353.84</v>
      </c>
      <c r="AE83" s="95">
        <f t="shared" si="11"/>
        <v>1236.94</v>
      </c>
      <c r="AF83" s="95">
        <f t="shared" si="11"/>
        <v>1157.54</v>
      </c>
      <c r="AG83" s="61">
        <f t="shared" si="11"/>
        <v>2004.1900000000003</v>
      </c>
      <c r="AH83" s="47">
        <f>MAX(B83:AF83)</f>
        <v>1528.3400000000001</v>
      </c>
      <c r="AI83" s="48">
        <f>MIN(B83:AF83)</f>
        <v>1045.54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>
        <v>170</v>
      </c>
      <c r="M84" s="97">
        <v>170</v>
      </c>
      <c r="N84" s="97">
        <v>170</v>
      </c>
      <c r="O84" s="97">
        <v>170</v>
      </c>
      <c r="P84" s="97">
        <v>100</v>
      </c>
      <c r="Q84" s="97"/>
      <c r="R84" s="97"/>
      <c r="S84" s="97"/>
      <c r="T84" s="97"/>
      <c r="U84" s="97"/>
      <c r="V84" s="97"/>
      <c r="W84" s="97"/>
      <c r="X84" s="97">
        <v>220</v>
      </c>
      <c r="Y84" s="97">
        <v>220</v>
      </c>
      <c r="Z84" s="97">
        <v>200</v>
      </c>
      <c r="AA84" s="97">
        <v>150</v>
      </c>
      <c r="AB84" s="97">
        <v>150</v>
      </c>
      <c r="AC84" s="97">
        <v>150</v>
      </c>
      <c r="AD84" s="97">
        <v>150</v>
      </c>
      <c r="AE84" s="97"/>
      <c r="AF84" s="97"/>
      <c r="AG84" s="88"/>
      <c r="AH84" s="47">
        <f t="shared" si="8"/>
        <v>220</v>
      </c>
      <c r="AI84" s="48">
        <f t="shared" si="9"/>
        <v>100</v>
      </c>
    </row>
    <row r="85" spans="1:37" ht="15.75" thickBot="1" x14ac:dyDescent="0.3">
      <c r="A85" s="74" t="s">
        <v>96</v>
      </c>
      <c r="B85" s="95">
        <f>B83+B84</f>
        <v>1121.94</v>
      </c>
      <c r="C85" s="95">
        <f t="shared" ref="C85:AF85" si="12">C83+C84</f>
        <v>1069.54</v>
      </c>
      <c r="D85" s="95">
        <f t="shared" si="12"/>
        <v>1054.94</v>
      </c>
      <c r="E85" s="95">
        <f t="shared" si="12"/>
        <v>1045.54</v>
      </c>
      <c r="F85" s="95">
        <f t="shared" si="12"/>
        <v>1054.54</v>
      </c>
      <c r="G85" s="95">
        <f t="shared" si="12"/>
        <v>1123.1399999999999</v>
      </c>
      <c r="H85" s="95">
        <f t="shared" si="12"/>
        <v>1196.7399999999998</v>
      </c>
      <c r="I85" s="95">
        <f t="shared" si="12"/>
        <v>1247.54</v>
      </c>
      <c r="J85" s="95">
        <f t="shared" si="12"/>
        <v>1370.04</v>
      </c>
      <c r="K85" s="95">
        <f t="shared" si="12"/>
        <v>1397.6399999999999</v>
      </c>
      <c r="L85" s="95">
        <f t="shared" si="12"/>
        <v>1642.94</v>
      </c>
      <c r="M85" s="95">
        <f t="shared" si="12"/>
        <v>1659.24</v>
      </c>
      <c r="N85" s="95">
        <f t="shared" si="12"/>
        <v>1619.34</v>
      </c>
      <c r="O85" s="95">
        <f t="shared" si="12"/>
        <v>1553.94</v>
      </c>
      <c r="P85" s="95">
        <f t="shared" si="12"/>
        <v>1441.04</v>
      </c>
      <c r="Q85" s="95">
        <f t="shared" si="12"/>
        <v>1430.04</v>
      </c>
      <c r="R85" s="95">
        <f t="shared" si="12"/>
        <v>1418.44</v>
      </c>
      <c r="S85" s="95">
        <f t="shared" si="12"/>
        <v>1381.74</v>
      </c>
      <c r="T85" s="95">
        <f t="shared" si="12"/>
        <v>1381.44</v>
      </c>
      <c r="U85" s="95">
        <f t="shared" si="12"/>
        <v>1395.04</v>
      </c>
      <c r="V85" s="95">
        <f t="shared" si="12"/>
        <v>1367.84</v>
      </c>
      <c r="W85" s="95">
        <f t="shared" si="12"/>
        <v>1425.1399999999999</v>
      </c>
      <c r="X85" s="95">
        <v>1711.44</v>
      </c>
      <c r="Y85" s="95">
        <f t="shared" si="12"/>
        <v>1748.3400000000001</v>
      </c>
      <c r="Z85" s="95">
        <f t="shared" si="12"/>
        <v>1728.3400000000001</v>
      </c>
      <c r="AA85" s="95">
        <f t="shared" si="12"/>
        <v>1678.3400000000001</v>
      </c>
      <c r="AB85" s="95">
        <f t="shared" si="12"/>
        <v>1637.1399999999999</v>
      </c>
      <c r="AC85" s="95">
        <f t="shared" si="12"/>
        <v>1569.6399999999999</v>
      </c>
      <c r="AD85" s="95">
        <f t="shared" si="12"/>
        <v>1503.84</v>
      </c>
      <c r="AE85" s="95">
        <f t="shared" si="12"/>
        <v>1236.94</v>
      </c>
      <c r="AF85" s="95">
        <f t="shared" si="12"/>
        <v>1157.54</v>
      </c>
      <c r="AG85" s="88">
        <f>AG82+AG78+AG66+AG62+AG44+AG84</f>
        <v>1466.0900000000001</v>
      </c>
      <c r="AH85" s="47">
        <f t="shared" si="8"/>
        <v>1748.3400000000001</v>
      </c>
      <c r="AI85" s="48">
        <f t="shared" si="9"/>
        <v>1045.54</v>
      </c>
    </row>
    <row r="86" spans="1:37" ht="15.75" thickBot="1" x14ac:dyDescent="0.3">
      <c r="A86" s="74" t="s">
        <v>97</v>
      </c>
      <c r="B86" s="95">
        <f t="shared" ref="B86:AF86" si="13">B85-B93</f>
        <v>1121.94</v>
      </c>
      <c r="C86" s="95">
        <f t="shared" si="13"/>
        <v>1069.54</v>
      </c>
      <c r="D86" s="95">
        <f t="shared" si="13"/>
        <v>1054.94</v>
      </c>
      <c r="E86" s="95">
        <f t="shared" si="13"/>
        <v>1045.54</v>
      </c>
      <c r="F86" s="95">
        <f t="shared" si="13"/>
        <v>1054.54</v>
      </c>
      <c r="G86" s="95">
        <f t="shared" si="13"/>
        <v>1123.1399999999999</v>
      </c>
      <c r="H86" s="95">
        <f t="shared" si="13"/>
        <v>1196.7399999999998</v>
      </c>
      <c r="I86" s="95">
        <f t="shared" si="13"/>
        <v>1247.54</v>
      </c>
      <c r="J86" s="95">
        <f t="shared" si="13"/>
        <v>1370.04</v>
      </c>
      <c r="K86" s="95">
        <f t="shared" si="13"/>
        <v>1397.6399999999999</v>
      </c>
      <c r="L86" s="95">
        <f t="shared" si="13"/>
        <v>1642.94</v>
      </c>
      <c r="M86" s="95">
        <f t="shared" si="13"/>
        <v>1659.24</v>
      </c>
      <c r="N86" s="95">
        <f t="shared" si="13"/>
        <v>1619.34</v>
      </c>
      <c r="O86" s="95">
        <f t="shared" si="13"/>
        <v>1553.94</v>
      </c>
      <c r="P86" s="95">
        <f t="shared" si="13"/>
        <v>1441.04</v>
      </c>
      <c r="Q86" s="95">
        <f t="shared" si="13"/>
        <v>1430.04</v>
      </c>
      <c r="R86" s="95">
        <f t="shared" si="13"/>
        <v>1418.44</v>
      </c>
      <c r="S86" s="95">
        <f t="shared" si="13"/>
        <v>1381.74</v>
      </c>
      <c r="T86" s="95">
        <f t="shared" si="13"/>
        <v>1381.44</v>
      </c>
      <c r="U86" s="95">
        <f t="shared" si="13"/>
        <v>1395.04</v>
      </c>
      <c r="V86" s="95">
        <f t="shared" si="13"/>
        <v>1367.84</v>
      </c>
      <c r="W86" s="95">
        <f t="shared" si="13"/>
        <v>1425.1399999999999</v>
      </c>
      <c r="X86" s="95">
        <v>1711.44</v>
      </c>
      <c r="Y86" s="95">
        <v>1748.3400000000001</v>
      </c>
      <c r="Z86" s="95">
        <v>1748.3400000000001</v>
      </c>
      <c r="AA86" s="95">
        <f t="shared" si="13"/>
        <v>1678.3400000000001</v>
      </c>
      <c r="AB86" s="95">
        <f t="shared" si="13"/>
        <v>1637.1399999999999</v>
      </c>
      <c r="AC86" s="95">
        <f t="shared" si="13"/>
        <v>1569.6399999999999</v>
      </c>
      <c r="AD86" s="95">
        <f t="shared" si="13"/>
        <v>1503.84</v>
      </c>
      <c r="AE86" s="95">
        <f t="shared" si="13"/>
        <v>1236.94</v>
      </c>
      <c r="AF86" s="95">
        <f t="shared" si="13"/>
        <v>1157.54</v>
      </c>
      <c r="AG86" s="88"/>
      <c r="AH86" s="47">
        <f t="shared" si="8"/>
        <v>1748.3400000000001</v>
      </c>
      <c r="AI86" s="48">
        <f t="shared" si="9"/>
        <v>1045.54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8"/>
        <v>0</v>
      </c>
      <c r="AI87" s="48">
        <f t="shared" si="9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8"/>
        <v>0</v>
      </c>
      <c r="AI88" s="48">
        <f t="shared" si="9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8"/>
        <v>0</v>
      </c>
      <c r="AI89" s="48">
        <f t="shared" si="9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8"/>
        <v>0</v>
      </c>
      <c r="AI90" s="48">
        <f t="shared" si="9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8"/>
        <v>0</v>
      </c>
      <c r="AI91" s="48">
        <f t="shared" si="9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8"/>
        <v>0</v>
      </c>
      <c r="AI92" s="48">
        <f t="shared" si="9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>
        <v>0</v>
      </c>
      <c r="Y93" s="60">
        <v>0</v>
      </c>
      <c r="Z93" s="60">
        <v>0</v>
      </c>
      <c r="AA93" s="60"/>
      <c r="AB93" s="60"/>
      <c r="AC93" s="60"/>
      <c r="AD93" s="60"/>
      <c r="AE93" s="60"/>
      <c r="AF93" s="60"/>
      <c r="AG93" s="88"/>
      <c r="AH93" s="47">
        <f t="shared" si="8"/>
        <v>0</v>
      </c>
      <c r="AI93" s="48">
        <f t="shared" si="9"/>
        <v>0</v>
      </c>
      <c r="AK93" s="49"/>
    </row>
    <row r="94" spans="1:37" ht="15.75" thickBot="1" x14ac:dyDescent="0.3">
      <c r="A94" s="74" t="s">
        <v>102</v>
      </c>
      <c r="B94" s="60">
        <f t="shared" ref="B94:AF94" si="14">B78-B93</f>
        <v>416.5</v>
      </c>
      <c r="C94" s="60">
        <f t="shared" si="14"/>
        <v>370.1</v>
      </c>
      <c r="D94" s="60">
        <f t="shared" si="14"/>
        <v>375.5</v>
      </c>
      <c r="E94" s="60">
        <f t="shared" si="14"/>
        <v>381.5</v>
      </c>
      <c r="F94" s="60">
        <f t="shared" si="14"/>
        <v>390.5</v>
      </c>
      <c r="G94" s="60">
        <f t="shared" si="14"/>
        <v>396</v>
      </c>
      <c r="H94" s="60">
        <f t="shared" si="14"/>
        <v>439</v>
      </c>
      <c r="I94" s="60">
        <f t="shared" si="14"/>
        <v>448</v>
      </c>
      <c r="J94" s="60">
        <f t="shared" si="14"/>
        <v>506.7</v>
      </c>
      <c r="K94" s="60">
        <f t="shared" si="14"/>
        <v>496</v>
      </c>
      <c r="L94" s="60">
        <f t="shared" si="14"/>
        <v>513</v>
      </c>
      <c r="M94" s="60">
        <f t="shared" si="14"/>
        <v>459</v>
      </c>
      <c r="N94" s="60">
        <f t="shared" si="14"/>
        <v>424</v>
      </c>
      <c r="O94" s="60">
        <f t="shared" si="14"/>
        <v>459.6</v>
      </c>
      <c r="P94" s="60">
        <f t="shared" si="14"/>
        <v>481.2</v>
      </c>
      <c r="Q94" s="60">
        <f t="shared" si="14"/>
        <v>507</v>
      </c>
      <c r="R94" s="60">
        <f t="shared" si="14"/>
        <v>501.7</v>
      </c>
      <c r="S94" s="60">
        <f t="shared" si="14"/>
        <v>506.59999999999997</v>
      </c>
      <c r="T94" s="60">
        <f t="shared" si="14"/>
        <v>536.70000000000005</v>
      </c>
      <c r="U94" s="60">
        <f t="shared" si="14"/>
        <v>521</v>
      </c>
      <c r="V94" s="60">
        <f t="shared" si="14"/>
        <v>510.79999999999995</v>
      </c>
      <c r="W94" s="60">
        <f t="shared" si="14"/>
        <v>510.9</v>
      </c>
      <c r="X94" s="60">
        <v>478.3</v>
      </c>
      <c r="Y94" s="60">
        <v>151.6</v>
      </c>
      <c r="Z94" s="60">
        <v>151.6</v>
      </c>
      <c r="AA94" s="60">
        <v>151.6</v>
      </c>
      <c r="AB94" s="60">
        <f t="shared" si="14"/>
        <v>448.3</v>
      </c>
      <c r="AC94" s="60">
        <f t="shared" si="14"/>
        <v>436.3</v>
      </c>
      <c r="AD94" s="60">
        <f t="shared" si="14"/>
        <v>406.3</v>
      </c>
      <c r="AE94" s="60">
        <f t="shared" si="14"/>
        <v>411.7</v>
      </c>
      <c r="AF94" s="60">
        <f t="shared" si="14"/>
        <v>405.8</v>
      </c>
      <c r="AG94" s="88"/>
      <c r="AH94" s="47">
        <f t="shared" si="8"/>
        <v>536.70000000000005</v>
      </c>
      <c r="AI94" s="48">
        <f t="shared" si="9"/>
        <v>151.6</v>
      </c>
    </row>
    <row r="95" spans="1:37" x14ac:dyDescent="0.25">
      <c r="A95" s="100" t="s">
        <v>103</v>
      </c>
      <c r="B95" s="101">
        <v>49.923000000000002</v>
      </c>
      <c r="C95" s="101">
        <v>49.991999999999997</v>
      </c>
      <c r="D95" s="101">
        <v>50.037999999999997</v>
      </c>
      <c r="E95" s="101">
        <v>50</v>
      </c>
      <c r="F95" s="101">
        <v>49.945</v>
      </c>
      <c r="G95" s="101">
        <v>49.962000000000003</v>
      </c>
      <c r="H95" s="101">
        <v>50</v>
      </c>
      <c r="I95" s="101">
        <v>49.892000000000003</v>
      </c>
      <c r="J95" s="101">
        <v>49.932000000000002</v>
      </c>
      <c r="K95" s="101">
        <v>50</v>
      </c>
      <c r="L95" s="101">
        <v>49.881</v>
      </c>
      <c r="M95" s="101">
        <v>50.097999999999999</v>
      </c>
      <c r="N95" s="101">
        <v>50.052900000000001</v>
      </c>
      <c r="O95" s="101">
        <v>50.02</v>
      </c>
      <c r="P95" s="101">
        <v>50.003999999999998</v>
      </c>
      <c r="Q95" s="101">
        <v>50.003999999999998</v>
      </c>
      <c r="R95" s="101">
        <v>49.837000000000003</v>
      </c>
      <c r="S95" s="101">
        <v>49.96</v>
      </c>
      <c r="T95" s="101">
        <v>49.93</v>
      </c>
      <c r="U95" s="101">
        <v>50.1</v>
      </c>
      <c r="V95" s="101" t="s">
        <v>689</v>
      </c>
      <c r="W95" s="101">
        <v>50.04</v>
      </c>
      <c r="X95" s="101">
        <v>50.02</v>
      </c>
      <c r="Y95" s="101">
        <v>49.98</v>
      </c>
      <c r="Z95" s="101">
        <v>50.03</v>
      </c>
      <c r="AA95" s="101">
        <v>50.03</v>
      </c>
      <c r="AB95" s="101">
        <v>50.018000000000001</v>
      </c>
      <c r="AC95" s="101">
        <v>50.018000000000001</v>
      </c>
      <c r="AD95" s="101">
        <v>50.216000000000001</v>
      </c>
      <c r="AE95" s="101">
        <v>50.106000000000002</v>
      </c>
      <c r="AF95" s="101">
        <v>50.106000000000002</v>
      </c>
      <c r="AG95" s="102"/>
      <c r="AH95" s="47">
        <f t="shared" si="8"/>
        <v>50.216000000000001</v>
      </c>
      <c r="AI95" s="48">
        <f t="shared" si="9"/>
        <v>49.837000000000003</v>
      </c>
    </row>
    <row r="96" spans="1:37" x14ac:dyDescent="0.25">
      <c r="A96" s="103" t="s">
        <v>104</v>
      </c>
      <c r="B96" s="65">
        <v>126.5</v>
      </c>
      <c r="C96" s="65">
        <v>127.7</v>
      </c>
      <c r="D96" s="65">
        <v>128.4</v>
      </c>
      <c r="E96" s="65">
        <v>127.8</v>
      </c>
      <c r="F96" s="65">
        <v>127.8</v>
      </c>
      <c r="G96" s="65">
        <v>127.8</v>
      </c>
      <c r="H96" s="65">
        <v>126.5</v>
      </c>
      <c r="I96" s="65">
        <v>126.5</v>
      </c>
      <c r="J96" s="65">
        <v>125</v>
      </c>
      <c r="K96" s="65">
        <v>125</v>
      </c>
      <c r="L96" s="65">
        <v>126.5</v>
      </c>
      <c r="M96" s="65">
        <v>126.3</v>
      </c>
      <c r="N96" s="65"/>
      <c r="O96" s="65"/>
      <c r="P96" s="65"/>
      <c r="Q96" s="65"/>
      <c r="R96" s="65">
        <v>125.2</v>
      </c>
      <c r="S96" s="65">
        <v>124.6</v>
      </c>
      <c r="T96" s="65">
        <v>125.2</v>
      </c>
      <c r="U96" s="65">
        <v>126</v>
      </c>
      <c r="V96" s="65">
        <v>128.6</v>
      </c>
      <c r="W96" s="65">
        <v>128.30000000000001</v>
      </c>
      <c r="X96" s="65">
        <v>129</v>
      </c>
      <c r="Y96" s="65">
        <v>128</v>
      </c>
      <c r="Z96" s="65">
        <v>128.5</v>
      </c>
      <c r="AA96" s="65">
        <v>128.5</v>
      </c>
      <c r="AB96" s="65">
        <v>128.5</v>
      </c>
      <c r="AC96" s="65">
        <v>128.5</v>
      </c>
      <c r="AD96" s="65">
        <v>130</v>
      </c>
      <c r="AE96" s="65">
        <v>128.69999999999999</v>
      </c>
      <c r="AF96" s="65">
        <v>128.69999999999999</v>
      </c>
      <c r="AG96" s="104"/>
      <c r="AH96" s="47">
        <f t="shared" si="8"/>
        <v>130</v>
      </c>
      <c r="AI96" s="48">
        <f t="shared" si="9"/>
        <v>124.6</v>
      </c>
    </row>
    <row r="97" spans="1:35" x14ac:dyDescent="0.25">
      <c r="A97" s="103" t="s">
        <v>105</v>
      </c>
      <c r="B97" s="65">
        <v>130.69999999999999</v>
      </c>
      <c r="C97" s="65">
        <v>131.6</v>
      </c>
      <c r="D97" s="65">
        <v>132.5</v>
      </c>
      <c r="E97" s="65">
        <v>131.80000000000001</v>
      </c>
      <c r="F97" s="65">
        <v>131.80000000000001</v>
      </c>
      <c r="G97" s="65">
        <v>131.80000000000001</v>
      </c>
      <c r="H97" s="65">
        <v>130</v>
      </c>
      <c r="I97" s="65">
        <v>130</v>
      </c>
      <c r="J97" s="65">
        <v>128</v>
      </c>
      <c r="K97" s="65">
        <v>128</v>
      </c>
      <c r="L97" s="65">
        <v>128</v>
      </c>
      <c r="M97" s="65">
        <v>128.19999999999999</v>
      </c>
      <c r="N97" s="65">
        <v>128.5</v>
      </c>
      <c r="O97" s="65">
        <v>127.7</v>
      </c>
      <c r="P97" s="65">
        <v>127.7</v>
      </c>
      <c r="Q97" s="65">
        <v>127.7</v>
      </c>
      <c r="R97" s="65">
        <v>127.7</v>
      </c>
      <c r="S97" s="65">
        <v>127.5</v>
      </c>
      <c r="T97" s="65">
        <v>128.5</v>
      </c>
      <c r="U97" s="65">
        <v>129</v>
      </c>
      <c r="V97" s="65">
        <v>130.30000000000001</v>
      </c>
      <c r="W97" s="65">
        <v>129.9</v>
      </c>
      <c r="X97" s="65">
        <v>129.6</v>
      </c>
      <c r="Y97" s="65">
        <v>129.1</v>
      </c>
      <c r="Z97" s="65">
        <v>129.5</v>
      </c>
      <c r="AA97" s="65">
        <v>129.69999999999999</v>
      </c>
      <c r="AB97" s="65">
        <v>129.9</v>
      </c>
      <c r="AC97" s="65">
        <v>129.9</v>
      </c>
      <c r="AD97" s="65">
        <v>131.4</v>
      </c>
      <c r="AE97" s="65">
        <v>131.5</v>
      </c>
      <c r="AF97" s="65">
        <v>131.5</v>
      </c>
      <c r="AG97" s="104"/>
      <c r="AH97" s="47">
        <f t="shared" si="8"/>
        <v>132.5</v>
      </c>
      <c r="AI97" s="48">
        <f t="shared" si="9"/>
        <v>127.5</v>
      </c>
    </row>
    <row r="98" spans="1:35" x14ac:dyDescent="0.25">
      <c r="A98" s="103" t="s">
        <v>106</v>
      </c>
      <c r="B98" s="65">
        <v>129.6</v>
      </c>
      <c r="C98" s="65">
        <v>130.19999999999999</v>
      </c>
      <c r="D98" s="65">
        <v>131.4</v>
      </c>
      <c r="E98" s="65">
        <v>130</v>
      </c>
      <c r="F98" s="65">
        <v>130</v>
      </c>
      <c r="G98" s="65">
        <v>130</v>
      </c>
      <c r="H98" s="65">
        <v>127</v>
      </c>
      <c r="I98" s="65">
        <v>127</v>
      </c>
      <c r="J98" s="65">
        <v>128</v>
      </c>
      <c r="K98" s="65">
        <v>128</v>
      </c>
      <c r="L98" s="65">
        <v>129</v>
      </c>
      <c r="M98" s="65">
        <v>130</v>
      </c>
      <c r="N98" s="65">
        <v>129.4</v>
      </c>
      <c r="O98" s="65">
        <v>130.5</v>
      </c>
      <c r="P98" s="65">
        <v>130.9</v>
      </c>
      <c r="Q98" s="65">
        <v>130.9</v>
      </c>
      <c r="R98" s="65">
        <v>130.80000000000001</v>
      </c>
      <c r="S98" s="65">
        <v>132.19999999999999</v>
      </c>
      <c r="T98" s="65">
        <v>132.19999999999999</v>
      </c>
      <c r="U98" s="65">
        <v>130</v>
      </c>
      <c r="V98" s="65">
        <v>132.4</v>
      </c>
      <c r="W98" s="65">
        <v>130.4</v>
      </c>
      <c r="X98" s="65">
        <v>131.1</v>
      </c>
      <c r="Y98" s="65">
        <v>132.01</v>
      </c>
      <c r="Z98" s="65">
        <v>132.30000000000001</v>
      </c>
      <c r="AA98" s="65">
        <v>129.9</v>
      </c>
      <c r="AB98" s="65">
        <v>129.4</v>
      </c>
      <c r="AC98" s="65">
        <v>129.4</v>
      </c>
      <c r="AD98" s="65">
        <v>130</v>
      </c>
      <c r="AE98" s="65">
        <v>131.19999999999999</v>
      </c>
      <c r="AF98" s="65">
        <v>131.19999999999999</v>
      </c>
      <c r="AG98" s="104"/>
      <c r="AH98" s="47">
        <f t="shared" si="8"/>
        <v>132.4</v>
      </c>
      <c r="AI98" s="48">
        <f t="shared" si="9"/>
        <v>127</v>
      </c>
    </row>
    <row r="99" spans="1:35" x14ac:dyDescent="0.25">
      <c r="A99" s="105" t="s">
        <v>107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104"/>
      <c r="AH99" s="47">
        <f t="shared" si="8"/>
        <v>0</v>
      </c>
      <c r="AI99" s="48">
        <f t="shared" si="9"/>
        <v>0</v>
      </c>
    </row>
    <row r="100" spans="1:35" x14ac:dyDescent="0.25">
      <c r="A100" s="105" t="s">
        <v>108</v>
      </c>
      <c r="B100" s="106">
        <v>132</v>
      </c>
      <c r="C100" s="106">
        <v>130</v>
      </c>
      <c r="D100" s="106">
        <v>131.4</v>
      </c>
      <c r="E100" s="106">
        <v>131.69999999999999</v>
      </c>
      <c r="F100" s="106">
        <v>131.69999999999999</v>
      </c>
      <c r="G100" s="106">
        <v>131.69999999999999</v>
      </c>
      <c r="H100" s="106">
        <v>134.6</v>
      </c>
      <c r="I100" s="106">
        <v>134.6</v>
      </c>
      <c r="J100" s="106">
        <v>132</v>
      </c>
      <c r="K100" s="106">
        <v>132</v>
      </c>
      <c r="L100" s="106">
        <v>131</v>
      </c>
      <c r="M100" s="106">
        <v>131.4</v>
      </c>
      <c r="N100" s="106">
        <v>131.80000000000001</v>
      </c>
      <c r="O100" s="106">
        <v>132.1</v>
      </c>
      <c r="P100" s="106">
        <v>131.69999999999999</v>
      </c>
      <c r="Q100" s="106">
        <v>132.80000000000001</v>
      </c>
      <c r="R100" s="106">
        <v>132.80000000000001</v>
      </c>
      <c r="S100" s="106">
        <v>132.30000000000001</v>
      </c>
      <c r="T100" s="106">
        <v>133.5</v>
      </c>
      <c r="U100" s="106">
        <v>133.5</v>
      </c>
      <c r="V100" s="106">
        <v>132.80000000000001</v>
      </c>
      <c r="W100" s="106">
        <v>136</v>
      </c>
      <c r="X100" s="106">
        <v>140</v>
      </c>
      <c r="Y100" s="106">
        <v>136.19999999999999</v>
      </c>
      <c r="Z100" s="106">
        <v>133.69999999999999</v>
      </c>
      <c r="AA100" s="106">
        <v>135.19999999999999</v>
      </c>
      <c r="AB100" s="106">
        <v>134.19999999999999</v>
      </c>
      <c r="AC100" s="106">
        <v>134.19999999999999</v>
      </c>
      <c r="AD100" s="106">
        <v>136.32</v>
      </c>
      <c r="AE100" s="106">
        <v>137.1</v>
      </c>
      <c r="AF100" s="106">
        <v>137.1</v>
      </c>
      <c r="AG100" s="107"/>
      <c r="AH100" s="47">
        <f t="shared" si="8"/>
        <v>140</v>
      </c>
      <c r="AI100" s="48">
        <f t="shared" si="9"/>
        <v>130</v>
      </c>
    </row>
    <row r="101" spans="1:35" x14ac:dyDescent="0.25">
      <c r="A101" s="103" t="s">
        <v>109</v>
      </c>
      <c r="B101" s="65">
        <v>130</v>
      </c>
      <c r="C101" s="65">
        <v>130.80000000000001</v>
      </c>
      <c r="D101" s="65">
        <v>133.80000000000001</v>
      </c>
      <c r="E101" s="65">
        <v>134</v>
      </c>
      <c r="F101" s="65">
        <v>134</v>
      </c>
      <c r="G101" s="65">
        <v>134</v>
      </c>
      <c r="H101" s="65">
        <v>129</v>
      </c>
      <c r="I101" s="65">
        <v>129</v>
      </c>
      <c r="J101" s="65">
        <v>131</v>
      </c>
      <c r="K101" s="65">
        <v>131</v>
      </c>
      <c r="L101" s="65">
        <v>129.6</v>
      </c>
      <c r="M101" s="65">
        <v>126.9</v>
      </c>
      <c r="N101" s="65">
        <v>133.69999999999999</v>
      </c>
      <c r="O101" s="65">
        <v>134.1</v>
      </c>
      <c r="P101" s="65">
        <v>137</v>
      </c>
      <c r="Q101" s="65">
        <v>128.5</v>
      </c>
      <c r="R101" s="65">
        <v>128.5</v>
      </c>
      <c r="S101" s="65">
        <v>127.4</v>
      </c>
      <c r="T101" s="65">
        <v>128.80000000000001</v>
      </c>
      <c r="U101" s="65">
        <v>127</v>
      </c>
      <c r="V101" s="65">
        <v>131.69999999999999</v>
      </c>
      <c r="W101" s="65">
        <v>134.1</v>
      </c>
      <c r="X101" s="65">
        <v>133.4</v>
      </c>
      <c r="Y101" s="65">
        <v>133.5</v>
      </c>
      <c r="Z101" s="65">
        <v>134.19999999999999</v>
      </c>
      <c r="AA101" s="65">
        <v>130.4</v>
      </c>
      <c r="AB101" s="65">
        <v>131.80000000000001</v>
      </c>
      <c r="AC101" s="65">
        <v>131.80000000000001</v>
      </c>
      <c r="AD101" s="65">
        <v>129.4</v>
      </c>
      <c r="AE101" s="65">
        <v>127.2</v>
      </c>
      <c r="AF101" s="65">
        <v>127.2</v>
      </c>
      <c r="AG101" s="104"/>
      <c r="AH101" s="47">
        <f t="shared" si="8"/>
        <v>137</v>
      </c>
      <c r="AI101" s="48">
        <f t="shared" si="9"/>
        <v>126.9</v>
      </c>
    </row>
    <row r="102" spans="1:35" ht="15.75" thickBot="1" x14ac:dyDescent="0.3">
      <c r="A102" s="103" t="s">
        <v>110</v>
      </c>
      <c r="B102" s="92">
        <v>65.900000000000006</v>
      </c>
      <c r="C102" s="92">
        <v>66.2</v>
      </c>
      <c r="D102" s="92">
        <v>66.599999999999994</v>
      </c>
      <c r="E102" s="92">
        <v>66</v>
      </c>
      <c r="F102" s="92">
        <v>66</v>
      </c>
      <c r="G102" s="92">
        <v>66</v>
      </c>
      <c r="H102" s="92">
        <v>65.400000000000006</v>
      </c>
      <c r="I102" s="92">
        <v>65.400000000000006</v>
      </c>
      <c r="J102" s="92">
        <v>64.5</v>
      </c>
      <c r="K102" s="92">
        <v>64.5</v>
      </c>
      <c r="L102" s="92">
        <v>64.5</v>
      </c>
      <c r="M102" s="92">
        <v>64.5</v>
      </c>
      <c r="N102" s="92">
        <v>64.5</v>
      </c>
      <c r="O102" s="92">
        <v>64.099999999999994</v>
      </c>
      <c r="P102" s="92">
        <v>63.7</v>
      </c>
      <c r="Q102" s="92">
        <v>64.2</v>
      </c>
      <c r="R102" s="92">
        <v>64.2</v>
      </c>
      <c r="S102" s="92">
        <v>63.7</v>
      </c>
      <c r="T102" s="92">
        <v>64.599999999999994</v>
      </c>
      <c r="U102" s="92">
        <v>64</v>
      </c>
      <c r="V102" s="92">
        <v>65.2</v>
      </c>
      <c r="W102" s="92">
        <v>64.8</v>
      </c>
      <c r="X102" s="92">
        <v>64.7</v>
      </c>
      <c r="Y102" s="92">
        <v>64.5</v>
      </c>
      <c r="Z102" s="92">
        <v>64.8</v>
      </c>
      <c r="AA102" s="92">
        <v>64.900000000000006</v>
      </c>
      <c r="AB102" s="92">
        <v>65.099999999999994</v>
      </c>
      <c r="AC102" s="92">
        <v>65.099999999999994</v>
      </c>
      <c r="AD102" s="92">
        <v>66</v>
      </c>
      <c r="AE102" s="92">
        <v>66</v>
      </c>
      <c r="AF102" s="92">
        <v>66</v>
      </c>
      <c r="AG102" s="108"/>
      <c r="AH102" s="47">
        <f t="shared" si="8"/>
        <v>66.599999999999994</v>
      </c>
      <c r="AI102" s="48">
        <f t="shared" si="9"/>
        <v>63.7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 t="s">
        <v>111</v>
      </c>
      <c r="Z103" s="92" t="s">
        <v>111</v>
      </c>
      <c r="AA103" s="92"/>
      <c r="AB103" s="92"/>
      <c r="AC103" s="92"/>
      <c r="AD103" s="92"/>
      <c r="AE103" s="92"/>
      <c r="AF103" s="92"/>
      <c r="AG103" s="108"/>
      <c r="AH103" s="47">
        <f t="shared" si="8"/>
        <v>0</v>
      </c>
      <c r="AI103" s="48">
        <f t="shared" si="9"/>
        <v>0</v>
      </c>
    </row>
    <row r="104" spans="1:35" ht="15.75" thickBot="1" x14ac:dyDescent="0.3">
      <c r="A104" s="110" t="s">
        <v>112</v>
      </c>
      <c r="B104" s="111">
        <f t="shared" ref="B104:AF104" si="15">SUM(B16,B22,B25:B26,B52,B54:B55,B57,B59,B105:B109,B131,B137,B143,B152,B154,B166,B173,B176:B177,B184,B186,B188,B192:B194,B196:B198,B203,B209:B210,B212:B214,B222,B227)</f>
        <v>161.20000000000002</v>
      </c>
      <c r="C104" s="111">
        <f t="shared" si="15"/>
        <v>141.04</v>
      </c>
      <c r="D104" s="111">
        <f t="shared" si="15"/>
        <v>134.24</v>
      </c>
      <c r="E104" s="111">
        <f t="shared" si="15"/>
        <v>130.94</v>
      </c>
      <c r="F104" s="111">
        <f t="shared" si="15"/>
        <v>136.04000000000002</v>
      </c>
      <c r="G104" s="111">
        <f t="shared" si="15"/>
        <v>169.84</v>
      </c>
      <c r="H104" s="111">
        <f t="shared" si="15"/>
        <v>192.44</v>
      </c>
      <c r="I104" s="111">
        <f t="shared" si="15"/>
        <v>220.44</v>
      </c>
      <c r="J104" s="111">
        <f t="shared" si="15"/>
        <v>273.83999999999997</v>
      </c>
      <c r="K104" s="111">
        <f t="shared" si="15"/>
        <v>326.73999999999995</v>
      </c>
      <c r="L104" s="111">
        <f t="shared" si="15"/>
        <v>401.44</v>
      </c>
      <c r="M104" s="111">
        <f t="shared" si="15"/>
        <v>416.44</v>
      </c>
      <c r="N104" s="111">
        <f t="shared" si="15"/>
        <v>346.64000000000004</v>
      </c>
      <c r="O104" s="111">
        <f t="shared" si="15"/>
        <v>342.74</v>
      </c>
      <c r="P104" s="111">
        <v>42</v>
      </c>
      <c r="Q104" s="111">
        <f t="shared" si="15"/>
        <v>320.70000000000005</v>
      </c>
      <c r="R104" s="111">
        <f t="shared" si="15"/>
        <v>316.2</v>
      </c>
      <c r="S104" s="111">
        <f t="shared" si="15"/>
        <v>327.7</v>
      </c>
      <c r="T104" s="111">
        <f t="shared" si="15"/>
        <v>324.5</v>
      </c>
      <c r="U104" s="111">
        <f t="shared" si="15"/>
        <v>325.10000000000002</v>
      </c>
      <c r="V104" s="111">
        <f t="shared" si="15"/>
        <v>346.29999999999995</v>
      </c>
      <c r="W104" s="111">
        <f t="shared" si="15"/>
        <v>374</v>
      </c>
      <c r="X104" s="111">
        <v>479.89708333333334</v>
      </c>
      <c r="Y104" s="111">
        <v>479.89708333333334</v>
      </c>
      <c r="Z104" s="111">
        <v>479.89708333333334</v>
      </c>
      <c r="AA104" s="111">
        <v>479.89708333333334</v>
      </c>
      <c r="AB104" s="111">
        <f t="shared" si="15"/>
        <v>434.90000000000003</v>
      </c>
      <c r="AC104" s="111">
        <f t="shared" si="15"/>
        <v>434.90000000000003</v>
      </c>
      <c r="AD104" s="111">
        <f t="shared" si="15"/>
        <v>342.5</v>
      </c>
      <c r="AE104" s="111">
        <f t="shared" si="15"/>
        <v>275.89999999999998</v>
      </c>
      <c r="AF104" s="111">
        <f t="shared" si="15"/>
        <v>278.19999999999993</v>
      </c>
      <c r="AG104" s="112"/>
      <c r="AH104" s="47">
        <f t="shared" si="8"/>
        <v>479.89708333333334</v>
      </c>
      <c r="AI104" s="48">
        <f t="shared" si="9"/>
        <v>42</v>
      </c>
    </row>
    <row r="105" spans="1:35" x14ac:dyDescent="0.25">
      <c r="A105" s="100" t="s">
        <v>113</v>
      </c>
      <c r="B105" s="113">
        <v>-5.6</v>
      </c>
      <c r="C105" s="113">
        <v>-11</v>
      </c>
      <c r="D105" s="113">
        <v>-11</v>
      </c>
      <c r="E105" s="113">
        <v>-14.2</v>
      </c>
      <c r="F105" s="113">
        <v>-18.8</v>
      </c>
      <c r="G105" s="113">
        <v>-8.3000000000000007</v>
      </c>
      <c r="H105" s="113">
        <v>0</v>
      </c>
      <c r="I105" s="113">
        <v>6.2</v>
      </c>
      <c r="J105" s="113">
        <v>22.2</v>
      </c>
      <c r="K105" s="113">
        <v>38.9</v>
      </c>
      <c r="L105" s="113">
        <v>44.1</v>
      </c>
      <c r="M105" s="113">
        <v>49.8</v>
      </c>
      <c r="N105" s="113">
        <v>54.8</v>
      </c>
      <c r="O105" s="113">
        <v>38.5</v>
      </c>
      <c r="P105" s="113">
        <v>31.8</v>
      </c>
      <c r="Q105" s="113">
        <v>35</v>
      </c>
      <c r="R105" s="113">
        <v>34.799999999999997</v>
      </c>
      <c r="S105" s="113">
        <v>31.7</v>
      </c>
      <c r="T105" s="113">
        <v>31.7</v>
      </c>
      <c r="U105" s="113">
        <v>13</v>
      </c>
      <c r="V105" s="113">
        <v>32</v>
      </c>
      <c r="W105" s="113">
        <v>29.8</v>
      </c>
      <c r="X105" s="113">
        <v>36.4</v>
      </c>
      <c r="Y105" s="113">
        <v>39.799999999999997</v>
      </c>
      <c r="Z105" s="113">
        <v>38.1</v>
      </c>
      <c r="AA105" s="113">
        <v>36.5</v>
      </c>
      <c r="AB105" s="113">
        <v>32.700000000000003</v>
      </c>
      <c r="AC105" s="113">
        <v>32.700000000000003</v>
      </c>
      <c r="AD105" s="113">
        <v>29.1</v>
      </c>
      <c r="AE105" s="113">
        <v>23.1</v>
      </c>
      <c r="AF105" s="113">
        <v>22</v>
      </c>
      <c r="AG105" s="114">
        <v>75</v>
      </c>
      <c r="AH105" s="47">
        <f t="shared" si="8"/>
        <v>54.8</v>
      </c>
      <c r="AI105" s="48">
        <f t="shared" si="9"/>
        <v>-18.8</v>
      </c>
    </row>
    <row r="106" spans="1:35" x14ac:dyDescent="0.25">
      <c r="A106" s="103" t="s">
        <v>114</v>
      </c>
      <c r="B106" s="115">
        <v>-3.1</v>
      </c>
      <c r="C106" s="115">
        <v>-10</v>
      </c>
      <c r="D106" s="115">
        <v>-9.6</v>
      </c>
      <c r="E106" s="115">
        <v>-13.3</v>
      </c>
      <c r="F106" s="115">
        <v>-19.8</v>
      </c>
      <c r="G106" s="115">
        <v>-6.4</v>
      </c>
      <c r="H106" s="115">
        <v>3.6</v>
      </c>
      <c r="I106" s="115">
        <v>11.8</v>
      </c>
      <c r="J106" s="115">
        <v>32.9</v>
      </c>
      <c r="K106" s="115">
        <v>48.8</v>
      </c>
      <c r="L106" s="115">
        <v>55.1</v>
      </c>
      <c r="M106" s="115">
        <v>63.4</v>
      </c>
      <c r="N106" s="115">
        <v>71.3</v>
      </c>
      <c r="O106" s="115">
        <v>49.1</v>
      </c>
      <c r="P106" s="115">
        <v>47</v>
      </c>
      <c r="Q106" s="115">
        <v>53.4</v>
      </c>
      <c r="R106" s="115">
        <v>53.4</v>
      </c>
      <c r="S106" s="115">
        <v>49</v>
      </c>
      <c r="T106" s="115">
        <v>33.9</v>
      </c>
      <c r="U106" s="115">
        <v>21</v>
      </c>
      <c r="V106" s="115">
        <v>14.3</v>
      </c>
      <c r="W106" s="115">
        <v>30</v>
      </c>
      <c r="X106" s="115">
        <v>41.9</v>
      </c>
      <c r="Y106" s="115">
        <v>47.2</v>
      </c>
      <c r="Z106" s="115">
        <v>46.2</v>
      </c>
      <c r="AA106" s="115">
        <v>41.6</v>
      </c>
      <c r="AB106" s="115">
        <v>36</v>
      </c>
      <c r="AC106" s="115">
        <v>36</v>
      </c>
      <c r="AD106" s="115">
        <v>35</v>
      </c>
      <c r="AE106" s="115">
        <v>29.5</v>
      </c>
      <c r="AF106" s="115">
        <v>30.2</v>
      </c>
      <c r="AG106" s="114">
        <v>240</v>
      </c>
      <c r="AH106" s="47">
        <f t="shared" si="8"/>
        <v>71.3</v>
      </c>
      <c r="AI106" s="48">
        <f t="shared" si="9"/>
        <v>-19.8</v>
      </c>
    </row>
    <row r="107" spans="1:35" x14ac:dyDescent="0.25">
      <c r="A107" s="103" t="s">
        <v>115</v>
      </c>
      <c r="B107" s="115">
        <v>-52</v>
      </c>
      <c r="C107" s="115">
        <v>-54</v>
      </c>
      <c r="D107" s="115">
        <v>-57</v>
      </c>
      <c r="E107" s="115">
        <v>-56</v>
      </c>
      <c r="F107" s="115">
        <v>-48</v>
      </c>
      <c r="G107" s="115">
        <v>-41.6</v>
      </c>
      <c r="H107" s="115">
        <v>-41</v>
      </c>
      <c r="I107" s="115">
        <v>-28.9</v>
      </c>
      <c r="J107" s="115">
        <v>-11</v>
      </c>
      <c r="K107" s="115">
        <v>22</v>
      </c>
      <c r="L107" s="115">
        <v>60</v>
      </c>
      <c r="M107" s="115">
        <v>59.8</v>
      </c>
      <c r="N107" s="115"/>
      <c r="O107" s="115"/>
      <c r="P107" s="115"/>
      <c r="Q107" s="115"/>
      <c r="R107" s="115"/>
      <c r="S107" s="115"/>
      <c r="T107" s="115"/>
      <c r="U107" s="115">
        <v>12</v>
      </c>
      <c r="V107" s="115">
        <f>-3.3+25</f>
        <v>21.7</v>
      </c>
      <c r="W107" s="115">
        <f>16.8+44.8</f>
        <v>61.599999999999994</v>
      </c>
      <c r="X107" s="115">
        <v>53.900000000000006</v>
      </c>
      <c r="Y107" s="115">
        <f>10.7+42.7</f>
        <v>53.400000000000006</v>
      </c>
      <c r="Z107" s="115">
        <f>11+41.2</f>
        <v>52.2</v>
      </c>
      <c r="AA107" s="115">
        <f>11.3+41.5</f>
        <v>52.8</v>
      </c>
      <c r="AB107" s="115">
        <f>46+42</f>
        <v>88</v>
      </c>
      <c r="AC107" s="115">
        <f>46+42</f>
        <v>88</v>
      </c>
      <c r="AD107" s="115">
        <v>72</v>
      </c>
      <c r="AE107" s="115">
        <v>-3</v>
      </c>
      <c r="AF107" s="115">
        <v>-3</v>
      </c>
      <c r="AG107" s="114">
        <v>240</v>
      </c>
      <c r="AH107" s="47">
        <f t="shared" si="8"/>
        <v>88</v>
      </c>
      <c r="AI107" s="48">
        <f t="shared" si="9"/>
        <v>-57</v>
      </c>
    </row>
    <row r="108" spans="1:35" x14ac:dyDescent="0.25">
      <c r="A108" s="103" t="s">
        <v>116</v>
      </c>
      <c r="B108" s="115">
        <v>12</v>
      </c>
      <c r="C108" s="115">
        <v>11.4</v>
      </c>
      <c r="D108" s="115">
        <v>11</v>
      </c>
      <c r="E108" s="115">
        <v>10.9</v>
      </c>
      <c r="F108" s="115">
        <v>11</v>
      </c>
      <c r="G108" s="115">
        <v>11</v>
      </c>
      <c r="H108" s="115">
        <v>10.8</v>
      </c>
      <c r="I108" s="115">
        <v>10.199999999999999</v>
      </c>
      <c r="J108" s="115">
        <v>9.4</v>
      </c>
      <c r="K108" s="115">
        <v>14.6</v>
      </c>
      <c r="L108" s="115">
        <v>26.6</v>
      </c>
      <c r="M108" s="115">
        <v>25.1</v>
      </c>
      <c r="N108" s="115">
        <v>22.1</v>
      </c>
      <c r="O108" s="115">
        <v>23.9</v>
      </c>
      <c r="P108" s="115">
        <v>15.9</v>
      </c>
      <c r="Q108" s="115">
        <v>6.7</v>
      </c>
      <c r="R108" s="115">
        <v>8.1</v>
      </c>
      <c r="S108" s="115">
        <v>25.2</v>
      </c>
      <c r="T108" s="115">
        <v>28</v>
      </c>
      <c r="U108" s="115">
        <v>43</v>
      </c>
      <c r="V108" s="115">
        <v>56</v>
      </c>
      <c r="W108" s="115">
        <v>59.3</v>
      </c>
      <c r="X108" s="115">
        <v>65.5</v>
      </c>
      <c r="Y108" s="115">
        <v>67.7</v>
      </c>
      <c r="Z108" s="115">
        <v>67.900000000000006</v>
      </c>
      <c r="AA108" s="115">
        <v>66.5</v>
      </c>
      <c r="AB108" s="115">
        <v>61.3</v>
      </c>
      <c r="AC108" s="115">
        <v>61.3</v>
      </c>
      <c r="AD108" s="115">
        <v>43.3</v>
      </c>
      <c r="AE108" s="115">
        <v>12.1</v>
      </c>
      <c r="AF108" s="115">
        <v>12.1</v>
      </c>
      <c r="AG108" s="114">
        <v>60</v>
      </c>
      <c r="AH108" s="47">
        <f t="shared" si="8"/>
        <v>67.900000000000006</v>
      </c>
      <c r="AI108" s="48">
        <f t="shared" si="9"/>
        <v>6.7</v>
      </c>
    </row>
    <row r="109" spans="1:35" x14ac:dyDescent="0.25">
      <c r="A109" s="116" t="s">
        <v>117</v>
      </c>
      <c r="B109" s="117">
        <v>86.4</v>
      </c>
      <c r="C109" s="117">
        <v>80.2</v>
      </c>
      <c r="D109" s="117">
        <v>76.400000000000006</v>
      </c>
      <c r="E109" s="117">
        <v>82.9</v>
      </c>
      <c r="F109" s="117">
        <v>91</v>
      </c>
      <c r="G109" s="117">
        <v>94.5</v>
      </c>
      <c r="H109" s="117">
        <v>98.4</v>
      </c>
      <c r="I109" s="117">
        <v>100.7</v>
      </c>
      <c r="J109" s="117">
        <v>99.9</v>
      </c>
      <c r="K109" s="117">
        <v>82</v>
      </c>
      <c r="L109" s="117">
        <v>98</v>
      </c>
      <c r="M109" s="117">
        <v>101</v>
      </c>
      <c r="N109" s="117">
        <v>81.099999999999994</v>
      </c>
      <c r="O109" s="117">
        <v>112.5</v>
      </c>
      <c r="P109" s="117">
        <v>111.9</v>
      </c>
      <c r="Q109" s="117">
        <v>107</v>
      </c>
      <c r="R109" s="117">
        <v>104</v>
      </c>
      <c r="S109" s="117">
        <v>105.9</v>
      </c>
      <c r="T109" s="117">
        <v>114.8</v>
      </c>
      <c r="U109" s="117">
        <v>120</v>
      </c>
      <c r="V109" s="117">
        <v>106.4</v>
      </c>
      <c r="W109" s="117">
        <v>77.400000000000006</v>
      </c>
      <c r="X109" s="117">
        <v>99.6</v>
      </c>
      <c r="Y109" s="117">
        <v>111.6</v>
      </c>
      <c r="Z109" s="117">
        <v>88.4</v>
      </c>
      <c r="AA109" s="117">
        <v>80</v>
      </c>
      <c r="AB109" s="117">
        <v>100.3</v>
      </c>
      <c r="AC109" s="117">
        <v>100.3</v>
      </c>
      <c r="AD109" s="117">
        <v>43.2</v>
      </c>
      <c r="AE109" s="117">
        <v>94.3</v>
      </c>
      <c r="AF109" s="117">
        <v>97</v>
      </c>
      <c r="AG109" s="118">
        <v>120</v>
      </c>
      <c r="AH109" s="47">
        <f t="shared" si="8"/>
        <v>120</v>
      </c>
      <c r="AI109" s="48">
        <f t="shared" si="9"/>
        <v>43.2</v>
      </c>
    </row>
    <row r="110" spans="1:35" x14ac:dyDescent="0.25">
      <c r="A110" s="116" t="s">
        <v>118</v>
      </c>
      <c r="B110" s="117">
        <v>92</v>
      </c>
      <c r="C110" s="117">
        <v>85</v>
      </c>
      <c r="D110" s="117">
        <v>83</v>
      </c>
      <c r="E110" s="117">
        <v>86.6</v>
      </c>
      <c r="F110" s="117">
        <v>95</v>
      </c>
      <c r="G110" s="117">
        <v>92.6</v>
      </c>
      <c r="H110" s="117">
        <v>96.2</v>
      </c>
      <c r="I110" s="117">
        <v>94.8</v>
      </c>
      <c r="J110" s="117">
        <v>87.2</v>
      </c>
      <c r="K110" s="117">
        <v>95</v>
      </c>
      <c r="L110" s="117">
        <v>88.2</v>
      </c>
      <c r="M110" s="117">
        <v>92.9</v>
      </c>
      <c r="N110" s="117">
        <v>69.8</v>
      </c>
      <c r="O110" s="117">
        <v>75.8</v>
      </c>
      <c r="P110" s="117">
        <v>81.900000000000006</v>
      </c>
      <c r="Q110" s="117">
        <v>98</v>
      </c>
      <c r="R110" s="117">
        <v>90</v>
      </c>
      <c r="S110" s="117">
        <v>96</v>
      </c>
      <c r="T110" s="117">
        <v>105.5</v>
      </c>
      <c r="U110" s="117">
        <v>103</v>
      </c>
      <c r="V110" s="117">
        <v>80.3</v>
      </c>
      <c r="W110" s="117">
        <v>98.9</v>
      </c>
      <c r="X110" s="117">
        <v>69.2</v>
      </c>
      <c r="Y110" s="117">
        <v>70</v>
      </c>
      <c r="Z110" s="117">
        <v>82</v>
      </c>
      <c r="AA110" s="117">
        <v>80</v>
      </c>
      <c r="AB110" s="117">
        <v>95.1</v>
      </c>
      <c r="AC110" s="117">
        <v>95.1</v>
      </c>
      <c r="AD110" s="117">
        <v>90.5</v>
      </c>
      <c r="AE110" s="117">
        <v>78.5</v>
      </c>
      <c r="AF110" s="117">
        <v>96</v>
      </c>
      <c r="AG110" s="118"/>
      <c r="AH110" s="47">
        <f t="shared" si="8"/>
        <v>105.5</v>
      </c>
      <c r="AI110" s="48">
        <f t="shared" si="9"/>
        <v>69.2</v>
      </c>
    </row>
    <row r="111" spans="1:35" x14ac:dyDescent="0.25">
      <c r="A111" s="116" t="s">
        <v>119</v>
      </c>
      <c r="B111" s="117">
        <v>30.3</v>
      </c>
      <c r="C111" s="117">
        <v>36.5</v>
      </c>
      <c r="D111" s="117">
        <v>36</v>
      </c>
      <c r="E111" s="117">
        <v>35.9</v>
      </c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  <c r="AB111" s="117">
        <v>22.1</v>
      </c>
      <c r="AC111" s="117">
        <v>22.1</v>
      </c>
      <c r="AD111" s="117">
        <v>19.5</v>
      </c>
      <c r="AE111" s="117">
        <v>15</v>
      </c>
      <c r="AF111" s="117">
        <v>15</v>
      </c>
      <c r="AG111" s="119"/>
      <c r="AH111" s="47">
        <f t="shared" si="8"/>
        <v>36.5</v>
      </c>
      <c r="AI111" s="48">
        <f t="shared" si="9"/>
        <v>15</v>
      </c>
    </row>
    <row r="112" spans="1:35" x14ac:dyDescent="0.25">
      <c r="A112" s="120" t="s">
        <v>120</v>
      </c>
      <c r="B112" s="106">
        <v>29.5</v>
      </c>
      <c r="C112" s="106">
        <v>26</v>
      </c>
      <c r="D112" s="106">
        <v>34</v>
      </c>
      <c r="E112" s="106">
        <v>35.4</v>
      </c>
      <c r="F112" s="106">
        <v>36.799999999999997</v>
      </c>
      <c r="G112" s="106">
        <v>28.9</v>
      </c>
      <c r="H112" s="106">
        <v>24.8</v>
      </c>
      <c r="I112" s="106">
        <v>13.4</v>
      </c>
      <c r="J112" s="106">
        <v>4.7</v>
      </c>
      <c r="K112" s="106">
        <v>-17</v>
      </c>
      <c r="L112" s="106">
        <v>-27.2</v>
      </c>
      <c r="M112" s="106">
        <v>-30.5</v>
      </c>
      <c r="N112" s="106">
        <v>-19</v>
      </c>
      <c r="O112" s="106">
        <v>-10.3</v>
      </c>
      <c r="P112" s="106">
        <v>-6.9</v>
      </c>
      <c r="Q112" s="106">
        <v>2.7</v>
      </c>
      <c r="R112" s="106">
        <v>2.2999999999999998</v>
      </c>
      <c r="S112" s="106">
        <v>3.2</v>
      </c>
      <c r="T112" s="106">
        <v>11.9</v>
      </c>
      <c r="U112" s="106">
        <v>13</v>
      </c>
      <c r="V112" s="106">
        <v>-20.8</v>
      </c>
      <c r="W112" s="106">
        <v>-43.8</v>
      </c>
      <c r="X112" s="106">
        <v>91.8</v>
      </c>
      <c r="Y112" s="106">
        <v>46</v>
      </c>
      <c r="Z112" s="106">
        <v>-39.200000000000003</v>
      </c>
      <c r="AA112" s="106">
        <v>-21.3</v>
      </c>
      <c r="AB112" s="106">
        <v>-11.9</v>
      </c>
      <c r="AC112" s="106">
        <v>-11.9</v>
      </c>
      <c r="AD112" s="106">
        <v>1.4</v>
      </c>
      <c r="AE112" s="106">
        <v>22.8</v>
      </c>
      <c r="AF112" s="106">
        <v>24</v>
      </c>
      <c r="AG112" s="119"/>
      <c r="AH112" s="47">
        <f t="shared" si="8"/>
        <v>91.8</v>
      </c>
      <c r="AI112" s="48">
        <f t="shared" si="9"/>
        <v>-43.8</v>
      </c>
    </row>
    <row r="113" spans="1:37" ht="15.75" thickBot="1" x14ac:dyDescent="0.3">
      <c r="A113" s="120" t="s">
        <v>121</v>
      </c>
      <c r="B113" s="106">
        <v>19.399999999999999</v>
      </c>
      <c r="C113" s="106">
        <v>18.2</v>
      </c>
      <c r="D113" s="106">
        <v>15.3</v>
      </c>
      <c r="E113" s="106">
        <v>12.4</v>
      </c>
      <c r="F113" s="106">
        <v>7.8</v>
      </c>
      <c r="G113" s="106">
        <v>6.2</v>
      </c>
      <c r="H113" s="106">
        <v>9.1999999999999993</v>
      </c>
      <c r="I113" s="106">
        <v>8.9</v>
      </c>
      <c r="J113" s="106">
        <v>5.7</v>
      </c>
      <c r="K113" s="106">
        <v>-20</v>
      </c>
      <c r="L113" s="106">
        <v>-38.6</v>
      </c>
      <c r="M113" s="106">
        <v>-40.5</v>
      </c>
      <c r="N113" s="106"/>
      <c r="O113" s="106"/>
      <c r="P113" s="106"/>
      <c r="Q113" s="106"/>
      <c r="R113" s="106">
        <v>4.4000000000000004</v>
      </c>
      <c r="S113" s="106">
        <v>10.9</v>
      </c>
      <c r="T113" s="106">
        <v>10.1</v>
      </c>
      <c r="U113" s="106">
        <v>-1.63</v>
      </c>
      <c r="V113" s="106">
        <v>-20.8</v>
      </c>
      <c r="W113" s="106">
        <v>-48.4</v>
      </c>
      <c r="X113" s="106">
        <v>-42</v>
      </c>
      <c r="Y113" s="106">
        <v>-37.4</v>
      </c>
      <c r="Z113" s="106">
        <v>-35.299999999999997</v>
      </c>
      <c r="AA113" s="106">
        <v>-28</v>
      </c>
      <c r="AB113" s="106">
        <v>-43.4</v>
      </c>
      <c r="AC113" s="106">
        <v>-43.4</v>
      </c>
      <c r="AD113" s="106">
        <v>-44.6</v>
      </c>
      <c r="AE113" s="106">
        <v>2.2999999999999998</v>
      </c>
      <c r="AF113" s="106">
        <v>5</v>
      </c>
      <c r="AG113" s="119"/>
      <c r="AH113" s="47">
        <f t="shared" si="8"/>
        <v>19.399999999999999</v>
      </c>
      <c r="AI113" s="48">
        <f t="shared" si="9"/>
        <v>-48.4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6">SUM(B115:B219)</f>
        <v>0</v>
      </c>
      <c r="C220" s="136">
        <f t="shared" si="16"/>
        <v>0</v>
      </c>
      <c r="D220" s="136">
        <f t="shared" si="16"/>
        <v>0</v>
      </c>
      <c r="E220" s="136">
        <f t="shared" si="16"/>
        <v>0</v>
      </c>
      <c r="F220" s="136">
        <f t="shared" si="16"/>
        <v>0</v>
      </c>
      <c r="G220" s="136">
        <f t="shared" si="16"/>
        <v>0</v>
      </c>
      <c r="H220" s="136">
        <f t="shared" si="16"/>
        <v>0</v>
      </c>
      <c r="I220" s="136">
        <f t="shared" si="16"/>
        <v>0</v>
      </c>
      <c r="J220" s="136">
        <f t="shared" si="16"/>
        <v>0</v>
      </c>
      <c r="K220" s="136">
        <f t="shared" si="16"/>
        <v>0</v>
      </c>
      <c r="L220" s="136">
        <f t="shared" si="16"/>
        <v>0</v>
      </c>
      <c r="M220" s="136">
        <f t="shared" si="16"/>
        <v>0</v>
      </c>
      <c r="N220" s="136">
        <f t="shared" si="16"/>
        <v>0</v>
      </c>
      <c r="O220" s="136">
        <f t="shared" si="16"/>
        <v>0</v>
      </c>
      <c r="P220" s="136">
        <f t="shared" si="16"/>
        <v>0</v>
      </c>
      <c r="Q220" s="136">
        <f t="shared" si="16"/>
        <v>0</v>
      </c>
      <c r="R220" s="136">
        <f t="shared" si="16"/>
        <v>0</v>
      </c>
      <c r="S220" s="136">
        <f t="shared" si="16"/>
        <v>0</v>
      </c>
      <c r="T220" s="136">
        <f t="shared" si="16"/>
        <v>0</v>
      </c>
      <c r="U220" s="136">
        <f t="shared" si="16"/>
        <v>0</v>
      </c>
      <c r="V220" s="136">
        <f t="shared" si="16"/>
        <v>0</v>
      </c>
      <c r="W220" s="136">
        <f t="shared" si="16"/>
        <v>0</v>
      </c>
      <c r="X220" s="136">
        <f t="shared" si="16"/>
        <v>0</v>
      </c>
      <c r="Y220" s="136">
        <f t="shared" si="16"/>
        <v>0</v>
      </c>
      <c r="Z220" s="136">
        <f t="shared" si="16"/>
        <v>0</v>
      </c>
      <c r="AA220" s="136">
        <f t="shared" si="16"/>
        <v>0</v>
      </c>
      <c r="AB220" s="136">
        <f t="shared" si="16"/>
        <v>0</v>
      </c>
      <c r="AC220" s="136">
        <f t="shared" si="16"/>
        <v>0</v>
      </c>
      <c r="AD220" s="136">
        <f t="shared" si="16"/>
        <v>0</v>
      </c>
      <c r="AE220" s="136">
        <f t="shared" si="16"/>
        <v>0</v>
      </c>
      <c r="AF220" s="137">
        <f t="shared" si="16"/>
        <v>0</v>
      </c>
      <c r="AG220" s="138">
        <f t="shared" si="16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7">AF222</f>
        <v>0</v>
      </c>
      <c r="C222" s="140">
        <v>0.3</v>
      </c>
      <c r="D222" s="140">
        <f t="shared" ref="D222:P227" si="18">C222</f>
        <v>0.3</v>
      </c>
      <c r="E222" s="140">
        <f t="shared" si="18"/>
        <v>0.3</v>
      </c>
      <c r="F222" s="140">
        <f t="shared" si="18"/>
        <v>0.3</v>
      </c>
      <c r="G222" s="140">
        <f t="shared" si="18"/>
        <v>0.3</v>
      </c>
      <c r="H222" s="140">
        <f t="shared" si="18"/>
        <v>0.3</v>
      </c>
      <c r="I222" s="140">
        <f t="shared" si="18"/>
        <v>0.3</v>
      </c>
      <c r="J222" s="140">
        <f t="shared" si="18"/>
        <v>0.3</v>
      </c>
      <c r="K222" s="140">
        <f t="shared" si="18"/>
        <v>0.3</v>
      </c>
      <c r="L222" s="140">
        <f t="shared" si="18"/>
        <v>0.3</v>
      </c>
      <c r="M222" s="140">
        <f t="shared" si="18"/>
        <v>0.3</v>
      </c>
      <c r="N222" s="140">
        <f t="shared" si="18"/>
        <v>0.3</v>
      </c>
      <c r="O222" s="140">
        <f t="shared" si="18"/>
        <v>0.3</v>
      </c>
      <c r="P222" s="140">
        <f t="shared" si="18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7"/>
        <v>0</v>
      </c>
      <c r="C223" s="128">
        <v>0.4</v>
      </c>
      <c r="D223" s="128">
        <f t="shared" si="18"/>
        <v>0.4</v>
      </c>
      <c r="E223" s="128">
        <f t="shared" si="18"/>
        <v>0.4</v>
      </c>
      <c r="F223" s="128">
        <f t="shared" si="18"/>
        <v>0.4</v>
      </c>
      <c r="G223" s="128">
        <f t="shared" si="18"/>
        <v>0.4</v>
      </c>
      <c r="H223" s="128">
        <f t="shared" si="18"/>
        <v>0.4</v>
      </c>
      <c r="I223" s="128">
        <f t="shared" si="18"/>
        <v>0.4</v>
      </c>
      <c r="J223" s="128">
        <f t="shared" si="18"/>
        <v>0.4</v>
      </c>
      <c r="K223" s="128">
        <f t="shared" si="18"/>
        <v>0.4</v>
      </c>
      <c r="L223" s="128">
        <f t="shared" si="18"/>
        <v>0.4</v>
      </c>
      <c r="M223" s="128">
        <f t="shared" si="18"/>
        <v>0.4</v>
      </c>
      <c r="N223" s="128">
        <f t="shared" si="18"/>
        <v>0.4</v>
      </c>
      <c r="O223" s="128">
        <f t="shared" si="18"/>
        <v>0.4</v>
      </c>
      <c r="P223" s="128">
        <f t="shared" si="18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7"/>
        <v>0</v>
      </c>
      <c r="C224" s="128">
        <v>1.5</v>
      </c>
      <c r="D224" s="128">
        <f t="shared" si="18"/>
        <v>1.5</v>
      </c>
      <c r="E224" s="128">
        <f t="shared" si="18"/>
        <v>1.5</v>
      </c>
      <c r="F224" s="128">
        <f t="shared" si="18"/>
        <v>1.5</v>
      </c>
      <c r="G224" s="128">
        <f t="shared" si="18"/>
        <v>1.5</v>
      </c>
      <c r="H224" s="128">
        <f t="shared" si="18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18"/>
        <v>1.5</v>
      </c>
      <c r="K224" s="128">
        <f t="shared" ca="1" si="18"/>
        <v>1.5</v>
      </c>
      <c r="L224" s="128">
        <f t="shared" ca="1" si="18"/>
        <v>1.5</v>
      </c>
      <c r="M224" s="128">
        <f t="shared" ca="1" si="18"/>
        <v>1.5</v>
      </c>
      <c r="N224" s="128">
        <f t="shared" ca="1" si="18"/>
        <v>1.5</v>
      </c>
      <c r="O224" s="128">
        <f t="shared" ca="1" si="18"/>
        <v>1.5</v>
      </c>
      <c r="P224" s="128">
        <f t="shared" ca="1" si="18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7"/>
        <v>0</v>
      </c>
      <c r="C225" s="128">
        <v>0.3</v>
      </c>
      <c r="D225" s="128">
        <f t="shared" si="18"/>
        <v>0.3</v>
      </c>
      <c r="E225" s="128">
        <f t="shared" si="18"/>
        <v>0.3</v>
      </c>
      <c r="F225" s="128">
        <f t="shared" si="18"/>
        <v>0.3</v>
      </c>
      <c r="G225" s="128">
        <f t="shared" si="18"/>
        <v>0.3</v>
      </c>
      <c r="H225" s="128">
        <f t="shared" si="18"/>
        <v>0.3</v>
      </c>
      <c r="I225" s="128">
        <f t="shared" si="18"/>
        <v>0.3</v>
      </c>
      <c r="J225" s="128">
        <f t="shared" si="18"/>
        <v>0.3</v>
      </c>
      <c r="K225" s="128">
        <f t="shared" si="18"/>
        <v>0.3</v>
      </c>
      <c r="L225" s="128">
        <f t="shared" si="18"/>
        <v>0.3</v>
      </c>
      <c r="M225" s="128">
        <f t="shared" si="18"/>
        <v>0.3</v>
      </c>
      <c r="N225" s="128">
        <f t="shared" si="18"/>
        <v>0.3</v>
      </c>
      <c r="O225" s="128">
        <f t="shared" si="18"/>
        <v>0.3</v>
      </c>
      <c r="P225" s="128">
        <f t="shared" si="18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7"/>
        <v>0</v>
      </c>
      <c r="C226" s="128">
        <v>0.4</v>
      </c>
      <c r="D226" s="128">
        <f t="shared" si="18"/>
        <v>0.4</v>
      </c>
      <c r="E226" s="128">
        <f t="shared" si="18"/>
        <v>0.4</v>
      </c>
      <c r="F226" s="128">
        <f t="shared" si="18"/>
        <v>0.4</v>
      </c>
      <c r="G226" s="128">
        <f t="shared" si="18"/>
        <v>0.4</v>
      </c>
      <c r="H226" s="128">
        <f t="shared" si="18"/>
        <v>0.4</v>
      </c>
      <c r="I226" s="128">
        <f t="shared" si="18"/>
        <v>0.4</v>
      </c>
      <c r="J226" s="128">
        <f t="shared" si="18"/>
        <v>0.4</v>
      </c>
      <c r="K226" s="128">
        <f t="shared" si="18"/>
        <v>0.4</v>
      </c>
      <c r="L226" s="128">
        <f t="shared" si="18"/>
        <v>0.4</v>
      </c>
      <c r="M226" s="128">
        <f t="shared" si="18"/>
        <v>0.4</v>
      </c>
      <c r="N226" s="128">
        <f t="shared" si="18"/>
        <v>0.4</v>
      </c>
      <c r="O226" s="128">
        <f t="shared" si="18"/>
        <v>0.4</v>
      </c>
      <c r="P226" s="128">
        <f t="shared" si="18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7"/>
        <v>0</v>
      </c>
      <c r="C227" s="132">
        <v>0.64</v>
      </c>
      <c r="D227" s="132">
        <f t="shared" si="18"/>
        <v>0.64</v>
      </c>
      <c r="E227" s="132">
        <f t="shared" si="18"/>
        <v>0.64</v>
      </c>
      <c r="F227" s="132">
        <f t="shared" si="18"/>
        <v>0.64</v>
      </c>
      <c r="G227" s="132">
        <f t="shared" si="18"/>
        <v>0.64</v>
      </c>
      <c r="H227" s="132">
        <f t="shared" si="18"/>
        <v>0.64</v>
      </c>
      <c r="I227" s="132">
        <f t="shared" si="18"/>
        <v>0.64</v>
      </c>
      <c r="J227" s="132">
        <f t="shared" si="18"/>
        <v>0.64</v>
      </c>
      <c r="K227" s="132">
        <f t="shared" si="18"/>
        <v>0.64</v>
      </c>
      <c r="L227" s="132">
        <f t="shared" si="18"/>
        <v>0.64</v>
      </c>
      <c r="M227" s="132">
        <f t="shared" si="18"/>
        <v>0.64</v>
      </c>
      <c r="N227" s="132">
        <f t="shared" si="18"/>
        <v>0.64</v>
      </c>
      <c r="O227" s="132">
        <f t="shared" si="18"/>
        <v>0.64</v>
      </c>
      <c r="P227" s="132">
        <f t="shared" si="18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19">SUM(B222:B227)</f>
        <v>0</v>
      </c>
      <c r="C228" s="136">
        <f t="shared" si="19"/>
        <v>3.54</v>
      </c>
      <c r="D228" s="136">
        <f t="shared" si="19"/>
        <v>3.54</v>
      </c>
      <c r="E228" s="136">
        <f t="shared" si="19"/>
        <v>3.54</v>
      </c>
      <c r="F228" s="136">
        <f t="shared" si="19"/>
        <v>3.54</v>
      </c>
      <c r="G228" s="136">
        <f t="shared" si="19"/>
        <v>3.54</v>
      </c>
      <c r="H228" s="136">
        <f t="shared" si="19"/>
        <v>3.54</v>
      </c>
      <c r="I228" s="136">
        <f t="shared" ca="1" si="19"/>
        <v>3.54</v>
      </c>
      <c r="J228" s="136">
        <f t="shared" ca="1" si="19"/>
        <v>3.54</v>
      </c>
      <c r="K228" s="136">
        <f t="shared" ca="1" si="19"/>
        <v>3.54</v>
      </c>
      <c r="L228" s="136">
        <f t="shared" ca="1" si="19"/>
        <v>3.54</v>
      </c>
      <c r="M228" s="136">
        <f t="shared" ca="1" si="19"/>
        <v>3.54</v>
      </c>
      <c r="N228" s="136">
        <f t="shared" ca="1" si="19"/>
        <v>3.54</v>
      </c>
      <c r="O228" s="136">
        <f t="shared" ca="1" si="19"/>
        <v>3.54</v>
      </c>
      <c r="P228" s="136">
        <f t="shared" ca="1" si="19"/>
        <v>3.54</v>
      </c>
      <c r="Q228" s="136">
        <f t="shared" si="19"/>
        <v>0</v>
      </c>
      <c r="R228" s="136">
        <f t="shared" si="19"/>
        <v>0</v>
      </c>
      <c r="S228" s="136">
        <f t="shared" si="19"/>
        <v>0</v>
      </c>
      <c r="T228" s="136">
        <f t="shared" si="19"/>
        <v>0</v>
      </c>
      <c r="U228" s="136">
        <f t="shared" si="19"/>
        <v>0</v>
      </c>
      <c r="V228" s="136">
        <f t="shared" si="19"/>
        <v>0</v>
      </c>
      <c r="W228" s="136">
        <f t="shared" si="19"/>
        <v>0</v>
      </c>
      <c r="X228" s="136">
        <f t="shared" si="19"/>
        <v>0</v>
      </c>
      <c r="Y228" s="136">
        <f t="shared" si="19"/>
        <v>0</v>
      </c>
      <c r="Z228" s="136">
        <f t="shared" si="19"/>
        <v>0</v>
      </c>
      <c r="AA228" s="136">
        <f t="shared" si="19"/>
        <v>0</v>
      </c>
      <c r="AB228" s="136">
        <f t="shared" si="19"/>
        <v>0</v>
      </c>
      <c r="AC228" s="136">
        <f t="shared" si="19"/>
        <v>0</v>
      </c>
      <c r="AD228" s="136">
        <f t="shared" si="19"/>
        <v>0</v>
      </c>
      <c r="AE228" s="136">
        <f t="shared" si="19"/>
        <v>0</v>
      </c>
      <c r="AF228" s="136">
        <f t="shared" si="19"/>
        <v>0</v>
      </c>
      <c r="AG228" s="145">
        <f t="shared" si="19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1659.24</v>
      </c>
      <c r="C237" s="161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4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str">
        <f ca="1">"Pie Chart of Daily Peak Demand(Inclusive of Export) of Nepal ("&amp;A4&amp;" "&amp;B4&amp;")"</f>
        <v>Pie Chart of Daily Peak Demand(Inclusive of Export) of Nepal (Nepali Date: 2079/09/4)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2079/09/4)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0">B85</f>
        <v>1121.94</v>
      </c>
      <c r="U242" s="170">
        <f t="shared" si="20"/>
        <v>1069.54</v>
      </c>
      <c r="V242" s="170">
        <f t="shared" si="20"/>
        <v>1054.94</v>
      </c>
      <c r="W242" s="170">
        <f t="shared" si="20"/>
        <v>1045.54</v>
      </c>
      <c r="X242" s="170">
        <f t="shared" si="20"/>
        <v>1054.54</v>
      </c>
      <c r="Y242" s="170">
        <f t="shared" si="20"/>
        <v>1123.1399999999999</v>
      </c>
      <c r="Z242" s="170">
        <f t="shared" si="20"/>
        <v>1196.7399999999998</v>
      </c>
      <c r="AA242" s="170">
        <f t="shared" si="20"/>
        <v>1247.54</v>
      </c>
      <c r="AB242" s="170">
        <f t="shared" si="20"/>
        <v>1370.04</v>
      </c>
      <c r="AC242" s="170">
        <f t="shared" si="20"/>
        <v>1397.6399999999999</v>
      </c>
      <c r="AD242" s="170">
        <f t="shared" si="20"/>
        <v>1642.94</v>
      </c>
      <c r="AE242" s="170">
        <f t="shared" si="20"/>
        <v>1659.24</v>
      </c>
      <c r="AF242" s="170">
        <f t="shared" si="20"/>
        <v>1619.34</v>
      </c>
      <c r="AG242" s="170">
        <f t="shared" si="20"/>
        <v>1553.94</v>
      </c>
      <c r="AH242" s="170">
        <f t="shared" si="20"/>
        <v>1441.04</v>
      </c>
      <c r="AI242" s="170">
        <f t="shared" si="20"/>
        <v>1430.04</v>
      </c>
      <c r="AJ242" s="170">
        <f t="shared" si="20"/>
        <v>1418.44</v>
      </c>
      <c r="AK242" s="170">
        <f t="shared" si="20"/>
        <v>1381.74</v>
      </c>
      <c r="AL242" s="170">
        <f t="shared" si="20"/>
        <v>1381.44</v>
      </c>
      <c r="AM242" s="170">
        <f t="shared" si="20"/>
        <v>1395.04</v>
      </c>
      <c r="AN242" s="170">
        <f t="shared" si="20"/>
        <v>1367.84</v>
      </c>
      <c r="AO242" s="170">
        <f t="shared" si="20"/>
        <v>1425.1399999999999</v>
      </c>
      <c r="AP242" s="170">
        <f t="shared" si="20"/>
        <v>1711.44</v>
      </c>
      <c r="AQ242" s="170">
        <f t="shared" si="20"/>
        <v>1748.3400000000001</v>
      </c>
      <c r="AR242" s="170">
        <f t="shared" si="20"/>
        <v>1728.3400000000001</v>
      </c>
      <c r="AS242" s="170">
        <f t="shared" si="20"/>
        <v>1678.3400000000001</v>
      </c>
      <c r="AT242" s="170">
        <f t="shared" si="20"/>
        <v>1637.1399999999999</v>
      </c>
      <c r="AU242" s="170">
        <f t="shared" si="20"/>
        <v>1569.6399999999999</v>
      </c>
      <c r="AV242" s="170">
        <f t="shared" si="20"/>
        <v>1503.84</v>
      </c>
      <c r="AW242" s="170">
        <f t="shared" si="20"/>
        <v>1236.94</v>
      </c>
      <c r="AX242" s="170">
        <f t="shared" si="20"/>
        <v>1157.54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1">C227</f>
        <v>0.64</v>
      </c>
      <c r="C263" s="173">
        <f t="shared" si="21"/>
        <v>0.64</v>
      </c>
      <c r="D263" s="173">
        <f t="shared" si="21"/>
        <v>0.64</v>
      </c>
      <c r="E263" s="173">
        <f t="shared" si="21"/>
        <v>0.64</v>
      </c>
      <c r="F263" s="173">
        <f t="shared" si="21"/>
        <v>0.64</v>
      </c>
      <c r="G263" s="173">
        <f t="shared" si="21"/>
        <v>0.64</v>
      </c>
      <c r="H263" s="173">
        <f t="shared" si="21"/>
        <v>0.64</v>
      </c>
      <c r="I263" s="173">
        <f t="shared" si="21"/>
        <v>0.64</v>
      </c>
      <c r="J263" s="173">
        <f t="shared" si="21"/>
        <v>0.64</v>
      </c>
      <c r="K263" s="173">
        <f t="shared" si="21"/>
        <v>0.64</v>
      </c>
      <c r="L263" s="173">
        <f t="shared" si="21"/>
        <v>0.64</v>
      </c>
      <c r="M263" s="173">
        <f t="shared" si="21"/>
        <v>0.64</v>
      </c>
      <c r="N263" s="173">
        <f t="shared" si="21"/>
        <v>0.64</v>
      </c>
      <c r="O263" s="173">
        <f t="shared" si="21"/>
        <v>0.64</v>
      </c>
      <c r="P263" s="173">
        <f t="shared" si="21"/>
        <v>0</v>
      </c>
      <c r="Q263" s="173">
        <f t="shared" si="21"/>
        <v>0</v>
      </c>
      <c r="R263" s="173">
        <f t="shared" si="21"/>
        <v>0</v>
      </c>
      <c r="S263" s="173">
        <f t="shared" si="21"/>
        <v>0</v>
      </c>
      <c r="T263" s="173">
        <f t="shared" si="21"/>
        <v>0</v>
      </c>
      <c r="U263" s="173">
        <f t="shared" si="21"/>
        <v>0</v>
      </c>
      <c r="V263" s="173">
        <f t="shared" si="21"/>
        <v>0</v>
      </c>
      <c r="W263" s="173">
        <f t="shared" si="21"/>
        <v>0</v>
      </c>
      <c r="X263" s="173">
        <f t="shared" si="21"/>
        <v>0</v>
      </c>
      <c r="Y263" s="173">
        <f t="shared" si="21"/>
        <v>0</v>
      </c>
      <c r="Z263" s="173">
        <f t="shared" si="21"/>
        <v>0</v>
      </c>
      <c r="AA263" s="173">
        <f t="shared" si="21"/>
        <v>0</v>
      </c>
      <c r="AB263" s="173">
        <f t="shared" si="21"/>
        <v>0</v>
      </c>
      <c r="AC263" s="173">
        <f t="shared" si="21"/>
        <v>0</v>
      </c>
      <c r="AD263" s="173">
        <f t="shared" si="21"/>
        <v>0</v>
      </c>
      <c r="AE263" s="173">
        <f t="shared" si="21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2">IF(B231&lt;100,"",B231-520)</f>
        <v/>
      </c>
      <c r="C264" s="174" t="str">
        <f t="shared" si="22"/>
        <v/>
      </c>
      <c r="D264" s="174" t="str">
        <f t="shared" si="22"/>
        <v/>
      </c>
      <c r="E264" s="174" t="str">
        <f t="shared" si="22"/>
        <v/>
      </c>
      <c r="F264" s="174" t="str">
        <f t="shared" si="22"/>
        <v/>
      </c>
      <c r="G264" s="174" t="str">
        <f t="shared" si="22"/>
        <v/>
      </c>
      <c r="H264" s="174" t="str">
        <f t="shared" si="22"/>
        <v/>
      </c>
      <c r="I264" s="174" t="str">
        <f t="shared" si="22"/>
        <v/>
      </c>
      <c r="J264" s="174" t="str">
        <f t="shared" si="22"/>
        <v/>
      </c>
      <c r="K264" s="174" t="str">
        <f t="shared" si="22"/>
        <v/>
      </c>
      <c r="L264" s="174" t="str">
        <f t="shared" si="22"/>
        <v/>
      </c>
      <c r="M264" s="174" t="str">
        <f t="shared" si="22"/>
        <v/>
      </c>
      <c r="N264" s="174" t="str">
        <f t="shared" si="22"/>
        <v/>
      </c>
      <c r="O264" s="174" t="str">
        <f t="shared" si="22"/>
        <v/>
      </c>
      <c r="P264" s="174" t="str">
        <f t="shared" si="22"/>
        <v/>
      </c>
      <c r="Q264" s="174" t="str">
        <f t="shared" si="22"/>
        <v/>
      </c>
      <c r="R264" s="174" t="str">
        <f t="shared" si="22"/>
        <v/>
      </c>
      <c r="S264" s="174" t="str">
        <f t="shared" si="22"/>
        <v/>
      </c>
      <c r="T264" s="174" t="str">
        <f t="shared" si="22"/>
        <v/>
      </c>
      <c r="U264" s="174" t="str">
        <f t="shared" si="22"/>
        <v/>
      </c>
      <c r="V264" s="174" t="str">
        <f t="shared" si="22"/>
        <v/>
      </c>
      <c r="W264" s="174" t="str">
        <f t="shared" si="22"/>
        <v/>
      </c>
      <c r="X264" s="174" t="str">
        <f t="shared" si="22"/>
        <v/>
      </c>
      <c r="Y264" s="174" t="str">
        <f t="shared" si="22"/>
        <v/>
      </c>
      <c r="Z264" s="174" t="str">
        <f t="shared" si="22"/>
        <v/>
      </c>
      <c r="AA264" s="174" t="str">
        <f t="shared" si="22"/>
        <v/>
      </c>
      <c r="AB264" s="174" t="str">
        <f t="shared" si="22"/>
        <v/>
      </c>
      <c r="AC264" s="174" t="str">
        <f t="shared" si="22"/>
        <v/>
      </c>
      <c r="AD264" s="174" t="str">
        <f t="shared" si="22"/>
        <v/>
      </c>
      <c r="AE264" s="174" t="str">
        <f t="shared" si="22"/>
        <v/>
      </c>
      <c r="AF264" s="174" t="str">
        <f t="shared" si="22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3">IF(B232&lt;100,"",B232-620)</f>
        <v/>
      </c>
      <c r="C265" s="174" t="str">
        <f t="shared" si="23"/>
        <v/>
      </c>
      <c r="D265" s="174" t="str">
        <f t="shared" si="23"/>
        <v/>
      </c>
      <c r="E265" s="174" t="str">
        <f t="shared" si="23"/>
        <v/>
      </c>
      <c r="F265" s="174" t="str">
        <f t="shared" si="23"/>
        <v/>
      </c>
      <c r="G265" s="174" t="str">
        <f t="shared" si="23"/>
        <v/>
      </c>
      <c r="H265" s="174" t="str">
        <f t="shared" si="23"/>
        <v/>
      </c>
      <c r="I265" s="174" t="str">
        <f t="shared" si="23"/>
        <v/>
      </c>
      <c r="J265" s="174" t="str">
        <f t="shared" si="23"/>
        <v/>
      </c>
      <c r="K265" s="174" t="str">
        <f t="shared" si="23"/>
        <v/>
      </c>
      <c r="L265" s="174" t="str">
        <f t="shared" si="23"/>
        <v/>
      </c>
      <c r="M265" s="174" t="str">
        <f t="shared" si="23"/>
        <v/>
      </c>
      <c r="N265" s="174" t="str">
        <f t="shared" si="23"/>
        <v/>
      </c>
      <c r="O265" s="174" t="str">
        <f t="shared" si="23"/>
        <v/>
      </c>
      <c r="P265" s="174" t="str">
        <f t="shared" si="23"/>
        <v/>
      </c>
      <c r="Q265" s="174" t="str">
        <f t="shared" si="23"/>
        <v/>
      </c>
      <c r="R265" s="174" t="str">
        <f t="shared" si="23"/>
        <v/>
      </c>
      <c r="S265" s="174" t="str">
        <f t="shared" si="23"/>
        <v/>
      </c>
      <c r="T265" s="174" t="str">
        <f t="shared" si="23"/>
        <v/>
      </c>
      <c r="U265" s="174" t="str">
        <f t="shared" si="23"/>
        <v/>
      </c>
      <c r="V265" s="174" t="str">
        <f t="shared" si="23"/>
        <v/>
      </c>
      <c r="W265" s="174" t="str">
        <f t="shared" si="23"/>
        <v/>
      </c>
      <c r="X265" s="174" t="str">
        <f t="shared" si="23"/>
        <v/>
      </c>
      <c r="Y265" s="174" t="str">
        <f t="shared" si="23"/>
        <v/>
      </c>
      <c r="Z265" s="174" t="str">
        <f t="shared" si="23"/>
        <v/>
      </c>
      <c r="AA265" s="174" t="str">
        <f t="shared" si="23"/>
        <v/>
      </c>
      <c r="AB265" s="174" t="str">
        <f t="shared" si="23"/>
        <v/>
      </c>
      <c r="AC265" s="174" t="str">
        <f t="shared" si="23"/>
        <v/>
      </c>
      <c r="AD265" s="174" t="str">
        <f t="shared" si="23"/>
        <v/>
      </c>
      <c r="AE265" s="174" t="str">
        <f t="shared" si="23"/>
        <v/>
      </c>
      <c r="AF265" s="174" t="str">
        <f t="shared" si="23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4">IF(B233&lt;100,"",B233-330)</f>
        <v/>
      </c>
      <c r="C266" s="174" t="str">
        <f t="shared" si="24"/>
        <v/>
      </c>
      <c r="D266" s="174" t="str">
        <f t="shared" si="24"/>
        <v/>
      </c>
      <c r="E266" s="174" t="str">
        <f t="shared" si="24"/>
        <v/>
      </c>
      <c r="F266" s="174" t="str">
        <f t="shared" si="24"/>
        <v/>
      </c>
      <c r="G266" s="174" t="str">
        <f t="shared" si="24"/>
        <v/>
      </c>
      <c r="H266" s="174" t="str">
        <f t="shared" si="24"/>
        <v/>
      </c>
      <c r="I266" s="174" t="str">
        <f t="shared" si="24"/>
        <v/>
      </c>
      <c r="J266" s="174" t="str">
        <f t="shared" si="24"/>
        <v/>
      </c>
      <c r="K266" s="174" t="str">
        <f t="shared" si="24"/>
        <v/>
      </c>
      <c r="L266" s="174" t="str">
        <f t="shared" si="24"/>
        <v/>
      </c>
      <c r="M266" s="174" t="str">
        <f t="shared" si="24"/>
        <v/>
      </c>
      <c r="N266" s="174" t="str">
        <f t="shared" si="24"/>
        <v/>
      </c>
      <c r="O266" s="174" t="str">
        <f t="shared" si="24"/>
        <v/>
      </c>
      <c r="P266" s="174" t="str">
        <f t="shared" si="24"/>
        <v/>
      </c>
      <c r="Q266" s="174" t="str">
        <f t="shared" si="24"/>
        <v/>
      </c>
      <c r="R266" s="174" t="str">
        <f t="shared" si="24"/>
        <v/>
      </c>
      <c r="S266" s="174" t="str">
        <f t="shared" si="24"/>
        <v/>
      </c>
      <c r="T266" s="174" t="str">
        <f t="shared" si="24"/>
        <v/>
      </c>
      <c r="U266" s="174" t="str">
        <f t="shared" si="24"/>
        <v/>
      </c>
      <c r="V266" s="174" t="str">
        <f t="shared" si="24"/>
        <v/>
      </c>
      <c r="W266" s="174" t="str">
        <f t="shared" si="24"/>
        <v/>
      </c>
      <c r="X266" s="174" t="str">
        <f t="shared" si="24"/>
        <v/>
      </c>
      <c r="Y266" s="174" t="str">
        <f t="shared" si="24"/>
        <v/>
      </c>
      <c r="Z266" s="174" t="str">
        <f t="shared" si="24"/>
        <v/>
      </c>
      <c r="AA266" s="174" t="str">
        <f t="shared" si="24"/>
        <v/>
      </c>
      <c r="AB266" s="174" t="str">
        <f t="shared" si="24"/>
        <v/>
      </c>
      <c r="AC266" s="174" t="str">
        <f t="shared" si="24"/>
        <v/>
      </c>
      <c r="AD266" s="174" t="str">
        <f t="shared" si="24"/>
        <v/>
      </c>
      <c r="AE266" s="174" t="str">
        <f t="shared" si="24"/>
        <v/>
      </c>
      <c r="AF266" s="174" t="str">
        <f t="shared" si="24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5">IF(B234&lt;100,"",B234-1500)</f>
        <v/>
      </c>
      <c r="C267" s="174" t="str">
        <f t="shared" si="25"/>
        <v/>
      </c>
      <c r="D267" s="174" t="str">
        <f t="shared" si="25"/>
        <v/>
      </c>
      <c r="E267" s="174" t="str">
        <f t="shared" si="25"/>
        <v/>
      </c>
      <c r="F267" s="174" t="str">
        <f t="shared" si="25"/>
        <v/>
      </c>
      <c r="G267" s="174" t="str">
        <f t="shared" si="25"/>
        <v/>
      </c>
      <c r="H267" s="174" t="str">
        <f t="shared" si="25"/>
        <v/>
      </c>
      <c r="I267" s="174" t="str">
        <f t="shared" si="25"/>
        <v/>
      </c>
      <c r="J267" s="174" t="str">
        <f t="shared" si="25"/>
        <v/>
      </c>
      <c r="K267" s="174" t="str">
        <f t="shared" si="25"/>
        <v/>
      </c>
      <c r="L267" s="174" t="str">
        <f t="shared" si="25"/>
        <v/>
      </c>
      <c r="M267" s="174" t="str">
        <f t="shared" si="25"/>
        <v/>
      </c>
      <c r="N267" s="174" t="str">
        <f t="shared" si="25"/>
        <v/>
      </c>
      <c r="O267" s="174" t="str">
        <f t="shared" si="25"/>
        <v/>
      </c>
      <c r="P267" s="174" t="str">
        <f t="shared" si="25"/>
        <v/>
      </c>
      <c r="Q267" s="174" t="str">
        <f t="shared" si="25"/>
        <v/>
      </c>
      <c r="R267" s="174" t="str">
        <f t="shared" si="25"/>
        <v/>
      </c>
      <c r="S267" s="174" t="str">
        <f t="shared" si="25"/>
        <v/>
      </c>
      <c r="T267" s="174" t="str">
        <f t="shared" si="25"/>
        <v/>
      </c>
      <c r="U267" s="174" t="str">
        <f t="shared" si="25"/>
        <v/>
      </c>
      <c r="V267" s="174" t="str">
        <f t="shared" si="25"/>
        <v/>
      </c>
      <c r="W267" s="174" t="str">
        <f t="shared" si="25"/>
        <v/>
      </c>
      <c r="X267" s="174" t="str">
        <f t="shared" si="25"/>
        <v/>
      </c>
      <c r="Y267" s="174" t="str">
        <f t="shared" si="25"/>
        <v/>
      </c>
      <c r="Z267" s="174" t="str">
        <f t="shared" si="25"/>
        <v/>
      </c>
      <c r="AA267" s="174" t="str">
        <f t="shared" si="25"/>
        <v/>
      </c>
      <c r="AB267" s="174" t="str">
        <f t="shared" si="25"/>
        <v/>
      </c>
      <c r="AC267" s="174" t="str">
        <f t="shared" si="25"/>
        <v/>
      </c>
      <c r="AD267" s="174" t="str">
        <f t="shared" si="25"/>
        <v/>
      </c>
      <c r="AE267" s="174" t="str">
        <f t="shared" si="25"/>
        <v/>
      </c>
      <c r="AF267" s="174" t="str">
        <f t="shared" si="25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29">
    <cfRule type="expression" dxfId="691" priority="120">
      <formula>$AH11=0</formula>
    </cfRule>
  </conditionalFormatting>
  <conditionalFormatting sqref="B8 M8 S8 AB8">
    <cfRule type="expression" dxfId="690" priority="242">
      <formula>AND(C$9&gt;=8/24,C$9&lt;14/24)</formula>
    </cfRule>
    <cfRule type="expression" dxfId="689" priority="243">
      <formula>C$9&lt;8/24</formula>
    </cfRule>
    <cfRule type="expression" dxfId="688" priority="241">
      <formula>AND(C$9&gt;=14/24,C$9&lt;20/24)</formula>
    </cfRule>
  </conditionalFormatting>
  <conditionalFormatting sqref="B49:L51">
    <cfRule type="expression" dxfId="683" priority="94">
      <formula>B$9&lt;8/24</formula>
    </cfRule>
    <cfRule type="expression" dxfId="682" priority="93">
      <formula>AND(B$9&gt;=8/24,B$9&lt;14/24)</formula>
    </cfRule>
    <cfRule type="expression" dxfId="681" priority="92">
      <formula>AND(B$9&gt;=14/24,B$9&lt;20/24)</formula>
    </cfRule>
    <cfRule type="expression" dxfId="680" priority="91">
      <formula>B$9&gt;=20/24</formula>
    </cfRule>
  </conditionalFormatting>
  <conditionalFormatting sqref="B11:W11">
    <cfRule type="expression" dxfId="679" priority="22">
      <formula>B$9&gt;=20/24</formula>
    </cfRule>
    <cfRule type="expression" dxfId="678" priority="23">
      <formula>AND(B$9&gt;=14/24,B$9&lt;20/24)</formula>
    </cfRule>
    <cfRule type="expression" dxfId="677" priority="24">
      <formula>AND(B$9&gt;=8/24,B$9&lt;14/24)</formula>
    </cfRule>
    <cfRule type="expression" dxfId="676" priority="25">
      <formula>B$9&lt;8/24</formula>
    </cfRule>
  </conditionalFormatting>
  <conditionalFormatting sqref="B12:W14">
    <cfRule type="expression" dxfId="675" priority="17">
      <formula>B$9&gt;=20/24</formula>
    </cfRule>
    <cfRule type="expression" dxfId="674" priority="18">
      <formula>AND(B$9&gt;=14/24,B$9&lt;20/24)</formula>
    </cfRule>
    <cfRule type="expression" dxfId="673" priority="19">
      <formula>AND(B$9&gt;=8/24,B$9&lt;14/24)</formula>
    </cfRule>
    <cfRule type="expression" dxfId="672" priority="20">
      <formula>B$9&lt;8/24</formula>
    </cfRule>
  </conditionalFormatting>
  <conditionalFormatting sqref="B15:W40">
    <cfRule type="expression" dxfId="671" priority="108">
      <formula>B$9&gt;=20/24</formula>
    </cfRule>
    <cfRule type="expression" dxfId="670" priority="111">
      <formula>B$9&lt;8/24</formula>
    </cfRule>
    <cfRule type="expression" dxfId="669" priority="110">
      <formula>AND(B$9&gt;=8/24,B$9&lt;14/24)</formula>
    </cfRule>
    <cfRule type="expression" dxfId="668" priority="109">
      <formula>AND(B$9&gt;=14/24,B$9&lt;20/24)</formula>
    </cfRule>
  </conditionalFormatting>
  <conditionalFormatting sqref="B41:W41">
    <cfRule type="expression" dxfId="667" priority="13">
      <formula>B$9&gt;=20/24</formula>
    </cfRule>
    <cfRule type="expression" dxfId="666" priority="14">
      <formula>AND(B$9&gt;=14/24,B$9&lt;20/24)</formula>
    </cfRule>
    <cfRule type="expression" dxfId="665" priority="15">
      <formula>AND(B$9&gt;=8/24,B$9&lt;14/24)</formula>
    </cfRule>
    <cfRule type="expression" dxfId="664" priority="16">
      <formula>B$9&lt;8/24</formula>
    </cfRule>
  </conditionalFormatting>
  <conditionalFormatting sqref="B42:W42">
    <cfRule type="expression" dxfId="663" priority="73">
      <formula>AND(B$9&gt;=14/24,B$9&lt;20/24)</formula>
    </cfRule>
    <cfRule type="expression" dxfId="662" priority="72">
      <formula>B$9&gt;=20/24</formula>
    </cfRule>
    <cfRule type="expression" dxfId="661" priority="74">
      <formula>AND(B$9&gt;=8/24,B$9&lt;14/24)</formula>
    </cfRule>
    <cfRule type="expression" dxfId="660" priority="75">
      <formula>B$9&lt;8/24</formula>
    </cfRule>
  </conditionalFormatting>
  <conditionalFormatting sqref="B9:AF10 B220:AF220 D222:AF223 B222:B228 D224:H224 J224:AF224 D225:AF228 U241:AF241">
    <cfRule type="expression" dxfId="659" priority="234">
      <formula>B$9&gt;=20/24</formula>
    </cfRule>
    <cfRule type="expression" dxfId="658" priority="235">
      <formula>AND(B$9&gt;=14/24,B$9&lt;20/24)</formula>
    </cfRule>
    <cfRule type="expression" dxfId="657" priority="236">
      <formula>AND(B$9&gt;=8/24,B$9&lt;14/24)</formula>
    </cfRule>
    <cfRule type="expression" dxfId="656" priority="237">
      <formula>B$9&lt;8/24</formula>
    </cfRule>
  </conditionalFormatting>
  <conditionalFormatting sqref="B11:AF66">
    <cfRule type="expression" dxfId="655" priority="21">
      <formula>B11&gt;$AG11</formula>
    </cfRule>
  </conditionalFormatting>
  <conditionalFormatting sqref="B43:AF43">
    <cfRule type="expression" dxfId="654" priority="104">
      <formula>B$9&gt;=20/24</formula>
    </cfRule>
    <cfRule type="expression" dxfId="653" priority="105">
      <formula>AND(B$9&gt;=14/24,B$9&lt;20/24)</formula>
    </cfRule>
    <cfRule type="expression" dxfId="652" priority="106">
      <formula>AND(B$9&gt;=8/24,B$9&lt;14/24)</formula>
    </cfRule>
    <cfRule type="expression" dxfId="651" priority="107">
      <formula>B$9&lt;8/24</formula>
    </cfRule>
  </conditionalFormatting>
  <conditionalFormatting sqref="B45:AF48">
    <cfRule type="expression" dxfId="650" priority="50">
      <formula>AND(B$9&gt;=14/24,B$9&lt;20/24)</formula>
    </cfRule>
    <cfRule type="expression" dxfId="649" priority="51">
      <formula>AND(B$9&gt;=8/24,B$9&lt;14/24)</formula>
    </cfRule>
    <cfRule type="expression" dxfId="648" priority="52">
      <formula>B$9&lt;8/24</formula>
    </cfRule>
    <cfRule type="expression" dxfId="647" priority="49">
      <formula>B$9&gt;=20/24</formula>
    </cfRule>
  </conditionalFormatting>
  <conditionalFormatting sqref="B54:AF60">
    <cfRule type="expression" dxfId="646" priority="29">
      <formula>AND(B$9&gt;=14/24,B$9&lt;20/24)</formula>
    </cfRule>
    <cfRule type="expression" dxfId="645" priority="28">
      <formula>B$9&gt;=20/24</formula>
    </cfRule>
    <cfRule type="expression" dxfId="644" priority="31">
      <formula>B$9&lt;8/24</formula>
    </cfRule>
    <cfRule type="expression" dxfId="643" priority="30">
      <formula>AND(B$9&gt;=8/24,B$9&lt;14/24)</formula>
    </cfRule>
  </conditionalFormatting>
  <conditionalFormatting sqref="B63:AF72">
    <cfRule type="expression" dxfId="642" priority="67">
      <formula>B$9&gt;=20/24</formula>
    </cfRule>
    <cfRule type="expression" dxfId="641" priority="70">
      <formula>B$9&lt;8/24</formula>
    </cfRule>
    <cfRule type="expression" dxfId="640" priority="69">
      <formula>AND(B$9&gt;=8/24,B$9&lt;14/24)</formula>
    </cfRule>
    <cfRule type="expression" dxfId="639" priority="68">
      <formula>AND(B$9&gt;=14/24,B$9&lt;20/24)</formula>
    </cfRule>
  </conditionalFormatting>
  <conditionalFormatting sqref="B73:AF85">
    <cfRule type="expression" dxfId="638" priority="9">
      <formula>B$9&gt;=20/24</formula>
    </cfRule>
    <cfRule type="expression" dxfId="637" priority="12">
      <formula>B$9&lt;8/24</formula>
    </cfRule>
    <cfRule type="expression" dxfId="636" priority="11">
      <formula>AND(B$9&gt;=8/24,B$9&lt;14/24)</formula>
    </cfRule>
    <cfRule type="expression" dxfId="635" priority="10">
      <formula>AND(B$9&gt;=14/24,B$9&lt;20/24)</formula>
    </cfRule>
  </conditionalFormatting>
  <conditionalFormatting sqref="B87:AF103">
    <cfRule type="expression" dxfId="630" priority="44">
      <formula>B$9&gt;=20/24</formula>
    </cfRule>
    <cfRule type="expression" dxfId="629" priority="45">
      <formula>AND(B$9&gt;=14/24,B$9&lt;20/24)</formula>
    </cfRule>
    <cfRule type="expression" dxfId="628" priority="46">
      <formula>AND(B$9&gt;=8/24,B$9&lt;14/24)</formula>
    </cfRule>
    <cfRule type="expression" dxfId="627" priority="47">
      <formula>B$9&lt;8/24</formula>
    </cfRule>
  </conditionalFormatting>
  <conditionalFormatting sqref="B105:AF112">
    <cfRule type="expression" dxfId="626" priority="32">
      <formula>B$9&gt;=20/24</formula>
    </cfRule>
    <cfRule type="expression" dxfId="625" priority="34">
      <formula>AND(B$9&gt;=8/24,B$9&lt;14/24)</formula>
    </cfRule>
    <cfRule type="expression" dxfId="624" priority="35">
      <formula>B$9&lt;8/24</formula>
    </cfRule>
    <cfRule type="expression" dxfId="623" priority="33">
      <formula>AND(B$9&gt;=14/24,B$9&lt;20/24)</formula>
    </cfRule>
  </conditionalFormatting>
  <conditionalFormatting sqref="M49:AF53">
    <cfRule type="expression" dxfId="618" priority="193">
      <formula>M$9&lt;8/24</formula>
    </cfRule>
    <cfRule type="expression" dxfId="617" priority="192">
      <formula>AND(M$9&gt;=8/24,M$9&lt;14/24)</formula>
    </cfRule>
    <cfRule type="expression" dxfId="616" priority="190">
      <formula>M$9&gt;=20/24</formula>
    </cfRule>
    <cfRule type="expression" dxfId="615" priority="191">
      <formula>AND(M$9&gt;=14/24,M$9&lt;20/24)</formula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614" priority="240">
      <formula>C$9&gt;=20/24</formula>
    </cfRule>
  </conditionalFormatting>
  <conditionalFormatting sqref="S8">
    <cfRule type="expression" dxfId="613" priority="215">
      <formula>AND(U$9&gt;=8/24,U$9&lt;14/24)</formula>
    </cfRule>
    <cfRule type="expression" dxfId="612" priority="214">
      <formula>AND(U$9&gt;=14/24,U$9&lt;20/24)</formula>
    </cfRule>
    <cfRule type="expression" dxfId="611" priority="213">
      <formula>U$9&gt;=20/24</formula>
    </cfRule>
    <cfRule type="expression" dxfId="610" priority="216">
      <formula>U$9&lt;8/24</formula>
    </cfRule>
  </conditionalFormatting>
  <conditionalFormatting sqref="T241">
    <cfRule type="expression" dxfId="609" priority="254">
      <formula>AND(AX$9&gt;=14/24,AX$9&lt;20/24)</formula>
    </cfRule>
    <cfRule type="expression" dxfId="608" priority="253">
      <formula>AX$9&gt;=20/24</formula>
    </cfRule>
    <cfRule type="expression" dxfId="607" priority="255">
      <formula>AND(AX$9&gt;=8/24,AX$9&lt;14/24)</formula>
    </cfRule>
    <cfRule type="expression" dxfId="606" priority="256">
      <formula>AX$9&lt;8/24</formula>
    </cfRule>
  </conditionalFormatting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X11:AF42">
    <cfRule type="expression" dxfId="605" priority="176">
      <formula>X$9&gt;=20/24</formula>
    </cfRule>
    <cfRule type="expression" dxfId="604" priority="179">
      <formula>X$9&lt;8/24</formula>
    </cfRule>
    <cfRule type="expression" dxfId="603" priority="178">
      <formula>AND(X$9&gt;=8/24,X$9&lt;14/24)</formula>
    </cfRule>
    <cfRule type="expression" dxfId="602" priority="177">
      <formula>AND(X$9&gt;=14/24,X$9&lt;20/24)</formula>
    </cfRule>
  </conditionalFormatting>
  <conditionalFormatting sqref="AB8">
    <cfRule type="expression" dxfId="601" priority="210">
      <formula>AND(AD$9&gt;=14/24,AD$9&lt;20/24)</formula>
    </cfRule>
    <cfRule type="expression" dxfId="600" priority="209">
      <formula>AD$9&gt;=20/24</formula>
    </cfRule>
    <cfRule type="expression" dxfId="599" priority="212">
      <formula>AD$9&lt;8/24</formula>
    </cfRule>
    <cfRule type="expression" dxfId="598" priority="211">
      <formula>AND(AD$9&gt;=8/24,AD$9&lt;14/24)</formula>
    </cfRule>
  </conditionalFormatting>
  <conditionalFormatting sqref="AG44 AG61:AG62 AG66">
    <cfRule type="expression" dxfId="597" priority="166">
      <formula>AG44&gt;$AG44</formula>
    </cfRule>
  </conditionalFormatting>
  <conditionalFormatting sqref="AG48">
    <cfRule type="expression" dxfId="596" priority="148">
      <formula>AND(AG$9&gt;=14/24,AG$9&lt;20/24)</formula>
    </cfRule>
    <cfRule type="expression" dxfId="595" priority="150">
      <formula>AG$9&lt;8/24</formula>
    </cfRule>
    <cfRule type="expression" dxfId="594" priority="149">
      <formula>AND(AG$9&gt;=8/24,AG$9&lt;14/24)</formula>
    </cfRule>
    <cfRule type="expression" dxfId="593" priority="146">
      <formula>AG48&gt;$AG48</formula>
    </cfRule>
    <cfRule type="expression" dxfId="592" priority="147">
      <formula>AG$9&gt;=20/24</formula>
    </cfRule>
  </conditionalFormatting>
  <conditionalFormatting sqref="AG66 AG83">
    <cfRule type="expression" dxfId="591" priority="170">
      <formula>AG$9&lt;8/24</formula>
    </cfRule>
    <cfRule type="expression" dxfId="590" priority="169">
      <formula>AND(AG$9&gt;=8/24,AG$9&lt;14/24)</formula>
    </cfRule>
    <cfRule type="expression" dxfId="589" priority="167">
      <formula>AG$9&gt;=20/24</formula>
    </cfRule>
    <cfRule type="expression" dxfId="588" priority="168">
      <formula>AND(AG$9&gt;=14/24,AG$9&lt;20/24)</formula>
    </cfRule>
  </conditionalFormatting>
  <conditionalFormatting sqref="AG241">
    <cfRule type="expression" dxfId="587" priority="245">
      <formula>B$9&gt;=20/24</formula>
    </cfRule>
    <cfRule type="expression" dxfId="586" priority="246">
      <formula>AND(B$9&gt;=14/24,B$9&lt;20/24)</formula>
    </cfRule>
    <cfRule type="expression" dxfId="585" priority="248">
      <formula>B$9&lt;8/24</formula>
    </cfRule>
    <cfRule type="expression" dxfId="584" priority="247">
      <formula>AND(B$9&gt;=8/24,B$9&lt;14/24)</formula>
    </cfRule>
  </conditionalFormatting>
  <conditionalFormatting sqref="AH241:AX241">
    <cfRule type="expression" dxfId="583" priority="251">
      <formula>AND(AG$9&gt;=8/24,AG$9&lt;14/24)</formula>
    </cfRule>
    <cfRule type="expression" dxfId="582" priority="252">
      <formula>AG$9&lt;8/24</formula>
    </cfRule>
    <cfRule type="expression" dxfId="581" priority="249">
      <formula>AG$9&gt;=20/24</formula>
    </cfRule>
    <cfRule type="expression" dxfId="580" priority="250">
      <formula>AND(AG$9&gt;=14/24,AG$9&lt;20/24)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AL75:AM79">
    <cfRule type="expression" dxfId="579" priority="261">
      <formula>AJ$9&lt;8/24</formula>
    </cfRule>
    <cfRule type="expression" dxfId="578" priority="258">
      <formula>AJ$9&gt;=20/24</formula>
    </cfRule>
    <cfRule type="expression" dxfId="577" priority="259">
      <formula>AND(AJ$9&gt;=14/24,AJ$9&lt;20/24)</formula>
    </cfRule>
    <cfRule type="expression" dxfId="576" priority="260">
      <formula>AND(AJ$9&gt;=8/24,AJ$9&lt;14/24)</formula>
    </cfRule>
  </conditionalFormatting>
  <conditionalFormatting sqref="AL74:AN74 AL80:AN80">
    <cfRule type="expression" dxfId="575" priority="6">
      <formula>AND(AL$9&gt;=14/24,AL$9&lt;20/24)</formula>
    </cfRule>
    <cfRule type="expression" dxfId="574" priority="8">
      <formula>AL$9&lt;8/24</formula>
    </cfRule>
    <cfRule type="expression" dxfId="573" priority="5">
      <formula>AL$9&gt;=20/24</formula>
    </cfRule>
    <cfRule type="expression" dxfId="572" priority="7">
      <formula>AND(AL$9&gt;=8/24,AL$9&lt;14/24)</formula>
    </cfRule>
  </conditionalFormatting>
  <conditionalFormatting sqref="AN75:AN78">
    <cfRule type="expression" dxfId="571" priority="4">
      <formula>AN$9&lt;8/24</formula>
    </cfRule>
    <cfRule type="expression" dxfId="570" priority="1">
      <formula>AN$9&gt;=20/24</formula>
    </cfRule>
    <cfRule type="expression" dxfId="569" priority="2">
      <formula>AND(AN$9&gt;=14/24,AN$9&lt;20/24)</formula>
    </cfRule>
    <cfRule type="expression" dxfId="568" priority="3">
      <formula>AND(AN$9&gt;=8/24,AN$9&lt;14/24)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9" id="{BB037EF5-77D0-47BC-A164-5C76994240A3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38" id="{E98148E8-21C4-4A16-9378-F541724994A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7" id="{0DB31065-4590-4D42-B95E-D655734E83D2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6" id="{FC04B191-DC87-4E36-BC3C-33AC9CEB9C8F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m:sqref>B113:C113</xm:sqref>
        </x14:conditionalFormatting>
        <x14:conditionalFormatting xmlns:xm="http://schemas.microsoft.com/office/excel/2006/main">
          <x14:cfRule type="expression" priority="40" id="{2BD493EB-EA90-4CBB-9F60-C658E08C317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B977DFA5-3858-4E74-B98F-D8AB30239935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" id="{7EC88165-4203-48AD-98F0-84CCD7749F6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" id="{AD783CF0-DC75-46E5-A87A-A3469FDD999F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137" id="{4E99A51C-7601-4DF7-8F4F-ECF3C8A6FD61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6" id="{B4031933-1B88-4912-B10D-04E65F85D4C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4" id="{40E40BAD-0267-4267-9233-2D2D91441548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351F97A6-BE53-40FA-9891-141BD4CF5937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m:sqref>D113:AF113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J274"/>
  <sheetViews>
    <sheetView workbookViewId="0">
      <pane ySplit="10" topLeftCell="A11" activePane="bottomLeft" state="frozen"/>
      <selection activeCell="U80" sqref="U80"/>
      <selection pane="bottomLeft" activeCell="AF51" sqref="AF51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/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str">
        <f ca="1">"2079/"&amp;"09/"&amp;INT(MID(CELL("filename",D6),FIND("]",CELL("filename",D6))+1,200))</f>
        <v>2079/09/5</v>
      </c>
      <c r="C4" s="771"/>
      <c r="D4" s="771"/>
      <c r="E4" s="772" t="str">
        <f ca="1">"2079/"&amp;"09/"&amp;INT(MID(CELL("filename",G6),FIND("]",CELL("filename",G6))+1,200))</f>
        <v>2079/09/5</v>
      </c>
      <c r="F4" s="772"/>
      <c r="G4" s="772"/>
      <c r="H4" s="772" t="str">
        <f ca="1">TEXT(E4,"dddd")</f>
        <v>Tuesday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451</v>
      </c>
      <c r="C5" s="30">
        <f t="shared" si="0"/>
        <v>444.3</v>
      </c>
      <c r="D5" s="30">
        <f t="shared" si="0"/>
        <v>448.1</v>
      </c>
      <c r="E5" s="30">
        <f t="shared" si="0"/>
        <v>454.6</v>
      </c>
      <c r="F5" s="30">
        <f t="shared" si="0"/>
        <v>462.2</v>
      </c>
      <c r="G5" s="30">
        <f t="shared" si="0"/>
        <v>466.6</v>
      </c>
      <c r="H5" s="30">
        <f t="shared" si="0"/>
        <v>457.8</v>
      </c>
      <c r="I5" s="30">
        <f t="shared" si="0"/>
        <v>439.5</v>
      </c>
      <c r="J5" s="30">
        <f t="shared" si="0"/>
        <v>467.9</v>
      </c>
      <c r="K5" s="30">
        <f t="shared" si="0"/>
        <v>454.1</v>
      </c>
      <c r="L5" s="30">
        <f t="shared" si="0"/>
        <v>382.5</v>
      </c>
      <c r="M5" s="30">
        <f t="shared" si="0"/>
        <v>421</v>
      </c>
      <c r="N5" s="30">
        <f t="shared" si="0"/>
        <v>447.5</v>
      </c>
      <c r="O5" s="30">
        <f t="shared" si="0"/>
        <v>500</v>
      </c>
      <c r="P5" s="30">
        <f t="shared" si="0"/>
        <v>511.19999999999993</v>
      </c>
      <c r="Q5" s="30">
        <f t="shared" si="0"/>
        <v>512.70000000000005</v>
      </c>
      <c r="R5" s="30">
        <f t="shared" si="0"/>
        <v>491.6</v>
      </c>
      <c r="S5" s="30">
        <f t="shared" si="0"/>
        <v>502.59999999999997</v>
      </c>
      <c r="T5" s="30">
        <f t="shared" si="0"/>
        <v>497.40000000000003</v>
      </c>
      <c r="U5" s="30">
        <f t="shared" si="0"/>
        <v>461.7</v>
      </c>
      <c r="V5" s="30">
        <f t="shared" si="0"/>
        <v>486.3</v>
      </c>
      <c r="W5" s="30">
        <f t="shared" si="0"/>
        <v>477.5</v>
      </c>
      <c r="X5" s="30">
        <f t="shared" si="0"/>
        <v>395.8</v>
      </c>
      <c r="Y5" s="30">
        <f t="shared" si="0"/>
        <v>445.8</v>
      </c>
      <c r="Z5" s="30">
        <f t="shared" si="0"/>
        <v>449.7</v>
      </c>
      <c r="AA5" s="30">
        <f t="shared" si="0"/>
        <v>447.2</v>
      </c>
      <c r="AB5" s="30">
        <f t="shared" si="0"/>
        <v>446.5</v>
      </c>
      <c r="AC5" s="30">
        <f t="shared" si="0"/>
        <v>444</v>
      </c>
      <c r="AD5" s="30">
        <f t="shared" si="0"/>
        <v>484</v>
      </c>
      <c r="AE5" s="30">
        <f t="shared" si="0"/>
        <v>462</v>
      </c>
      <c r="AF5" s="30">
        <f>B78</f>
        <v>423.8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1734MW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Load=1075</v>
      </c>
      <c r="B7" s="35">
        <f t="shared" ref="B7:AF7" si="1">B85</f>
        <v>1075.04</v>
      </c>
      <c r="C7" s="35">
        <f t="shared" si="1"/>
        <v>1092.24</v>
      </c>
      <c r="D7" s="35">
        <f t="shared" si="1"/>
        <v>1085.54</v>
      </c>
      <c r="E7" s="35">
        <f t="shared" si="1"/>
        <v>1088.24</v>
      </c>
      <c r="F7" s="35">
        <f t="shared" si="1"/>
        <v>1095.94</v>
      </c>
      <c r="G7" s="35">
        <f t="shared" si="1"/>
        <v>1133.54</v>
      </c>
      <c r="H7" s="35">
        <f t="shared" si="1"/>
        <v>1228.94</v>
      </c>
      <c r="I7" s="35">
        <f t="shared" si="1"/>
        <v>1263.1399999999999</v>
      </c>
      <c r="J7" s="35">
        <f t="shared" si="1"/>
        <v>1356.34</v>
      </c>
      <c r="K7" s="35">
        <f t="shared" si="1"/>
        <v>1559.84</v>
      </c>
      <c r="L7" s="35">
        <f t="shared" si="1"/>
        <v>1684.2399999999998</v>
      </c>
      <c r="M7" s="35">
        <f t="shared" si="1"/>
        <v>1733.74</v>
      </c>
      <c r="N7" s="35">
        <f>N85</f>
        <v>1688.44</v>
      </c>
      <c r="O7" s="35">
        <f t="shared" si="1"/>
        <v>1551.84</v>
      </c>
      <c r="P7" s="35">
        <f t="shared" si="1"/>
        <v>1387.9399999999998</v>
      </c>
      <c r="Q7" s="35">
        <f t="shared" si="1"/>
        <v>1438.94</v>
      </c>
      <c r="R7" s="35">
        <f t="shared" si="1"/>
        <v>1423.24</v>
      </c>
      <c r="S7" s="35">
        <f t="shared" si="1"/>
        <v>1388.6399999999999</v>
      </c>
      <c r="T7" s="35">
        <f t="shared" si="1"/>
        <v>1438.6399999999999</v>
      </c>
      <c r="U7" s="35">
        <f t="shared" si="1"/>
        <v>1429.44</v>
      </c>
      <c r="V7" s="35">
        <f t="shared" si="1"/>
        <v>1364.74</v>
      </c>
      <c r="W7" s="35">
        <f t="shared" si="1"/>
        <v>1573.74</v>
      </c>
      <c r="X7" s="35">
        <f t="shared" si="1"/>
        <v>1738.94</v>
      </c>
      <c r="Y7" s="35">
        <f t="shared" si="1"/>
        <v>1705.34</v>
      </c>
      <c r="Z7" s="35">
        <f t="shared" si="1"/>
        <v>1662.6399999999999</v>
      </c>
      <c r="AA7" s="35">
        <f t="shared" si="1"/>
        <v>1665.24</v>
      </c>
      <c r="AB7" s="35">
        <f t="shared" si="1"/>
        <v>1621.14</v>
      </c>
      <c r="AC7" s="35">
        <f t="shared" si="1"/>
        <v>1535.4399999999998</v>
      </c>
      <c r="AD7" s="35">
        <f t="shared" si="1"/>
        <v>1416.1399999999999</v>
      </c>
      <c r="AE7" s="35">
        <f t="shared" si="1"/>
        <v>1318.04</v>
      </c>
      <c r="AF7" s="35">
        <f t="shared" si="1"/>
        <v>1220.04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19</v>
      </c>
      <c r="C11" s="45">
        <v>19</v>
      </c>
      <c r="D11" s="45">
        <v>19</v>
      </c>
      <c r="E11" s="45">
        <v>19.5</v>
      </c>
      <c r="F11" s="45">
        <v>19.5</v>
      </c>
      <c r="G11" s="45">
        <v>19.5</v>
      </c>
      <c r="H11" s="45">
        <v>19.5</v>
      </c>
      <c r="I11" s="45">
        <v>19.5</v>
      </c>
      <c r="J11" s="45">
        <v>19.5</v>
      </c>
      <c r="K11" s="45">
        <v>19.5</v>
      </c>
      <c r="L11" s="45">
        <v>19.5</v>
      </c>
      <c r="M11" s="45">
        <v>19.5</v>
      </c>
      <c r="N11" s="45">
        <v>18.899999999999999</v>
      </c>
      <c r="O11" s="45">
        <v>19</v>
      </c>
      <c r="P11" s="45">
        <v>17.399999999999999</v>
      </c>
      <c r="Q11" s="45">
        <v>17.899999999999999</v>
      </c>
      <c r="R11" s="45">
        <v>19.100000000000001</v>
      </c>
      <c r="S11" s="45">
        <v>19.100000000000001</v>
      </c>
      <c r="T11" s="45">
        <v>19.100000000000001</v>
      </c>
      <c r="U11" s="45">
        <v>19.100000000000001</v>
      </c>
      <c r="V11" s="45">
        <v>19.100000000000001</v>
      </c>
      <c r="W11" s="45">
        <v>19.100000000000001</v>
      </c>
      <c r="X11" s="45">
        <v>19.100000000000001</v>
      </c>
      <c r="Y11" s="45">
        <v>19.100000000000001</v>
      </c>
      <c r="Z11" s="45">
        <v>19.100000000000001</v>
      </c>
      <c r="AA11" s="45">
        <v>19.100000000000001</v>
      </c>
      <c r="AB11" s="45">
        <v>19.7</v>
      </c>
      <c r="AC11" s="45">
        <v>19.7</v>
      </c>
      <c r="AD11" s="45">
        <v>19.7</v>
      </c>
      <c r="AE11" s="45">
        <v>19.7</v>
      </c>
      <c r="AF11" s="45">
        <v>19.7</v>
      </c>
      <c r="AG11" s="46">
        <v>52.4</v>
      </c>
      <c r="AH11" s="47">
        <f t="shared" ref="AH11:AH74" si="2">MAX(B11:AF11)</f>
        <v>19.7</v>
      </c>
      <c r="AI11" s="48">
        <f t="shared" ref="AI11:AI74" si="3">MIN(B11:AF11)</f>
        <v>17.399999999999999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36.5</v>
      </c>
      <c r="C12" s="45">
        <v>36.5</v>
      </c>
      <c r="D12" s="45">
        <v>36.5</v>
      </c>
      <c r="E12" s="45">
        <v>36.5</v>
      </c>
      <c r="F12" s="45">
        <v>36.6</v>
      </c>
      <c r="G12" s="45">
        <v>36.6</v>
      </c>
      <c r="H12" s="45">
        <v>36.6</v>
      </c>
      <c r="I12" s="45">
        <v>36.6</v>
      </c>
      <c r="J12" s="45">
        <v>36.6</v>
      </c>
      <c r="K12" s="45">
        <v>36.6</v>
      </c>
      <c r="L12" s="45">
        <v>36.6</v>
      </c>
      <c r="M12" s="45">
        <v>36.6</v>
      </c>
      <c r="N12" s="45">
        <v>35.9</v>
      </c>
      <c r="O12" s="45">
        <v>36.4</v>
      </c>
      <c r="P12" s="45">
        <v>35.799999999999997</v>
      </c>
      <c r="Q12" s="45">
        <v>36.299999999999997</v>
      </c>
      <c r="R12" s="45">
        <v>35.700000000000003</v>
      </c>
      <c r="S12" s="45">
        <v>35.700000000000003</v>
      </c>
      <c r="T12" s="45">
        <v>35.700000000000003</v>
      </c>
      <c r="U12" s="45">
        <v>35.700000000000003</v>
      </c>
      <c r="V12" s="45">
        <v>35.700000000000003</v>
      </c>
      <c r="W12" s="45">
        <v>35.700000000000003</v>
      </c>
      <c r="X12" s="45">
        <v>35.700000000000003</v>
      </c>
      <c r="Y12" s="45">
        <v>35.700000000000003</v>
      </c>
      <c r="Z12" s="45">
        <v>35.700000000000003</v>
      </c>
      <c r="AA12" s="45">
        <v>35.700000000000003</v>
      </c>
      <c r="AB12" s="45">
        <v>35</v>
      </c>
      <c r="AC12" s="45">
        <v>35</v>
      </c>
      <c r="AD12" s="45">
        <v>35</v>
      </c>
      <c r="AE12" s="45">
        <v>35</v>
      </c>
      <c r="AF12" s="45">
        <v>35</v>
      </c>
      <c r="AG12" s="50">
        <v>50</v>
      </c>
      <c r="AH12" s="47">
        <f t="shared" si="2"/>
        <v>36.6</v>
      </c>
      <c r="AI12" s="48">
        <f t="shared" si="3"/>
        <v>35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21.2</v>
      </c>
      <c r="C13" s="45">
        <v>21.2</v>
      </c>
      <c r="D13" s="45">
        <v>21.2</v>
      </c>
      <c r="E13" s="45">
        <v>19.5</v>
      </c>
      <c r="F13" s="45">
        <v>19.600000000000001</v>
      </c>
      <c r="G13" s="45">
        <v>19.600000000000001</v>
      </c>
      <c r="H13" s="45">
        <v>19.600000000000001</v>
      </c>
      <c r="I13" s="45">
        <v>19.600000000000001</v>
      </c>
      <c r="J13" s="45">
        <v>19.600000000000001</v>
      </c>
      <c r="K13" s="45">
        <v>19.600000000000001</v>
      </c>
      <c r="L13" s="45">
        <v>19.600000000000001</v>
      </c>
      <c r="M13" s="45">
        <v>19.600000000000001</v>
      </c>
      <c r="N13" s="45">
        <v>19.2</v>
      </c>
      <c r="O13" s="45">
        <v>18.8</v>
      </c>
      <c r="P13" s="45">
        <v>18.5</v>
      </c>
      <c r="Q13" s="45">
        <v>18.899999999999999</v>
      </c>
      <c r="R13" s="45">
        <v>18.7</v>
      </c>
      <c r="S13" s="45">
        <v>18.7</v>
      </c>
      <c r="T13" s="45">
        <v>18.7</v>
      </c>
      <c r="U13" s="45">
        <v>18.7</v>
      </c>
      <c r="V13" s="45">
        <v>18.7</v>
      </c>
      <c r="W13" s="45">
        <v>18.7</v>
      </c>
      <c r="X13" s="45">
        <v>18.7</v>
      </c>
      <c r="Y13" s="45">
        <v>18.7</v>
      </c>
      <c r="Z13" s="45">
        <v>18.7</v>
      </c>
      <c r="AA13" s="45">
        <v>18.7</v>
      </c>
      <c r="AB13" s="45">
        <v>21.6</v>
      </c>
      <c r="AC13" s="45">
        <v>21.6</v>
      </c>
      <c r="AD13" s="45">
        <v>21.6</v>
      </c>
      <c r="AE13" s="45">
        <v>21.6</v>
      </c>
      <c r="AF13" s="45">
        <v>21.6</v>
      </c>
      <c r="AG13" s="50">
        <v>45</v>
      </c>
      <c r="AH13" s="47">
        <f t="shared" si="2"/>
        <v>21.6</v>
      </c>
      <c r="AI13" s="48">
        <f t="shared" si="3"/>
        <v>18.5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10</v>
      </c>
      <c r="C14" s="45">
        <v>10</v>
      </c>
      <c r="D14" s="45">
        <v>10</v>
      </c>
      <c r="E14" s="45">
        <v>10</v>
      </c>
      <c r="F14" s="45">
        <v>10</v>
      </c>
      <c r="G14" s="45">
        <v>10</v>
      </c>
      <c r="H14" s="45">
        <v>10</v>
      </c>
      <c r="I14" s="45">
        <v>10</v>
      </c>
      <c r="J14" s="45">
        <v>10</v>
      </c>
      <c r="K14" s="45">
        <v>10</v>
      </c>
      <c r="L14" s="45">
        <v>10</v>
      </c>
      <c r="M14" s="45">
        <v>10</v>
      </c>
      <c r="N14" s="45">
        <v>10</v>
      </c>
      <c r="O14" s="45">
        <v>10</v>
      </c>
      <c r="P14" s="45">
        <v>10</v>
      </c>
      <c r="Q14" s="45">
        <v>10</v>
      </c>
      <c r="R14" s="45">
        <v>9.5</v>
      </c>
      <c r="S14" s="45">
        <v>9.5</v>
      </c>
      <c r="T14" s="45">
        <v>9.5</v>
      </c>
      <c r="U14" s="45">
        <v>9.5</v>
      </c>
      <c r="V14" s="45">
        <v>9.5</v>
      </c>
      <c r="W14" s="45">
        <v>9.5</v>
      </c>
      <c r="X14" s="45">
        <v>9.5</v>
      </c>
      <c r="Y14" s="45">
        <v>9.5</v>
      </c>
      <c r="Z14" s="45">
        <v>9.5</v>
      </c>
      <c r="AA14" s="45">
        <v>9.5</v>
      </c>
      <c r="AB14" s="45">
        <v>9.5</v>
      </c>
      <c r="AC14" s="45">
        <v>9.5</v>
      </c>
      <c r="AD14" s="45">
        <v>9.5</v>
      </c>
      <c r="AE14" s="45">
        <v>9.5</v>
      </c>
      <c r="AF14" s="45">
        <v>9.5</v>
      </c>
      <c r="AG14" s="50">
        <v>42</v>
      </c>
      <c r="AH14" s="47">
        <f t="shared" si="2"/>
        <v>10</v>
      </c>
      <c r="AI14" s="48">
        <f t="shared" si="3"/>
        <v>9.5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17</v>
      </c>
      <c r="C15" s="45">
        <v>17</v>
      </c>
      <c r="D15" s="45">
        <v>17</v>
      </c>
      <c r="E15" s="45">
        <v>17</v>
      </c>
      <c r="F15" s="45">
        <v>17</v>
      </c>
      <c r="G15" s="45">
        <v>17</v>
      </c>
      <c r="H15" s="45">
        <v>17</v>
      </c>
      <c r="I15" s="45">
        <v>17</v>
      </c>
      <c r="J15" s="45">
        <v>17</v>
      </c>
      <c r="K15" s="45">
        <v>17</v>
      </c>
      <c r="L15" s="45">
        <v>17</v>
      </c>
      <c r="M15" s="45">
        <v>17</v>
      </c>
      <c r="N15" s="45">
        <v>17</v>
      </c>
      <c r="O15" s="45">
        <v>17</v>
      </c>
      <c r="P15" s="45">
        <v>17</v>
      </c>
      <c r="Q15" s="45">
        <v>17</v>
      </c>
      <c r="R15" s="45">
        <v>17</v>
      </c>
      <c r="S15" s="45">
        <v>17</v>
      </c>
      <c r="T15" s="45">
        <v>17</v>
      </c>
      <c r="U15" s="45">
        <v>17</v>
      </c>
      <c r="V15" s="45">
        <v>17</v>
      </c>
      <c r="W15" s="45">
        <v>17</v>
      </c>
      <c r="X15" s="45">
        <v>17</v>
      </c>
      <c r="Y15" s="45">
        <v>17</v>
      </c>
      <c r="Z15" s="45">
        <v>17</v>
      </c>
      <c r="AA15" s="45">
        <v>17</v>
      </c>
      <c r="AB15" s="45">
        <v>17</v>
      </c>
      <c r="AC15" s="45">
        <v>17</v>
      </c>
      <c r="AD15" s="45">
        <v>17</v>
      </c>
      <c r="AE15" s="45">
        <v>17</v>
      </c>
      <c r="AF15" s="45">
        <v>17</v>
      </c>
      <c r="AG15" s="50">
        <v>36</v>
      </c>
      <c r="AH15" s="47">
        <f t="shared" si="2"/>
        <v>17</v>
      </c>
      <c r="AI15" s="48">
        <f t="shared" si="3"/>
        <v>17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9.6999999999999993</v>
      </c>
      <c r="C16" s="45">
        <v>9.6999999999999993</v>
      </c>
      <c r="D16" s="45">
        <v>9.6999999999999993</v>
      </c>
      <c r="E16" s="45">
        <v>9.4</v>
      </c>
      <c r="F16" s="45">
        <v>9.4</v>
      </c>
      <c r="G16" s="45">
        <v>9.4</v>
      </c>
      <c r="H16" s="45">
        <v>9.4</v>
      </c>
      <c r="I16" s="45">
        <v>9.4</v>
      </c>
      <c r="J16" s="45">
        <v>9.4</v>
      </c>
      <c r="K16" s="45">
        <v>9.4</v>
      </c>
      <c r="L16" s="45">
        <v>9.4</v>
      </c>
      <c r="M16" s="45">
        <v>9.4</v>
      </c>
      <c r="N16" s="45">
        <v>9.4</v>
      </c>
      <c r="O16" s="45">
        <v>9.4</v>
      </c>
      <c r="P16" s="45">
        <v>9.4</v>
      </c>
      <c r="Q16" s="45">
        <v>9.4</v>
      </c>
      <c r="R16" s="45">
        <v>9.4</v>
      </c>
      <c r="S16" s="45">
        <v>9.4</v>
      </c>
      <c r="T16" s="45">
        <v>9.4</v>
      </c>
      <c r="U16" s="45">
        <v>9.4</v>
      </c>
      <c r="V16" s="45">
        <v>9.4</v>
      </c>
      <c r="W16" s="45">
        <v>9.4</v>
      </c>
      <c r="X16" s="45">
        <v>9.4</v>
      </c>
      <c r="Y16" s="45">
        <v>9.4</v>
      </c>
      <c r="Z16" s="45">
        <v>9.4</v>
      </c>
      <c r="AA16" s="45">
        <v>9.4</v>
      </c>
      <c r="AB16" s="45">
        <v>9.4</v>
      </c>
      <c r="AC16" s="45">
        <v>9.4</v>
      </c>
      <c r="AD16" s="45">
        <v>9.4</v>
      </c>
      <c r="AE16" s="45">
        <v>9.4</v>
      </c>
      <c r="AF16" s="45">
        <v>9.4</v>
      </c>
      <c r="AG16" s="51">
        <v>30</v>
      </c>
      <c r="AH16" s="47">
        <f t="shared" si="2"/>
        <v>9.6999999999999993</v>
      </c>
      <c r="AI16" s="48">
        <f t="shared" si="3"/>
        <v>9.4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8.5</v>
      </c>
      <c r="C17" s="45">
        <v>8.5</v>
      </c>
      <c r="D17" s="45">
        <v>8.5</v>
      </c>
      <c r="E17" s="45">
        <v>8.5</v>
      </c>
      <c r="F17" s="45">
        <v>8.5</v>
      </c>
      <c r="G17" s="45">
        <v>8.5</v>
      </c>
      <c r="H17" s="45">
        <v>8.5</v>
      </c>
      <c r="I17" s="45">
        <v>8.5</v>
      </c>
      <c r="J17" s="45">
        <v>8.5</v>
      </c>
      <c r="K17" s="45">
        <v>8.5</v>
      </c>
      <c r="L17" s="45">
        <v>8.5</v>
      </c>
      <c r="M17" s="45">
        <v>8.5</v>
      </c>
      <c r="N17" s="45">
        <v>8.5</v>
      </c>
      <c r="O17" s="45">
        <v>8.5</v>
      </c>
      <c r="P17" s="45">
        <v>8.5</v>
      </c>
      <c r="Q17" s="45">
        <v>8.5</v>
      </c>
      <c r="R17" s="45">
        <v>8.5</v>
      </c>
      <c r="S17" s="45">
        <v>8.5</v>
      </c>
      <c r="T17" s="45">
        <v>8.5</v>
      </c>
      <c r="U17" s="45">
        <v>8.5</v>
      </c>
      <c r="V17" s="45">
        <v>8.5</v>
      </c>
      <c r="W17" s="45">
        <v>8.5</v>
      </c>
      <c r="X17" s="45">
        <v>8.5</v>
      </c>
      <c r="Y17" s="45">
        <v>8.5</v>
      </c>
      <c r="Z17" s="45">
        <v>8.5</v>
      </c>
      <c r="AA17" s="45">
        <v>8.5</v>
      </c>
      <c r="AB17" s="45">
        <v>8.5</v>
      </c>
      <c r="AC17" s="45">
        <v>8.5</v>
      </c>
      <c r="AD17" s="45">
        <v>8.5</v>
      </c>
      <c r="AE17" s="45">
        <v>8.5</v>
      </c>
      <c r="AF17" s="45">
        <v>8.5</v>
      </c>
      <c r="AG17" s="50">
        <v>24.2</v>
      </c>
      <c r="AH17" s="47">
        <f t="shared" si="2"/>
        <v>8.5</v>
      </c>
      <c r="AI17" s="48">
        <f t="shared" si="3"/>
        <v>8.5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0">
        <v>28</v>
      </c>
      <c r="AH18" s="47">
        <f t="shared" si="2"/>
        <v>13</v>
      </c>
      <c r="AI18" s="48">
        <f t="shared" si="3"/>
        <v>13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>
        <v>10</v>
      </c>
      <c r="L20" s="45">
        <v>10</v>
      </c>
      <c r="M20" s="45">
        <v>10</v>
      </c>
      <c r="N20" s="45">
        <v>10</v>
      </c>
      <c r="O20" s="45">
        <v>10</v>
      </c>
      <c r="P20" s="45">
        <v>10</v>
      </c>
      <c r="Q20" s="45">
        <v>10</v>
      </c>
      <c r="R20" s="45">
        <v>10</v>
      </c>
      <c r="S20" s="45">
        <v>10</v>
      </c>
      <c r="T20" s="45">
        <v>10</v>
      </c>
      <c r="U20" s="45">
        <v>10</v>
      </c>
      <c r="V20" s="45">
        <v>10</v>
      </c>
      <c r="W20" s="45">
        <v>10</v>
      </c>
      <c r="X20" s="45">
        <v>10</v>
      </c>
      <c r="Y20" s="45">
        <v>10</v>
      </c>
      <c r="Z20" s="45">
        <v>10</v>
      </c>
      <c r="AA20" s="45">
        <v>10</v>
      </c>
      <c r="AB20" s="45">
        <v>10</v>
      </c>
      <c r="AC20" s="45">
        <v>10</v>
      </c>
      <c r="AD20" s="45">
        <v>10</v>
      </c>
      <c r="AE20" s="45">
        <v>10</v>
      </c>
      <c r="AF20" s="45">
        <v>10</v>
      </c>
      <c r="AG20" s="50">
        <v>25</v>
      </c>
      <c r="AH20" s="47">
        <f t="shared" si="2"/>
        <v>10</v>
      </c>
      <c r="AI20" s="48">
        <f t="shared" si="3"/>
        <v>10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0">
        <v>25</v>
      </c>
      <c r="AH22" s="47">
        <f t="shared" si="2"/>
        <v>11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9.1</v>
      </c>
      <c r="C24" s="45">
        <v>9.1</v>
      </c>
      <c r="D24" s="45">
        <v>9.1</v>
      </c>
      <c r="E24" s="45">
        <v>9.1</v>
      </c>
      <c r="F24" s="45">
        <v>9.1</v>
      </c>
      <c r="G24" s="45">
        <v>9.1</v>
      </c>
      <c r="H24" s="45">
        <v>9.1</v>
      </c>
      <c r="I24" s="45">
        <v>9.1</v>
      </c>
      <c r="J24" s="45">
        <v>9.1</v>
      </c>
      <c r="K24" s="45">
        <v>9.1</v>
      </c>
      <c r="L24" s="45">
        <v>9.1</v>
      </c>
      <c r="M24" s="45">
        <v>9.1</v>
      </c>
      <c r="N24" s="45">
        <v>9.1</v>
      </c>
      <c r="O24" s="45">
        <v>9.1</v>
      </c>
      <c r="P24" s="45">
        <v>9.1</v>
      </c>
      <c r="Q24" s="45">
        <v>9.1</v>
      </c>
      <c r="R24" s="45">
        <v>9.1</v>
      </c>
      <c r="S24" s="45">
        <v>9.1</v>
      </c>
      <c r="T24" s="45">
        <v>9.1</v>
      </c>
      <c r="U24" s="45">
        <v>9.1</v>
      </c>
      <c r="V24" s="45">
        <v>9.1</v>
      </c>
      <c r="W24" s="45">
        <v>9.1</v>
      </c>
      <c r="X24" s="45">
        <v>9.1</v>
      </c>
      <c r="Y24" s="45">
        <v>9.1</v>
      </c>
      <c r="Z24" s="45">
        <v>9.1</v>
      </c>
      <c r="AA24" s="45">
        <v>9.1</v>
      </c>
      <c r="AB24" s="45">
        <v>9.1</v>
      </c>
      <c r="AC24" s="45">
        <v>9.1</v>
      </c>
      <c r="AD24" s="45">
        <v>9.1</v>
      </c>
      <c r="AE24" s="45">
        <v>9.1</v>
      </c>
      <c r="AF24" s="45">
        <v>9.1</v>
      </c>
      <c r="AG24" s="50">
        <v>23.5</v>
      </c>
      <c r="AH24" s="47">
        <f t="shared" si="2"/>
        <v>9.1</v>
      </c>
      <c r="AI24" s="48">
        <f t="shared" si="3"/>
        <v>9.1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0">
        <v>22</v>
      </c>
      <c r="AH28" s="47">
        <f t="shared" si="2"/>
        <v>12</v>
      </c>
      <c r="AI28" s="48">
        <f t="shared" si="3"/>
        <v>12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5</v>
      </c>
      <c r="C30" s="45">
        <v>5</v>
      </c>
      <c r="D30" s="45">
        <v>5</v>
      </c>
      <c r="E30" s="45">
        <v>5</v>
      </c>
      <c r="F30" s="45">
        <v>5</v>
      </c>
      <c r="G30" s="45">
        <v>5</v>
      </c>
      <c r="H30" s="45">
        <v>5</v>
      </c>
      <c r="I30" s="45">
        <v>5</v>
      </c>
      <c r="J30" s="45">
        <v>5</v>
      </c>
      <c r="K30" s="45">
        <v>5</v>
      </c>
      <c r="L30" s="45">
        <v>5</v>
      </c>
      <c r="M30" s="45">
        <v>5</v>
      </c>
      <c r="N30" s="45">
        <v>5</v>
      </c>
      <c r="O30" s="45">
        <v>5</v>
      </c>
      <c r="P30" s="45">
        <v>5</v>
      </c>
      <c r="Q30" s="45">
        <v>5</v>
      </c>
      <c r="R30" s="45">
        <v>5</v>
      </c>
      <c r="S30" s="45">
        <v>5</v>
      </c>
      <c r="T30" s="45">
        <v>5</v>
      </c>
      <c r="U30" s="45">
        <v>5</v>
      </c>
      <c r="V30" s="45">
        <v>5</v>
      </c>
      <c r="W30" s="45">
        <v>5</v>
      </c>
      <c r="X30" s="45">
        <v>5</v>
      </c>
      <c r="Y30" s="45">
        <v>5</v>
      </c>
      <c r="Z30" s="45">
        <v>5</v>
      </c>
      <c r="AA30" s="45">
        <v>5</v>
      </c>
      <c r="AB30" s="45">
        <v>5</v>
      </c>
      <c r="AC30" s="45">
        <v>5</v>
      </c>
      <c r="AD30" s="45">
        <v>5</v>
      </c>
      <c r="AE30" s="45">
        <v>5</v>
      </c>
      <c r="AF30" s="45">
        <v>5</v>
      </c>
      <c r="AG30" s="50">
        <v>18</v>
      </c>
      <c r="AH30" s="47">
        <f t="shared" si="2"/>
        <v>5</v>
      </c>
      <c r="AI30" s="48">
        <f t="shared" si="3"/>
        <v>5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>
        <v>10</v>
      </c>
      <c r="L35" s="45">
        <v>10</v>
      </c>
      <c r="M35" s="45">
        <v>10</v>
      </c>
      <c r="N35" s="45">
        <v>10</v>
      </c>
      <c r="O35" s="45">
        <v>10</v>
      </c>
      <c r="P35" s="45">
        <v>10</v>
      </c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45">
        <v>10</v>
      </c>
      <c r="Z35" s="45">
        <v>10</v>
      </c>
      <c r="AA35" s="45">
        <v>10</v>
      </c>
      <c r="AB35" s="45">
        <v>10</v>
      </c>
      <c r="AC35" s="45">
        <v>10</v>
      </c>
      <c r="AD35" s="45">
        <v>10</v>
      </c>
      <c r="AE35" s="45">
        <v>10</v>
      </c>
      <c r="AF35" s="45">
        <v>10</v>
      </c>
      <c r="AG35" s="50">
        <v>12</v>
      </c>
      <c r="AH35" s="47">
        <f t="shared" si="2"/>
        <v>10</v>
      </c>
      <c r="AI35" s="48">
        <f t="shared" si="3"/>
        <v>10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150</v>
      </c>
      <c r="C42" s="56">
        <v>150</v>
      </c>
      <c r="D42" s="56">
        <v>150</v>
      </c>
      <c r="E42" s="56">
        <v>150</v>
      </c>
      <c r="F42" s="56">
        <v>150</v>
      </c>
      <c r="G42" s="56">
        <v>150</v>
      </c>
      <c r="H42" s="56">
        <v>150</v>
      </c>
      <c r="I42" s="56">
        <v>150</v>
      </c>
      <c r="J42" s="56">
        <v>150</v>
      </c>
      <c r="K42" s="56">
        <v>150</v>
      </c>
      <c r="L42" s="56">
        <v>150</v>
      </c>
      <c r="M42" s="56">
        <v>150</v>
      </c>
      <c r="N42" s="56">
        <v>150</v>
      </c>
      <c r="O42" s="56">
        <v>150</v>
      </c>
      <c r="P42" s="56">
        <v>150</v>
      </c>
      <c r="Q42" s="56">
        <v>150</v>
      </c>
      <c r="R42" s="56">
        <v>150</v>
      </c>
      <c r="S42" s="56">
        <v>150</v>
      </c>
      <c r="T42" s="56">
        <v>150</v>
      </c>
      <c r="U42" s="56">
        <v>150</v>
      </c>
      <c r="V42" s="56">
        <v>150</v>
      </c>
      <c r="W42" s="56">
        <v>150</v>
      </c>
      <c r="X42" s="56">
        <v>150</v>
      </c>
      <c r="Y42" s="56">
        <v>150</v>
      </c>
      <c r="Z42" s="56">
        <v>150</v>
      </c>
      <c r="AA42" s="56">
        <v>150</v>
      </c>
      <c r="AB42" s="56">
        <v>150</v>
      </c>
      <c r="AC42" s="56">
        <v>150</v>
      </c>
      <c r="AD42" s="56">
        <v>150</v>
      </c>
      <c r="AE42" s="56">
        <v>150</v>
      </c>
      <c r="AF42" s="56">
        <v>150</v>
      </c>
      <c r="AG42" s="54">
        <v>85</v>
      </c>
      <c r="AH42" s="47">
        <f t="shared" si="2"/>
        <v>150</v>
      </c>
      <c r="AI42" s="48">
        <f t="shared" si="3"/>
        <v>150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:AG44" si="4">SUM(B11:B42)</f>
        <v>455.9</v>
      </c>
      <c r="C44" s="60">
        <f t="shared" si="4"/>
        <v>455.9</v>
      </c>
      <c r="D44" s="60">
        <f t="shared" si="4"/>
        <v>455.9</v>
      </c>
      <c r="E44" s="60">
        <f t="shared" si="4"/>
        <v>454.4</v>
      </c>
      <c r="F44" s="60">
        <f t="shared" si="4"/>
        <v>454.59999999999997</v>
      </c>
      <c r="G44" s="60">
        <f t="shared" si="4"/>
        <v>454.59999999999997</v>
      </c>
      <c r="H44" s="60">
        <f t="shared" si="4"/>
        <v>454.59999999999997</v>
      </c>
      <c r="I44" s="60">
        <f t="shared" si="4"/>
        <v>454.59999999999997</v>
      </c>
      <c r="J44" s="60">
        <f t="shared" si="4"/>
        <v>454.59999999999997</v>
      </c>
      <c r="K44" s="60">
        <f t="shared" si="4"/>
        <v>454.59999999999997</v>
      </c>
      <c r="L44" s="60">
        <f t="shared" si="4"/>
        <v>454.59999999999997</v>
      </c>
      <c r="M44" s="60">
        <f t="shared" si="4"/>
        <v>454.59999999999997</v>
      </c>
      <c r="N44" s="60">
        <f t="shared" si="4"/>
        <v>452.9</v>
      </c>
      <c r="O44" s="60">
        <f t="shared" si="4"/>
        <v>453.09999999999997</v>
      </c>
      <c r="P44" s="60">
        <f t="shared" si="4"/>
        <v>450.59999999999997</v>
      </c>
      <c r="Q44" s="60">
        <f t="shared" si="4"/>
        <v>451.99999999999994</v>
      </c>
      <c r="R44" s="60">
        <f t="shared" si="4"/>
        <v>451.9</v>
      </c>
      <c r="S44" s="60">
        <f t="shared" si="4"/>
        <v>451.9</v>
      </c>
      <c r="T44" s="60">
        <f t="shared" si="4"/>
        <v>451.9</v>
      </c>
      <c r="U44" s="60">
        <f t="shared" si="4"/>
        <v>451.9</v>
      </c>
      <c r="V44" s="60">
        <f t="shared" si="4"/>
        <v>451.9</v>
      </c>
      <c r="W44" s="60">
        <f t="shared" si="4"/>
        <v>451.9</v>
      </c>
      <c r="X44" s="60">
        <f t="shared" si="4"/>
        <v>451.9</v>
      </c>
      <c r="Y44" s="60">
        <f t="shared" si="4"/>
        <v>451.9</v>
      </c>
      <c r="Z44" s="60">
        <f t="shared" si="4"/>
        <v>451.9</v>
      </c>
      <c r="AA44" s="60">
        <f t="shared" si="4"/>
        <v>451.9</v>
      </c>
      <c r="AB44" s="60">
        <f t="shared" si="4"/>
        <v>454.7</v>
      </c>
      <c r="AC44" s="60">
        <f t="shared" si="4"/>
        <v>454.7</v>
      </c>
      <c r="AD44" s="60">
        <f t="shared" si="4"/>
        <v>454.7</v>
      </c>
      <c r="AE44" s="60">
        <f t="shared" si="4"/>
        <v>454.7</v>
      </c>
      <c r="AF44" s="60">
        <f t="shared" si="4"/>
        <v>454.7</v>
      </c>
      <c r="AG44" s="61">
        <f t="shared" si="4"/>
        <v>814.78000000000009</v>
      </c>
      <c r="AH44" s="47">
        <f t="shared" si="2"/>
        <v>455.9</v>
      </c>
      <c r="AI44" s="48">
        <f t="shared" si="3"/>
        <v>450.59999999999997</v>
      </c>
      <c r="AK44" s="49"/>
    </row>
    <row r="45" spans="1:88" x14ac:dyDescent="0.25">
      <c r="A45" s="62" t="s">
        <v>53</v>
      </c>
      <c r="B45" s="45">
        <v>50</v>
      </c>
      <c r="C45" s="45">
        <v>40</v>
      </c>
      <c r="D45" s="45">
        <v>40</v>
      </c>
      <c r="E45" s="45">
        <v>40</v>
      </c>
      <c r="F45" s="45">
        <v>40</v>
      </c>
      <c r="G45" s="45">
        <v>70</v>
      </c>
      <c r="H45" s="45">
        <v>80</v>
      </c>
      <c r="I45" s="45">
        <v>75</v>
      </c>
      <c r="J45" s="45">
        <v>120</v>
      </c>
      <c r="K45" s="45">
        <v>110</v>
      </c>
      <c r="L45" s="45">
        <v>150</v>
      </c>
      <c r="M45" s="63">
        <v>218</v>
      </c>
      <c r="N45" s="63">
        <v>155</v>
      </c>
      <c r="O45" s="45">
        <v>100</v>
      </c>
      <c r="P45" s="45">
        <v>90</v>
      </c>
      <c r="Q45" s="45">
        <v>90</v>
      </c>
      <c r="R45" s="45">
        <v>80</v>
      </c>
      <c r="S45" s="45">
        <v>80</v>
      </c>
      <c r="T45" s="45">
        <v>70</v>
      </c>
      <c r="U45" s="45">
        <v>80</v>
      </c>
      <c r="V45" s="45">
        <v>70</v>
      </c>
      <c r="W45" s="45">
        <v>80</v>
      </c>
      <c r="X45" s="45">
        <v>100</v>
      </c>
      <c r="Y45" s="45">
        <v>228</v>
      </c>
      <c r="Z45" s="45">
        <v>170</v>
      </c>
      <c r="AA45" s="45">
        <v>190</v>
      </c>
      <c r="AB45" s="45">
        <v>190</v>
      </c>
      <c r="AC45" s="45">
        <v>170</v>
      </c>
      <c r="AD45" s="45">
        <v>120</v>
      </c>
      <c r="AE45" s="45">
        <v>60</v>
      </c>
      <c r="AF45" s="45">
        <v>40</v>
      </c>
      <c r="AG45" s="51">
        <v>456</v>
      </c>
      <c r="AH45" s="47">
        <f t="shared" si="2"/>
        <v>228</v>
      </c>
      <c r="AI45" s="48">
        <f t="shared" si="3"/>
        <v>40</v>
      </c>
      <c r="AK45" s="49"/>
    </row>
    <row r="46" spans="1:88" x14ac:dyDescent="0.25">
      <c r="A46" s="64" t="s">
        <v>54</v>
      </c>
      <c r="B46" s="65">
        <v>35</v>
      </c>
      <c r="C46" s="65">
        <v>35</v>
      </c>
      <c r="D46" s="65">
        <v>35</v>
      </c>
      <c r="E46" s="65">
        <v>35</v>
      </c>
      <c r="F46" s="65">
        <v>35</v>
      </c>
      <c r="G46" s="65">
        <v>35</v>
      </c>
      <c r="H46" s="65">
        <v>35</v>
      </c>
      <c r="I46" s="65">
        <v>35</v>
      </c>
      <c r="J46" s="65">
        <v>35</v>
      </c>
      <c r="K46" s="65">
        <v>35</v>
      </c>
      <c r="L46" s="65">
        <v>35</v>
      </c>
      <c r="M46" s="65">
        <v>35</v>
      </c>
      <c r="N46" s="65">
        <v>35</v>
      </c>
      <c r="O46" s="65">
        <v>35</v>
      </c>
      <c r="P46" s="65">
        <v>35</v>
      </c>
      <c r="Q46" s="65">
        <v>35</v>
      </c>
      <c r="R46" s="65">
        <v>35</v>
      </c>
      <c r="S46" s="65">
        <v>35</v>
      </c>
      <c r="T46" s="65">
        <v>35</v>
      </c>
      <c r="U46" s="65">
        <v>35</v>
      </c>
      <c r="V46" s="65">
        <v>35</v>
      </c>
      <c r="W46" s="65">
        <v>35</v>
      </c>
      <c r="X46" s="65">
        <v>35</v>
      </c>
      <c r="Y46" s="65">
        <v>35</v>
      </c>
      <c r="Z46" s="65">
        <v>35</v>
      </c>
      <c r="AA46" s="65">
        <v>35</v>
      </c>
      <c r="AB46" s="65">
        <v>35</v>
      </c>
      <c r="AC46" s="65">
        <v>35</v>
      </c>
      <c r="AD46" s="65">
        <v>35</v>
      </c>
      <c r="AE46" s="65">
        <v>35</v>
      </c>
      <c r="AF46" s="65">
        <v>35</v>
      </c>
      <c r="AG46" s="54">
        <v>60</v>
      </c>
      <c r="AH46" s="47">
        <f t="shared" si="2"/>
        <v>35</v>
      </c>
      <c r="AI46" s="48">
        <f t="shared" si="3"/>
        <v>35</v>
      </c>
      <c r="AK46" s="49"/>
    </row>
    <row r="47" spans="1:88" ht="15.75" thickBot="1" x14ac:dyDescent="0.3">
      <c r="A47" s="66" t="s">
        <v>55</v>
      </c>
      <c r="B47" s="67">
        <v>11.6</v>
      </c>
      <c r="C47" s="67">
        <v>11.6</v>
      </c>
      <c r="D47" s="67">
        <v>11.6</v>
      </c>
      <c r="E47" s="67">
        <v>11.5</v>
      </c>
      <c r="F47" s="67">
        <v>11.6</v>
      </c>
      <c r="G47" s="67">
        <v>11.6</v>
      </c>
      <c r="H47" s="67">
        <v>11.6</v>
      </c>
      <c r="I47" s="67">
        <v>11.6</v>
      </c>
      <c r="J47" s="67">
        <v>11.6</v>
      </c>
      <c r="K47" s="67">
        <v>11.6</v>
      </c>
      <c r="L47" s="67">
        <v>11.6</v>
      </c>
      <c r="M47" s="67">
        <v>11.6</v>
      </c>
      <c r="N47" s="67">
        <v>11.6</v>
      </c>
      <c r="O47" s="67">
        <v>11.6</v>
      </c>
      <c r="P47" s="67">
        <v>0</v>
      </c>
      <c r="Q47" s="67">
        <v>14.7</v>
      </c>
      <c r="R47" s="67">
        <v>12.2</v>
      </c>
      <c r="S47" s="67">
        <v>12.2</v>
      </c>
      <c r="T47" s="67">
        <v>12.2</v>
      </c>
      <c r="U47" s="67">
        <v>12.2</v>
      </c>
      <c r="V47" s="67">
        <v>12.2</v>
      </c>
      <c r="W47" s="67">
        <v>12.2</v>
      </c>
      <c r="X47" s="67">
        <v>18.100000000000001</v>
      </c>
      <c r="Y47" s="67">
        <v>18.100000000000001</v>
      </c>
      <c r="Z47" s="67">
        <v>18.100000000000001</v>
      </c>
      <c r="AA47" s="67">
        <v>18.100000000000001</v>
      </c>
      <c r="AB47" s="67">
        <v>18.100000000000001</v>
      </c>
      <c r="AC47" s="67">
        <v>18.100000000000001</v>
      </c>
      <c r="AD47" s="67">
        <v>18.100000000000001</v>
      </c>
      <c r="AE47" s="67">
        <v>18.100000000000001</v>
      </c>
      <c r="AF47" s="67">
        <v>18.100000000000001</v>
      </c>
      <c r="AG47" s="68">
        <v>22.1</v>
      </c>
      <c r="AH47" s="47">
        <f t="shared" si="2"/>
        <v>18.100000000000001</v>
      </c>
      <c r="AI47" s="48">
        <f t="shared" si="3"/>
        <v>0</v>
      </c>
      <c r="AK47" s="49"/>
    </row>
    <row r="48" spans="1:88" ht="15.75" thickBot="1" x14ac:dyDescent="0.3">
      <c r="A48" s="69" t="s">
        <v>56</v>
      </c>
      <c r="B48" s="60">
        <f t="shared" ref="B48:AG48" si="5">SUM(B45:B47)</f>
        <v>96.6</v>
      </c>
      <c r="C48" s="60">
        <f t="shared" si="5"/>
        <v>86.6</v>
      </c>
      <c r="D48" s="60">
        <f t="shared" si="5"/>
        <v>86.6</v>
      </c>
      <c r="E48" s="60">
        <f t="shared" si="5"/>
        <v>86.5</v>
      </c>
      <c r="F48" s="60">
        <f t="shared" si="5"/>
        <v>86.6</v>
      </c>
      <c r="G48" s="60">
        <f t="shared" si="5"/>
        <v>116.6</v>
      </c>
      <c r="H48" s="60">
        <f t="shared" si="5"/>
        <v>126.6</v>
      </c>
      <c r="I48" s="60">
        <f t="shared" si="5"/>
        <v>121.6</v>
      </c>
      <c r="J48" s="60">
        <f t="shared" si="5"/>
        <v>166.6</v>
      </c>
      <c r="K48" s="60">
        <f t="shared" si="5"/>
        <v>156.6</v>
      </c>
      <c r="L48" s="60">
        <f t="shared" si="5"/>
        <v>196.6</v>
      </c>
      <c r="M48" s="60">
        <f t="shared" si="5"/>
        <v>264.60000000000002</v>
      </c>
      <c r="N48" s="60">
        <f t="shared" si="5"/>
        <v>201.6</v>
      </c>
      <c r="O48" s="60">
        <f t="shared" si="5"/>
        <v>146.6</v>
      </c>
      <c r="P48" s="60">
        <f t="shared" si="5"/>
        <v>125</v>
      </c>
      <c r="Q48" s="60">
        <f t="shared" si="5"/>
        <v>139.69999999999999</v>
      </c>
      <c r="R48" s="60">
        <f t="shared" si="5"/>
        <v>127.2</v>
      </c>
      <c r="S48" s="60">
        <f t="shared" si="5"/>
        <v>127.2</v>
      </c>
      <c r="T48" s="60">
        <f t="shared" si="5"/>
        <v>117.2</v>
      </c>
      <c r="U48" s="60">
        <f t="shared" si="5"/>
        <v>127.2</v>
      </c>
      <c r="V48" s="60">
        <f t="shared" si="5"/>
        <v>117.2</v>
      </c>
      <c r="W48" s="60">
        <f t="shared" si="5"/>
        <v>127.2</v>
      </c>
      <c r="X48" s="60">
        <f t="shared" si="5"/>
        <v>153.1</v>
      </c>
      <c r="Y48" s="60">
        <f t="shared" si="5"/>
        <v>281.10000000000002</v>
      </c>
      <c r="Z48" s="60">
        <f t="shared" si="5"/>
        <v>223.1</v>
      </c>
      <c r="AA48" s="60">
        <f t="shared" si="5"/>
        <v>243.1</v>
      </c>
      <c r="AB48" s="60">
        <f t="shared" si="5"/>
        <v>243.1</v>
      </c>
      <c r="AC48" s="60">
        <f t="shared" si="5"/>
        <v>223.1</v>
      </c>
      <c r="AD48" s="60">
        <f t="shared" si="5"/>
        <v>173.1</v>
      </c>
      <c r="AE48" s="60">
        <f t="shared" si="5"/>
        <v>113.1</v>
      </c>
      <c r="AF48" s="60">
        <f t="shared" si="5"/>
        <v>93.1</v>
      </c>
      <c r="AG48" s="61">
        <f t="shared" si="5"/>
        <v>538.1</v>
      </c>
      <c r="AH48" s="47">
        <f t="shared" si="2"/>
        <v>281.10000000000002</v>
      </c>
      <c r="AI48" s="48">
        <f t="shared" si="3"/>
        <v>86.5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30</v>
      </c>
      <c r="I49" s="45">
        <v>60</v>
      </c>
      <c r="J49" s="45">
        <v>96</v>
      </c>
      <c r="K49" s="45">
        <v>110</v>
      </c>
      <c r="L49" s="45">
        <v>140</v>
      </c>
      <c r="M49" s="45">
        <v>140</v>
      </c>
      <c r="N49" s="45">
        <v>91.9</v>
      </c>
      <c r="O49" s="45">
        <v>61</v>
      </c>
      <c r="P49" s="45">
        <v>61</v>
      </c>
      <c r="Q49" s="45">
        <v>61.2</v>
      </c>
      <c r="R49" s="45">
        <v>61.6</v>
      </c>
      <c r="S49" s="45">
        <v>71.5</v>
      </c>
      <c r="T49" s="45">
        <v>82</v>
      </c>
      <c r="U49" s="45">
        <v>82</v>
      </c>
      <c r="V49" s="45">
        <v>92</v>
      </c>
      <c r="W49" s="45">
        <v>92</v>
      </c>
      <c r="X49" s="45">
        <v>127</v>
      </c>
      <c r="Y49" s="45">
        <v>111.7</v>
      </c>
      <c r="Z49" s="45">
        <v>92.1</v>
      </c>
      <c r="AA49" s="45">
        <v>80.7</v>
      </c>
      <c r="AB49" s="45">
        <v>61.3</v>
      </c>
      <c r="AC49" s="45">
        <v>61.3</v>
      </c>
      <c r="AD49" s="45">
        <v>90</v>
      </c>
      <c r="AE49" s="45">
        <v>70</v>
      </c>
      <c r="AF49" s="45">
        <v>35</v>
      </c>
      <c r="AG49" s="51">
        <v>144</v>
      </c>
      <c r="AH49" s="47">
        <f t="shared" si="2"/>
        <v>140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25</v>
      </c>
      <c r="I50" s="65">
        <v>24.9</v>
      </c>
      <c r="J50" s="65">
        <v>35</v>
      </c>
      <c r="K50" s="65">
        <v>43</v>
      </c>
      <c r="L50" s="65">
        <v>56</v>
      </c>
      <c r="M50" s="65">
        <v>50</v>
      </c>
      <c r="N50" s="65">
        <v>59.9</v>
      </c>
      <c r="O50" s="65">
        <v>59.1</v>
      </c>
      <c r="P50" s="65">
        <v>60</v>
      </c>
      <c r="Q50" s="65">
        <v>71.400000000000006</v>
      </c>
      <c r="R50" s="45">
        <v>68</v>
      </c>
      <c r="S50" s="45">
        <v>37.299999999999997</v>
      </c>
      <c r="T50" s="45">
        <v>33</v>
      </c>
      <c r="U50" s="45">
        <v>33</v>
      </c>
      <c r="V50" s="45">
        <v>22.4</v>
      </c>
      <c r="W50" s="45">
        <v>51.3</v>
      </c>
      <c r="X50" s="45">
        <v>52.1</v>
      </c>
      <c r="Y50" s="45">
        <v>50.6</v>
      </c>
      <c r="Z50" s="45">
        <v>50.9</v>
      </c>
      <c r="AA50" s="45">
        <v>35.5</v>
      </c>
      <c r="AB50" s="45">
        <v>35</v>
      </c>
      <c r="AC50" s="45">
        <v>30</v>
      </c>
      <c r="AD50" s="45">
        <v>30</v>
      </c>
      <c r="AE50" s="65">
        <v>30</v>
      </c>
      <c r="AF50" s="65">
        <v>20</v>
      </c>
      <c r="AG50" s="54">
        <v>70</v>
      </c>
      <c r="AH50" s="47">
        <f t="shared" si="2"/>
        <v>71.400000000000006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0</v>
      </c>
      <c r="C51" s="65">
        <v>0</v>
      </c>
      <c r="D51" s="65">
        <v>0</v>
      </c>
      <c r="E51" s="65">
        <v>0</v>
      </c>
      <c r="F51" s="65">
        <v>0</v>
      </c>
      <c r="G51" s="65">
        <v>0</v>
      </c>
      <c r="H51" s="65">
        <v>16</v>
      </c>
      <c r="I51" s="65">
        <v>34.4</v>
      </c>
      <c r="J51" s="65">
        <v>55</v>
      </c>
      <c r="K51" s="65">
        <v>68.900000000000006</v>
      </c>
      <c r="L51" s="65">
        <v>68</v>
      </c>
      <c r="M51" s="65">
        <v>67.099999999999994</v>
      </c>
      <c r="N51" s="65">
        <v>66.900000000000006</v>
      </c>
      <c r="O51" s="65">
        <v>62.1</v>
      </c>
      <c r="P51" s="65">
        <v>62.1</v>
      </c>
      <c r="Q51" s="65">
        <v>17.100000000000001</v>
      </c>
      <c r="R51" s="45">
        <v>17.399999999999999</v>
      </c>
      <c r="S51" s="45">
        <v>22.2</v>
      </c>
      <c r="T51" s="45">
        <v>46</v>
      </c>
      <c r="U51" s="45">
        <v>32.5</v>
      </c>
      <c r="V51" s="45">
        <v>33.1</v>
      </c>
      <c r="W51" s="45">
        <v>35</v>
      </c>
      <c r="X51" s="45">
        <v>65.5</v>
      </c>
      <c r="Y51" s="45">
        <v>51.5</v>
      </c>
      <c r="Z51" s="45">
        <v>51</v>
      </c>
      <c r="AA51" s="45">
        <v>66.5</v>
      </c>
      <c r="AB51" s="45">
        <v>61.9</v>
      </c>
      <c r="AC51" s="45">
        <v>61.9</v>
      </c>
      <c r="AD51" s="45">
        <v>68</v>
      </c>
      <c r="AE51" s="65">
        <v>66</v>
      </c>
      <c r="AF51" s="65">
        <v>55</v>
      </c>
      <c r="AG51" s="54">
        <v>69</v>
      </c>
      <c r="AH51" s="47">
        <f t="shared" si="2"/>
        <v>68.900000000000006</v>
      </c>
      <c r="AI51" s="48">
        <f t="shared" si="3"/>
        <v>0</v>
      </c>
      <c r="AK51" s="49"/>
    </row>
    <row r="52" spans="1:41" x14ac:dyDescent="0.25">
      <c r="A52" s="53" t="s">
        <v>60</v>
      </c>
      <c r="B52" s="56">
        <v>50.2</v>
      </c>
      <c r="C52" s="56">
        <v>50.2</v>
      </c>
      <c r="D52" s="56">
        <v>50.2</v>
      </c>
      <c r="E52" s="56">
        <v>50.2</v>
      </c>
      <c r="F52" s="56">
        <v>50.2</v>
      </c>
      <c r="G52" s="56">
        <v>50.2</v>
      </c>
      <c r="H52" s="56">
        <v>50.2</v>
      </c>
      <c r="I52" s="56">
        <v>50.2</v>
      </c>
      <c r="J52" s="56">
        <v>50</v>
      </c>
      <c r="K52" s="56">
        <v>50</v>
      </c>
      <c r="L52" s="56">
        <v>50</v>
      </c>
      <c r="M52" s="65">
        <v>50</v>
      </c>
      <c r="N52" s="65">
        <v>49.7</v>
      </c>
      <c r="O52" s="65">
        <v>49.1</v>
      </c>
      <c r="P52" s="65">
        <v>49.1</v>
      </c>
      <c r="Q52" s="65">
        <v>49.1</v>
      </c>
      <c r="R52" s="45">
        <v>48.9</v>
      </c>
      <c r="S52" s="45">
        <v>46.4</v>
      </c>
      <c r="T52" s="45">
        <v>47.4</v>
      </c>
      <c r="U52" s="45">
        <v>47.4</v>
      </c>
      <c r="V52" s="45">
        <v>48.1</v>
      </c>
      <c r="W52" s="45">
        <v>48.1</v>
      </c>
      <c r="X52" s="65">
        <v>48.1</v>
      </c>
      <c r="Y52" s="65">
        <v>49</v>
      </c>
      <c r="Z52" s="65">
        <v>49</v>
      </c>
      <c r="AA52" s="65">
        <v>49.1</v>
      </c>
      <c r="AB52" s="65">
        <v>49.1</v>
      </c>
      <c r="AC52" s="65">
        <v>49.1</v>
      </c>
      <c r="AD52" s="65">
        <v>49.1</v>
      </c>
      <c r="AE52" s="65">
        <v>50</v>
      </c>
      <c r="AF52" s="65">
        <v>50</v>
      </c>
      <c r="AG52" s="54">
        <v>60</v>
      </c>
      <c r="AH52" s="47">
        <f t="shared" si="2"/>
        <v>50.2</v>
      </c>
      <c r="AI52" s="48">
        <f t="shared" si="3"/>
        <v>46.4</v>
      </c>
      <c r="AK52" s="49"/>
    </row>
    <row r="53" spans="1:41" x14ac:dyDescent="0.25">
      <c r="A53" s="53" t="s">
        <v>61</v>
      </c>
      <c r="B53" s="56">
        <v>0</v>
      </c>
      <c r="C53" s="56">
        <v>0</v>
      </c>
      <c r="D53" s="56">
        <v>0</v>
      </c>
      <c r="E53" s="56">
        <v>0</v>
      </c>
      <c r="F53" s="56">
        <v>0</v>
      </c>
      <c r="G53" s="56">
        <v>0</v>
      </c>
      <c r="H53" s="56">
        <v>10</v>
      </c>
      <c r="I53" s="56">
        <v>10</v>
      </c>
      <c r="J53" s="56">
        <v>10</v>
      </c>
      <c r="K53" s="56">
        <v>10</v>
      </c>
      <c r="L53" s="56">
        <v>15</v>
      </c>
      <c r="M53" s="65">
        <v>15</v>
      </c>
      <c r="N53" s="65">
        <v>19.100000000000001</v>
      </c>
      <c r="O53" s="65">
        <v>9.1999999999999993</v>
      </c>
      <c r="P53" s="65">
        <v>9.1999999999999993</v>
      </c>
      <c r="Q53" s="65">
        <v>9.1999999999999993</v>
      </c>
      <c r="R53" s="45">
        <v>0</v>
      </c>
      <c r="S53" s="45">
        <v>0</v>
      </c>
      <c r="T53" s="45">
        <v>0</v>
      </c>
      <c r="U53" s="45">
        <v>0</v>
      </c>
      <c r="V53" s="45">
        <v>0</v>
      </c>
      <c r="W53" s="45">
        <v>0</v>
      </c>
      <c r="X53" s="65">
        <v>15</v>
      </c>
      <c r="Y53" s="65">
        <v>15</v>
      </c>
      <c r="Z53" s="65">
        <v>10.1</v>
      </c>
      <c r="AA53" s="65">
        <v>0</v>
      </c>
      <c r="AB53" s="65">
        <v>0</v>
      </c>
      <c r="AC53" s="65">
        <v>0</v>
      </c>
      <c r="AD53" s="65">
        <v>0</v>
      </c>
      <c r="AE53" s="65">
        <v>0</v>
      </c>
      <c r="AF53" s="65">
        <v>0</v>
      </c>
      <c r="AG53" s="54">
        <v>30</v>
      </c>
      <c r="AH53" s="47">
        <f t="shared" si="2"/>
        <v>19.100000000000001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10</v>
      </c>
      <c r="S54" s="45">
        <v>10</v>
      </c>
      <c r="T54" s="45">
        <v>10</v>
      </c>
      <c r="U54" s="45">
        <v>10</v>
      </c>
      <c r="V54" s="45">
        <v>0</v>
      </c>
      <c r="W54" s="4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10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17</v>
      </c>
      <c r="C55" s="65">
        <v>17</v>
      </c>
      <c r="D55" s="65">
        <v>17</v>
      </c>
      <c r="E55" s="65">
        <v>17</v>
      </c>
      <c r="F55" s="65">
        <v>17</v>
      </c>
      <c r="G55" s="65">
        <v>17</v>
      </c>
      <c r="H55" s="65">
        <v>17</v>
      </c>
      <c r="I55" s="65">
        <v>17</v>
      </c>
      <c r="J55" s="65">
        <v>17</v>
      </c>
      <c r="K55" s="65">
        <v>17</v>
      </c>
      <c r="L55" s="65">
        <v>17.100000000000001</v>
      </c>
      <c r="M55" s="65">
        <v>17.100000000000001</v>
      </c>
      <c r="N55" s="65">
        <v>17.100000000000001</v>
      </c>
      <c r="O55" s="65">
        <v>17.100000000000001</v>
      </c>
      <c r="P55" s="65">
        <v>17.100000000000001</v>
      </c>
      <c r="Q55" s="65">
        <v>17.100000000000001</v>
      </c>
      <c r="R55" s="65">
        <v>17.100000000000001</v>
      </c>
      <c r="S55" s="65">
        <v>17.100000000000001</v>
      </c>
      <c r="T55" s="65">
        <v>17.100000000000001</v>
      </c>
      <c r="U55" s="65">
        <v>17.100000000000001</v>
      </c>
      <c r="V55" s="65">
        <v>17.100000000000001</v>
      </c>
      <c r="W55" s="65">
        <v>17.100000000000001</v>
      </c>
      <c r="X55" s="65">
        <v>17.100000000000001</v>
      </c>
      <c r="Y55" s="65">
        <v>17.100000000000001</v>
      </c>
      <c r="Z55" s="65">
        <v>17.100000000000001</v>
      </c>
      <c r="AA55" s="65">
        <v>17.100000000000001</v>
      </c>
      <c r="AB55" s="65">
        <v>17.100000000000001</v>
      </c>
      <c r="AC55" s="65">
        <v>17.100000000000001</v>
      </c>
      <c r="AD55" s="65">
        <v>17.100000000000001</v>
      </c>
      <c r="AE55" s="65">
        <v>17.100000000000001</v>
      </c>
      <c r="AF55" s="65">
        <v>17.100000000000001</v>
      </c>
      <c r="AG55" s="54">
        <v>24</v>
      </c>
      <c r="AH55" s="47">
        <f t="shared" si="2"/>
        <v>17.100000000000001</v>
      </c>
      <c r="AI55" s="48">
        <f t="shared" si="3"/>
        <v>17</v>
      </c>
      <c r="AK55" s="49"/>
    </row>
    <row r="56" spans="1:41" x14ac:dyDescent="0.25">
      <c r="A56" s="53" t="s">
        <v>64</v>
      </c>
      <c r="B56" s="65">
        <v>3</v>
      </c>
      <c r="C56" s="65">
        <v>3</v>
      </c>
      <c r="D56" s="65">
        <v>3</v>
      </c>
      <c r="E56" s="65">
        <v>3.2</v>
      </c>
      <c r="F56" s="65">
        <v>3.2</v>
      </c>
      <c r="G56" s="65">
        <v>3.2</v>
      </c>
      <c r="H56" s="65">
        <v>3.2</v>
      </c>
      <c r="I56" s="65">
        <v>3.3</v>
      </c>
      <c r="J56" s="65">
        <v>3.3</v>
      </c>
      <c r="K56" s="65">
        <v>3.3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4">
        <v>15</v>
      </c>
      <c r="AH56" s="47">
        <f t="shared" si="2"/>
        <v>3.3</v>
      </c>
      <c r="AI56" s="48">
        <f t="shared" si="3"/>
        <v>3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11.8</v>
      </c>
      <c r="C57" s="65">
        <v>11.8</v>
      </c>
      <c r="D57" s="65">
        <v>11.8</v>
      </c>
      <c r="E57" s="65">
        <v>12.1</v>
      </c>
      <c r="F57" s="65">
        <v>13</v>
      </c>
      <c r="G57" s="65">
        <v>13</v>
      </c>
      <c r="H57" s="65">
        <v>13</v>
      </c>
      <c r="I57" s="65">
        <v>12.6</v>
      </c>
      <c r="J57" s="65">
        <v>12.6</v>
      </c>
      <c r="K57" s="65">
        <v>11.8</v>
      </c>
      <c r="L57" s="65">
        <v>12.9</v>
      </c>
      <c r="M57" s="65">
        <v>12.9</v>
      </c>
      <c r="N57" s="65">
        <v>12.9</v>
      </c>
      <c r="O57" s="65">
        <v>12.9</v>
      </c>
      <c r="P57" s="65">
        <v>12.9</v>
      </c>
      <c r="Q57" s="65">
        <v>12.9</v>
      </c>
      <c r="R57" s="65">
        <v>12.9</v>
      </c>
      <c r="S57" s="65">
        <v>12.9</v>
      </c>
      <c r="T57" s="65">
        <v>12.9</v>
      </c>
      <c r="U57" s="65">
        <v>12.9</v>
      </c>
      <c r="V57" s="65">
        <v>12.9</v>
      </c>
      <c r="W57" s="65">
        <v>12.9</v>
      </c>
      <c r="X57" s="65">
        <v>12.9</v>
      </c>
      <c r="Y57" s="65">
        <v>12.9</v>
      </c>
      <c r="Z57" s="65">
        <v>12.9</v>
      </c>
      <c r="AA57" s="65">
        <v>12.9</v>
      </c>
      <c r="AB57" s="65">
        <v>12.9</v>
      </c>
      <c r="AC57" s="65">
        <v>12.9</v>
      </c>
      <c r="AD57" s="65">
        <v>12.9</v>
      </c>
      <c r="AE57" s="65">
        <v>12.9</v>
      </c>
      <c r="AF57" s="65">
        <v>12.9</v>
      </c>
      <c r="AG57" s="54">
        <v>14.1</v>
      </c>
      <c r="AH57" s="47">
        <f t="shared" si="2"/>
        <v>13</v>
      </c>
      <c r="AI57" s="48">
        <f t="shared" si="3"/>
        <v>11.8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4.8</v>
      </c>
      <c r="C58" s="65">
        <v>4.8</v>
      </c>
      <c r="D58" s="65">
        <v>4.8</v>
      </c>
      <c r="E58" s="65">
        <v>4.8</v>
      </c>
      <c r="F58" s="65">
        <v>4.8</v>
      </c>
      <c r="G58" s="65">
        <v>4.8</v>
      </c>
      <c r="H58" s="65">
        <v>4.8</v>
      </c>
      <c r="I58" s="65">
        <v>4.8</v>
      </c>
      <c r="J58" s="65">
        <v>4.8</v>
      </c>
      <c r="K58" s="65">
        <v>4.8</v>
      </c>
      <c r="L58" s="65">
        <v>4.8</v>
      </c>
      <c r="M58" s="65">
        <v>4.8</v>
      </c>
      <c r="N58" s="65">
        <v>4.8</v>
      </c>
      <c r="O58" s="65">
        <v>4.8</v>
      </c>
      <c r="P58" s="65">
        <v>4.8</v>
      </c>
      <c r="Q58" s="65">
        <v>4.8</v>
      </c>
      <c r="R58" s="65">
        <v>4.8</v>
      </c>
      <c r="S58" s="65">
        <v>4.8</v>
      </c>
      <c r="T58" s="65">
        <v>4.8</v>
      </c>
      <c r="U58" s="65">
        <v>4.8</v>
      </c>
      <c r="V58" s="65">
        <v>5.0999999999999996</v>
      </c>
      <c r="W58" s="65">
        <v>5.0999999999999996</v>
      </c>
      <c r="X58" s="65">
        <v>5.0999999999999996</v>
      </c>
      <c r="Y58" s="65">
        <v>5.0999999999999996</v>
      </c>
      <c r="Z58" s="65">
        <v>5.0999999999999996</v>
      </c>
      <c r="AA58" s="65">
        <v>5.0999999999999996</v>
      </c>
      <c r="AB58" s="65">
        <v>5.0999999999999996</v>
      </c>
      <c r="AC58" s="65">
        <v>5.0999999999999996</v>
      </c>
      <c r="AD58" s="65">
        <v>5.0999999999999996</v>
      </c>
      <c r="AE58" s="65">
        <v>5.0999999999999996</v>
      </c>
      <c r="AF58" s="65">
        <v>5.0999999999999996</v>
      </c>
      <c r="AG58" s="54">
        <v>14</v>
      </c>
      <c r="AH58" s="47">
        <f t="shared" si="2"/>
        <v>5.0999999999999996</v>
      </c>
      <c r="AI58" s="48">
        <f t="shared" si="3"/>
        <v>4.8</v>
      </c>
      <c r="AK58" s="49"/>
    </row>
    <row r="59" spans="1:41" x14ac:dyDescent="0.25">
      <c r="A59" s="53" t="s">
        <v>67</v>
      </c>
      <c r="B59" s="65">
        <v>5.2</v>
      </c>
      <c r="C59" s="65">
        <v>5.2</v>
      </c>
      <c r="D59" s="65">
        <v>5.2</v>
      </c>
      <c r="E59" s="65">
        <v>5.2</v>
      </c>
      <c r="F59" s="65">
        <v>5.2</v>
      </c>
      <c r="G59" s="65">
        <v>5.2</v>
      </c>
      <c r="H59" s="65">
        <v>5.2</v>
      </c>
      <c r="I59" s="65">
        <v>5.2</v>
      </c>
      <c r="J59" s="65">
        <v>5.2</v>
      </c>
      <c r="K59" s="65">
        <v>5.2</v>
      </c>
      <c r="L59" s="65">
        <v>5.2</v>
      </c>
      <c r="M59" s="65">
        <v>5.2</v>
      </c>
      <c r="N59" s="65">
        <v>5.2</v>
      </c>
      <c r="O59" s="65">
        <v>5.2</v>
      </c>
      <c r="P59" s="65">
        <v>5.2</v>
      </c>
      <c r="Q59" s="65">
        <v>5.2</v>
      </c>
      <c r="R59" s="65">
        <v>5.2</v>
      </c>
      <c r="S59" s="65">
        <v>5.2</v>
      </c>
      <c r="T59" s="65">
        <v>5.2</v>
      </c>
      <c r="U59" s="65">
        <v>5.2</v>
      </c>
      <c r="V59" s="65">
        <v>5.2</v>
      </c>
      <c r="W59" s="65">
        <v>5.2</v>
      </c>
      <c r="X59" s="65">
        <v>5.2</v>
      </c>
      <c r="Y59" s="65">
        <v>5.2</v>
      </c>
      <c r="Z59" s="65">
        <v>5.2</v>
      </c>
      <c r="AA59" s="65">
        <v>5.2</v>
      </c>
      <c r="AB59" s="65">
        <v>5.2</v>
      </c>
      <c r="AC59" s="65">
        <v>5.2</v>
      </c>
      <c r="AD59" s="65">
        <v>5.2</v>
      </c>
      <c r="AE59" s="65">
        <v>5.2</v>
      </c>
      <c r="AF59" s="65">
        <v>5.2</v>
      </c>
      <c r="AG59" s="54">
        <v>10.050000000000001</v>
      </c>
      <c r="AH59" s="47">
        <f t="shared" si="2"/>
        <v>5.2</v>
      </c>
      <c r="AI59" s="48">
        <f t="shared" si="3"/>
        <v>5.2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 t="shared" ref="B62:AG62" si="6">SUM(B49:B61)</f>
        <v>98.740000000000009</v>
      </c>
      <c r="C62" s="60">
        <f t="shared" si="6"/>
        <v>98.740000000000009</v>
      </c>
      <c r="D62" s="60">
        <f t="shared" si="6"/>
        <v>98.740000000000009</v>
      </c>
      <c r="E62" s="60">
        <f t="shared" si="6"/>
        <v>99.240000000000009</v>
      </c>
      <c r="F62" s="60">
        <f t="shared" si="6"/>
        <v>100.14000000000001</v>
      </c>
      <c r="G62" s="60">
        <f t="shared" si="6"/>
        <v>100.14000000000001</v>
      </c>
      <c r="H62" s="60">
        <f t="shared" si="6"/>
        <v>181.13999999999996</v>
      </c>
      <c r="I62" s="60">
        <f t="shared" si="6"/>
        <v>229.14</v>
      </c>
      <c r="J62" s="60">
        <f t="shared" si="6"/>
        <v>295.64000000000004</v>
      </c>
      <c r="K62" s="60">
        <f t="shared" si="6"/>
        <v>330.74</v>
      </c>
      <c r="L62" s="60">
        <f t="shared" si="6"/>
        <v>378.94</v>
      </c>
      <c r="M62" s="60">
        <f t="shared" si="6"/>
        <v>372.04</v>
      </c>
      <c r="N62" s="60">
        <f t="shared" si="6"/>
        <v>337.44000000000005</v>
      </c>
      <c r="O62" s="60">
        <f t="shared" si="6"/>
        <v>290.43999999999994</v>
      </c>
      <c r="P62" s="60">
        <f t="shared" si="6"/>
        <v>291.33999999999997</v>
      </c>
      <c r="Q62" s="60">
        <f t="shared" si="6"/>
        <v>257.94</v>
      </c>
      <c r="R62" s="60">
        <f t="shared" si="6"/>
        <v>255.83999999999997</v>
      </c>
      <c r="S62" s="60">
        <f t="shared" si="6"/>
        <v>237.33999999999997</v>
      </c>
      <c r="T62" s="60">
        <f t="shared" si="6"/>
        <v>268.33999999999997</v>
      </c>
      <c r="U62" s="60">
        <f t="shared" si="6"/>
        <v>254.83999999999997</v>
      </c>
      <c r="V62" s="60">
        <f t="shared" si="6"/>
        <v>245.83999999999995</v>
      </c>
      <c r="W62" s="60">
        <f t="shared" si="6"/>
        <v>276.64</v>
      </c>
      <c r="X62" s="60">
        <f t="shared" si="6"/>
        <v>357.94</v>
      </c>
      <c r="Y62" s="60">
        <f t="shared" si="6"/>
        <v>328.04</v>
      </c>
      <c r="Z62" s="60">
        <f t="shared" si="6"/>
        <v>303.33999999999997</v>
      </c>
      <c r="AA62" s="60">
        <f t="shared" si="6"/>
        <v>282.03999999999996</v>
      </c>
      <c r="AB62" s="60">
        <f t="shared" si="6"/>
        <v>257.53999999999996</v>
      </c>
      <c r="AC62" s="60">
        <f t="shared" si="6"/>
        <v>252.53999999999994</v>
      </c>
      <c r="AD62" s="60">
        <f t="shared" si="6"/>
        <v>287.33999999999997</v>
      </c>
      <c r="AE62" s="60">
        <f t="shared" si="6"/>
        <v>266.24</v>
      </c>
      <c r="AF62" s="60">
        <f t="shared" si="6"/>
        <v>210.23999999999995</v>
      </c>
      <c r="AG62" s="61">
        <f t="shared" si="6"/>
        <v>489.91</v>
      </c>
      <c r="AH62" s="47">
        <f t="shared" si="2"/>
        <v>378.94</v>
      </c>
      <c r="AI62" s="48">
        <f t="shared" si="3"/>
        <v>98.740000000000009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15</v>
      </c>
      <c r="N63" s="45">
        <v>14</v>
      </c>
      <c r="O63" s="45">
        <v>10</v>
      </c>
      <c r="P63" s="45">
        <v>14</v>
      </c>
      <c r="Q63" s="45">
        <v>50</v>
      </c>
      <c r="R63" s="45">
        <v>45</v>
      </c>
      <c r="S63" s="45">
        <v>60</v>
      </c>
      <c r="T63" s="45">
        <v>60</v>
      </c>
      <c r="U63" s="45">
        <v>60</v>
      </c>
      <c r="V63" s="45">
        <v>50</v>
      </c>
      <c r="W63" s="45">
        <v>40</v>
      </c>
      <c r="X63" s="45">
        <v>60</v>
      </c>
      <c r="Y63" s="45">
        <v>60</v>
      </c>
      <c r="Z63" s="45">
        <v>60</v>
      </c>
      <c r="AA63" s="45">
        <v>60</v>
      </c>
      <c r="AB63" s="45">
        <v>60</v>
      </c>
      <c r="AC63" s="45">
        <v>60</v>
      </c>
      <c r="AD63" s="45">
        <v>35</v>
      </c>
      <c r="AE63" s="45">
        <v>0</v>
      </c>
      <c r="AF63" s="45">
        <v>0</v>
      </c>
      <c r="AG63" s="51">
        <v>60</v>
      </c>
      <c r="AH63" s="47">
        <f t="shared" si="2"/>
        <v>60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3.4</v>
      </c>
      <c r="K64" s="65">
        <v>0</v>
      </c>
      <c r="L64" s="65">
        <v>0</v>
      </c>
      <c r="M64" s="65">
        <v>0</v>
      </c>
      <c r="N64" s="65">
        <v>8.4</v>
      </c>
      <c r="O64" s="65">
        <v>3.1</v>
      </c>
      <c r="P64" s="65">
        <v>4</v>
      </c>
      <c r="Q64" s="45">
        <v>20.6</v>
      </c>
      <c r="R64" s="45">
        <v>22.4</v>
      </c>
      <c r="S64" s="65">
        <v>15.1</v>
      </c>
      <c r="T64" s="65">
        <v>28.3</v>
      </c>
      <c r="U64" s="65">
        <v>27.9</v>
      </c>
      <c r="V64" s="65">
        <v>27.9</v>
      </c>
      <c r="W64" s="65">
        <v>15.9</v>
      </c>
      <c r="X64" s="65">
        <v>28.2</v>
      </c>
      <c r="Y64" s="65">
        <v>28.2</v>
      </c>
      <c r="Z64" s="65">
        <v>28.2</v>
      </c>
      <c r="AA64" s="65">
        <v>28.2</v>
      </c>
      <c r="AB64" s="65">
        <v>28.3</v>
      </c>
      <c r="AC64" s="65">
        <v>28.3</v>
      </c>
      <c r="AD64" s="65">
        <v>17</v>
      </c>
      <c r="AE64" s="65">
        <v>0</v>
      </c>
      <c r="AF64" s="65">
        <v>0</v>
      </c>
      <c r="AG64" s="54">
        <v>32</v>
      </c>
      <c r="AH64" s="47">
        <f t="shared" si="2"/>
        <v>28.3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1.2</v>
      </c>
      <c r="K65" s="67">
        <v>0</v>
      </c>
      <c r="L65" s="67">
        <v>0</v>
      </c>
      <c r="M65" s="67">
        <v>0</v>
      </c>
      <c r="N65" s="67">
        <v>3.1</v>
      </c>
      <c r="O65" s="67">
        <v>1.1000000000000001</v>
      </c>
      <c r="P65" s="67">
        <v>3</v>
      </c>
      <c r="Q65" s="45">
        <v>7.5</v>
      </c>
      <c r="R65" s="45">
        <v>8.1999999999999993</v>
      </c>
      <c r="S65" s="67">
        <v>5.5</v>
      </c>
      <c r="T65" s="67">
        <v>10.3</v>
      </c>
      <c r="U65" s="67">
        <v>10.199999999999999</v>
      </c>
      <c r="V65" s="67">
        <v>10.199999999999999</v>
      </c>
      <c r="W65" s="67">
        <v>5.8</v>
      </c>
      <c r="X65" s="67">
        <v>10.3</v>
      </c>
      <c r="Y65" s="67">
        <v>10.3</v>
      </c>
      <c r="Z65" s="67">
        <v>10.3</v>
      </c>
      <c r="AA65" s="67">
        <v>10.3</v>
      </c>
      <c r="AB65" s="67">
        <v>10.3</v>
      </c>
      <c r="AC65" s="67">
        <v>10.3</v>
      </c>
      <c r="AD65" s="67">
        <v>5</v>
      </c>
      <c r="AE65" s="67">
        <v>0</v>
      </c>
      <c r="AF65" s="67">
        <v>0</v>
      </c>
      <c r="AG65" s="68">
        <v>14</v>
      </c>
      <c r="AH65" s="47">
        <f t="shared" si="2"/>
        <v>10.3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0</v>
      </c>
      <c r="M66" s="60">
        <f t="shared" ref="M66:AF66" si="7">M63+M64+M65</f>
        <v>15</v>
      </c>
      <c r="N66" s="60">
        <f t="shared" si="7"/>
        <v>25.5</v>
      </c>
      <c r="O66" s="60">
        <f t="shared" si="7"/>
        <v>14.2</v>
      </c>
      <c r="P66" s="60">
        <f t="shared" si="7"/>
        <v>21</v>
      </c>
      <c r="Q66" s="60">
        <f t="shared" si="7"/>
        <v>78.099999999999994</v>
      </c>
      <c r="R66" s="60">
        <f t="shared" si="7"/>
        <v>75.600000000000009</v>
      </c>
      <c r="S66" s="60">
        <f t="shared" si="7"/>
        <v>80.599999999999994</v>
      </c>
      <c r="T66" s="60">
        <f t="shared" si="7"/>
        <v>98.6</v>
      </c>
      <c r="U66" s="60">
        <f t="shared" si="7"/>
        <v>98.100000000000009</v>
      </c>
      <c r="V66" s="60">
        <f t="shared" si="7"/>
        <v>88.100000000000009</v>
      </c>
      <c r="W66" s="60">
        <f t="shared" si="7"/>
        <v>61.699999999999996</v>
      </c>
      <c r="X66" s="60">
        <f t="shared" si="7"/>
        <v>98.5</v>
      </c>
      <c r="Y66" s="60">
        <f t="shared" si="7"/>
        <v>98.5</v>
      </c>
      <c r="Z66" s="60">
        <f t="shared" si="7"/>
        <v>98.5</v>
      </c>
      <c r="AA66" s="60">
        <f t="shared" si="7"/>
        <v>98.5</v>
      </c>
      <c r="AB66" s="60">
        <f t="shared" si="7"/>
        <v>98.6</v>
      </c>
      <c r="AC66" s="60">
        <f t="shared" si="7"/>
        <v>98.6</v>
      </c>
      <c r="AD66" s="60">
        <f t="shared" si="7"/>
        <v>57</v>
      </c>
      <c r="AE66" s="60">
        <f t="shared" si="7"/>
        <v>0</v>
      </c>
      <c r="AF66" s="60">
        <f t="shared" si="7"/>
        <v>0</v>
      </c>
      <c r="AG66" s="61">
        <f>SUM(AG63:AG65)</f>
        <v>106</v>
      </c>
      <c r="AH66" s="47">
        <f t="shared" si="2"/>
        <v>98.6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63.2</v>
      </c>
      <c r="C67" s="45">
        <v>57.4</v>
      </c>
      <c r="D67" s="45">
        <v>69</v>
      </c>
      <c r="E67" s="45">
        <v>68</v>
      </c>
      <c r="F67" s="45">
        <v>66.8</v>
      </c>
      <c r="G67" s="45">
        <v>72</v>
      </c>
      <c r="H67" s="45">
        <v>65</v>
      </c>
      <c r="I67" s="45">
        <v>66.8</v>
      </c>
      <c r="J67" s="45">
        <v>68</v>
      </c>
      <c r="K67" s="45">
        <v>72.400000000000006</v>
      </c>
      <c r="L67" s="45">
        <v>71</v>
      </c>
      <c r="M67" s="45">
        <v>70.8</v>
      </c>
      <c r="N67" s="45">
        <v>64.400000000000006</v>
      </c>
      <c r="O67" s="45">
        <v>64.2</v>
      </c>
      <c r="P67" s="45">
        <v>63.3</v>
      </c>
      <c r="Q67" s="45">
        <v>73.2</v>
      </c>
      <c r="R67" s="45">
        <v>70.5</v>
      </c>
      <c r="S67" s="45">
        <v>69.3</v>
      </c>
      <c r="T67" s="45">
        <v>68.400000000000006</v>
      </c>
      <c r="U67" s="45">
        <v>61.8</v>
      </c>
      <c r="V67" s="45">
        <v>50.4</v>
      </c>
      <c r="W67" s="45">
        <v>71.099999999999994</v>
      </c>
      <c r="X67" s="45">
        <v>73.400000000000006</v>
      </c>
      <c r="Y67" s="45">
        <v>56.1</v>
      </c>
      <c r="Z67" s="45">
        <v>66.099999999999994</v>
      </c>
      <c r="AA67" s="45">
        <v>65.7</v>
      </c>
      <c r="AB67" s="45">
        <v>63.7</v>
      </c>
      <c r="AC67" s="45">
        <v>63</v>
      </c>
      <c r="AD67" s="45">
        <v>71</v>
      </c>
      <c r="AE67" s="45">
        <v>63</v>
      </c>
      <c r="AF67" s="45">
        <v>67</v>
      </c>
      <c r="AG67" s="51"/>
      <c r="AH67" s="47">
        <f t="shared" si="2"/>
        <v>73.400000000000006</v>
      </c>
      <c r="AI67" s="48">
        <f t="shared" si="3"/>
        <v>50.4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270</v>
      </c>
      <c r="C69" s="65">
        <v>303</v>
      </c>
      <c r="D69" s="65">
        <v>284</v>
      </c>
      <c r="E69" s="65">
        <v>280</v>
      </c>
      <c r="F69" s="65">
        <v>290</v>
      </c>
      <c r="G69" s="65">
        <v>293</v>
      </c>
      <c r="H69" s="65">
        <v>303</v>
      </c>
      <c r="I69" s="65">
        <v>296</v>
      </c>
      <c r="J69" s="65">
        <v>283</v>
      </c>
      <c r="K69" s="65">
        <v>295</v>
      </c>
      <c r="L69" s="65">
        <v>285</v>
      </c>
      <c r="M69" s="65">
        <v>215</v>
      </c>
      <c r="N69" s="65">
        <v>254</v>
      </c>
      <c r="O69" s="65">
        <v>290</v>
      </c>
      <c r="P69" s="65">
        <v>340</v>
      </c>
      <c r="Q69" s="65">
        <v>333.9</v>
      </c>
      <c r="R69" s="65">
        <v>341.1</v>
      </c>
      <c r="S69" s="65">
        <v>322</v>
      </c>
      <c r="T69" s="65">
        <v>339</v>
      </c>
      <c r="U69" s="65">
        <v>337</v>
      </c>
      <c r="V69" s="65">
        <v>326</v>
      </c>
      <c r="W69" s="65">
        <v>332</v>
      </c>
      <c r="X69" s="65">
        <v>330</v>
      </c>
      <c r="Y69" s="65">
        <v>237</v>
      </c>
      <c r="Z69" s="65">
        <v>280</v>
      </c>
      <c r="AA69" s="65">
        <v>284</v>
      </c>
      <c r="AB69" s="65">
        <v>288</v>
      </c>
      <c r="AC69" s="65">
        <v>288</v>
      </c>
      <c r="AD69" s="65">
        <v>292</v>
      </c>
      <c r="AE69" s="65">
        <v>341</v>
      </c>
      <c r="AF69" s="65">
        <v>304</v>
      </c>
      <c r="AG69" s="75"/>
      <c r="AH69" s="47">
        <f t="shared" si="2"/>
        <v>341.1</v>
      </c>
      <c r="AI69" s="48">
        <f t="shared" si="3"/>
        <v>215</v>
      </c>
      <c r="AK69" s="49"/>
    </row>
    <row r="70" spans="1:40" x14ac:dyDescent="0.25">
      <c r="A70" s="53" t="s">
        <v>78</v>
      </c>
      <c r="B70" s="76">
        <v>55.6</v>
      </c>
      <c r="C70" s="76">
        <v>55.6</v>
      </c>
      <c r="D70" s="76">
        <v>56.3</v>
      </c>
      <c r="E70" s="76">
        <v>64.099999999999994</v>
      </c>
      <c r="F70" s="76">
        <v>62.8</v>
      </c>
      <c r="G70" s="76">
        <v>64.2</v>
      </c>
      <c r="H70" s="76">
        <v>65.599999999999994</v>
      </c>
      <c r="I70" s="76">
        <v>62</v>
      </c>
      <c r="J70" s="76">
        <v>56.5</v>
      </c>
      <c r="K70" s="76">
        <v>68.5</v>
      </c>
      <c r="L70" s="76">
        <v>65.099999999999994</v>
      </c>
      <c r="M70" s="76">
        <v>63.7</v>
      </c>
      <c r="N70" s="76">
        <v>61.6</v>
      </c>
      <c r="O70" s="76">
        <v>54.3</v>
      </c>
      <c r="P70" s="76">
        <v>57.7</v>
      </c>
      <c r="Q70" s="76">
        <v>64.099999999999994</v>
      </c>
      <c r="R70" s="76">
        <v>62.1</v>
      </c>
      <c r="S70" s="76">
        <v>64.3</v>
      </c>
      <c r="T70" s="76">
        <v>59.2</v>
      </c>
      <c r="U70" s="76">
        <v>62.6</v>
      </c>
      <c r="V70" s="76">
        <v>52.3</v>
      </c>
      <c r="W70" s="76">
        <v>50.2</v>
      </c>
      <c r="X70" s="65">
        <v>41.1</v>
      </c>
      <c r="Y70" s="65">
        <v>47.7</v>
      </c>
      <c r="Z70" s="65">
        <v>44.7</v>
      </c>
      <c r="AA70" s="65">
        <v>45</v>
      </c>
      <c r="AB70" s="65">
        <v>40.5</v>
      </c>
      <c r="AC70" s="65">
        <v>40.5</v>
      </c>
      <c r="AD70" s="65">
        <v>46</v>
      </c>
      <c r="AE70" s="65">
        <v>45</v>
      </c>
      <c r="AF70" s="65">
        <v>56</v>
      </c>
      <c r="AG70" s="75"/>
      <c r="AH70" s="47">
        <f t="shared" si="2"/>
        <v>68.5</v>
      </c>
      <c r="AI70" s="48">
        <f t="shared" si="3"/>
        <v>40.5</v>
      </c>
      <c r="AK70" s="49"/>
    </row>
    <row r="71" spans="1:40" x14ac:dyDescent="0.25">
      <c r="A71" s="53" t="s">
        <v>79</v>
      </c>
      <c r="B71" s="45">
        <v>30</v>
      </c>
      <c r="C71" s="45">
        <v>30</v>
      </c>
      <c r="D71" s="45">
        <v>30</v>
      </c>
      <c r="E71" s="45">
        <v>31</v>
      </c>
      <c r="F71" s="45">
        <v>30</v>
      </c>
      <c r="G71" s="45">
        <v>28</v>
      </c>
      <c r="H71" s="45">
        <v>28</v>
      </c>
      <c r="I71" s="45">
        <v>28</v>
      </c>
      <c r="J71" s="45">
        <v>27</v>
      </c>
      <c r="K71" s="45">
        <v>27</v>
      </c>
      <c r="L71" s="45">
        <v>28</v>
      </c>
      <c r="M71" s="45">
        <v>28</v>
      </c>
      <c r="N71" s="45">
        <v>36</v>
      </c>
      <c r="O71" s="45">
        <v>34</v>
      </c>
      <c r="P71" s="45">
        <v>34</v>
      </c>
      <c r="Q71" s="45">
        <v>35</v>
      </c>
      <c r="R71" s="45">
        <v>34</v>
      </c>
      <c r="S71" s="45">
        <v>31</v>
      </c>
      <c r="T71" s="45">
        <v>31</v>
      </c>
      <c r="U71" s="45">
        <v>31</v>
      </c>
      <c r="V71" s="45">
        <v>28</v>
      </c>
      <c r="W71" s="45">
        <v>28</v>
      </c>
      <c r="X71" s="45">
        <v>28</v>
      </c>
      <c r="Y71" s="45">
        <v>50</v>
      </c>
      <c r="Z71" s="45">
        <v>50</v>
      </c>
      <c r="AA71" s="45">
        <v>50</v>
      </c>
      <c r="AB71" s="45">
        <v>50</v>
      </c>
      <c r="AC71" s="45">
        <v>50</v>
      </c>
      <c r="AD71" s="45">
        <v>30</v>
      </c>
      <c r="AE71" s="45">
        <v>30</v>
      </c>
      <c r="AF71" s="45">
        <v>30</v>
      </c>
      <c r="AG71" s="75"/>
      <c r="AH71" s="47">
        <f t="shared" si="2"/>
        <v>50</v>
      </c>
      <c r="AI71" s="48">
        <f t="shared" si="3"/>
        <v>27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5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8">MAX(B75:AF75)</f>
        <v>0</v>
      </c>
      <c r="AI75" s="48">
        <f t="shared" ref="AI75:AI113" si="9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8"/>
        <v>0</v>
      </c>
      <c r="AI76" s="48">
        <f t="shared" si="9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/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8"/>
        <v>0</v>
      </c>
      <c r="AI77" s="48">
        <f t="shared" si="9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F78" si="10">SUMIF(B67:B77,"&gt;0")</f>
        <v>423.8</v>
      </c>
      <c r="C78" s="60">
        <f t="shared" si="10"/>
        <v>451</v>
      </c>
      <c r="D78" s="60">
        <f t="shared" si="10"/>
        <v>444.3</v>
      </c>
      <c r="E78" s="60">
        <f t="shared" si="10"/>
        <v>448.1</v>
      </c>
      <c r="F78" s="60">
        <f t="shared" si="10"/>
        <v>454.6</v>
      </c>
      <c r="G78" s="60">
        <f t="shared" si="10"/>
        <v>462.2</v>
      </c>
      <c r="H78" s="60">
        <f t="shared" si="10"/>
        <v>466.6</v>
      </c>
      <c r="I78" s="60">
        <f t="shared" si="10"/>
        <v>457.8</v>
      </c>
      <c r="J78" s="60">
        <f t="shared" si="10"/>
        <v>439.5</v>
      </c>
      <c r="K78" s="60">
        <f t="shared" si="10"/>
        <v>467.9</v>
      </c>
      <c r="L78" s="60">
        <f t="shared" si="10"/>
        <v>454.1</v>
      </c>
      <c r="M78" s="60">
        <f t="shared" si="10"/>
        <v>382.5</v>
      </c>
      <c r="N78" s="60">
        <f t="shared" si="10"/>
        <v>421</v>
      </c>
      <c r="O78" s="60">
        <f t="shared" si="10"/>
        <v>447.5</v>
      </c>
      <c r="P78" s="60">
        <f t="shared" si="10"/>
        <v>500</v>
      </c>
      <c r="Q78" s="60">
        <f t="shared" si="10"/>
        <v>511.19999999999993</v>
      </c>
      <c r="R78" s="60">
        <f t="shared" si="10"/>
        <v>512.70000000000005</v>
      </c>
      <c r="S78" s="60">
        <f t="shared" si="10"/>
        <v>491.6</v>
      </c>
      <c r="T78" s="60">
        <f t="shared" si="10"/>
        <v>502.59999999999997</v>
      </c>
      <c r="U78" s="60">
        <f t="shared" si="10"/>
        <v>497.40000000000003</v>
      </c>
      <c r="V78" s="60">
        <f t="shared" si="10"/>
        <v>461.7</v>
      </c>
      <c r="W78" s="60">
        <f t="shared" si="10"/>
        <v>486.3</v>
      </c>
      <c r="X78" s="60">
        <f t="shared" si="10"/>
        <v>477.5</v>
      </c>
      <c r="Y78" s="60">
        <f t="shared" si="10"/>
        <v>395.8</v>
      </c>
      <c r="Z78" s="60">
        <f t="shared" si="10"/>
        <v>445.8</v>
      </c>
      <c r="AA78" s="60">
        <f t="shared" si="10"/>
        <v>449.7</v>
      </c>
      <c r="AB78" s="60">
        <f t="shared" si="10"/>
        <v>447.2</v>
      </c>
      <c r="AC78" s="60">
        <f t="shared" si="10"/>
        <v>446.5</v>
      </c>
      <c r="AD78" s="60">
        <f t="shared" si="10"/>
        <v>444</v>
      </c>
      <c r="AE78" s="60">
        <f t="shared" si="10"/>
        <v>484</v>
      </c>
      <c r="AF78" s="60">
        <f t="shared" si="10"/>
        <v>462</v>
      </c>
      <c r="AG78" s="88">
        <f>SUM(AG67:AG77)</f>
        <v>0</v>
      </c>
      <c r="AH78" s="47">
        <f t="shared" si="8"/>
        <v>512.70000000000005</v>
      </c>
      <c r="AI78" s="48">
        <f t="shared" si="9"/>
        <v>382.5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8"/>
        <v>0</v>
      </c>
      <c r="AI79" s="48">
        <f t="shared" si="9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8"/>
        <v>0</v>
      </c>
      <c r="AI80" s="48">
        <f t="shared" si="9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8"/>
        <v>0</v>
      </c>
      <c r="AI81" s="48">
        <f t="shared" si="9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/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8"/>
        <v>0</v>
      </c>
      <c r="AI82" s="48">
        <f t="shared" si="9"/>
        <v>0</v>
      </c>
    </row>
    <row r="83" spans="1:37" ht="15.75" thickBot="1" x14ac:dyDescent="0.3">
      <c r="A83" s="74" t="s">
        <v>94</v>
      </c>
      <c r="B83" s="95">
        <f>B44+B48+B66+B62+B78+B82</f>
        <v>1075.04</v>
      </c>
      <c r="C83" s="95">
        <f t="shared" ref="C83:AG83" si="11">C44+C48+C66+C62+C78+C82</f>
        <v>1092.24</v>
      </c>
      <c r="D83" s="95">
        <f t="shared" si="11"/>
        <v>1085.54</v>
      </c>
      <c r="E83" s="95">
        <f t="shared" si="11"/>
        <v>1088.24</v>
      </c>
      <c r="F83" s="95">
        <f t="shared" si="11"/>
        <v>1095.94</v>
      </c>
      <c r="G83" s="95">
        <f t="shared" si="11"/>
        <v>1133.54</v>
      </c>
      <c r="H83" s="95">
        <f t="shared" si="11"/>
        <v>1228.94</v>
      </c>
      <c r="I83" s="95">
        <f t="shared" si="11"/>
        <v>1263.1399999999999</v>
      </c>
      <c r="J83" s="95">
        <f t="shared" si="11"/>
        <v>1356.34</v>
      </c>
      <c r="K83" s="95">
        <f t="shared" si="11"/>
        <v>1409.84</v>
      </c>
      <c r="L83" s="95">
        <f t="shared" si="11"/>
        <v>1484.2399999999998</v>
      </c>
      <c r="M83" s="95">
        <f t="shared" si="11"/>
        <v>1488.74</v>
      </c>
      <c r="N83" s="95">
        <f t="shared" si="11"/>
        <v>1438.44</v>
      </c>
      <c r="O83" s="95">
        <f t="shared" si="11"/>
        <v>1351.84</v>
      </c>
      <c r="P83" s="95">
        <f t="shared" si="11"/>
        <v>1387.9399999999998</v>
      </c>
      <c r="Q83" s="95">
        <f t="shared" si="11"/>
        <v>1438.94</v>
      </c>
      <c r="R83" s="95">
        <f t="shared" si="11"/>
        <v>1423.24</v>
      </c>
      <c r="S83" s="95">
        <f t="shared" si="11"/>
        <v>1388.6399999999999</v>
      </c>
      <c r="T83" s="95">
        <f t="shared" si="11"/>
        <v>1438.6399999999999</v>
      </c>
      <c r="U83" s="95">
        <f t="shared" si="11"/>
        <v>1429.44</v>
      </c>
      <c r="V83" s="95">
        <f t="shared" si="11"/>
        <v>1364.74</v>
      </c>
      <c r="W83" s="95">
        <f t="shared" si="11"/>
        <v>1403.74</v>
      </c>
      <c r="X83" s="95">
        <f t="shared" si="11"/>
        <v>1538.94</v>
      </c>
      <c r="Y83" s="95">
        <f t="shared" si="11"/>
        <v>1555.34</v>
      </c>
      <c r="Z83" s="95">
        <f t="shared" si="11"/>
        <v>1522.6399999999999</v>
      </c>
      <c r="AA83" s="95">
        <f t="shared" si="11"/>
        <v>1525.24</v>
      </c>
      <c r="AB83" s="95">
        <f t="shared" si="11"/>
        <v>1501.14</v>
      </c>
      <c r="AC83" s="95">
        <f t="shared" si="11"/>
        <v>1475.4399999999998</v>
      </c>
      <c r="AD83" s="95">
        <f t="shared" si="11"/>
        <v>1416.1399999999999</v>
      </c>
      <c r="AE83" s="95">
        <f t="shared" si="11"/>
        <v>1318.04</v>
      </c>
      <c r="AF83" s="95">
        <f t="shared" si="11"/>
        <v>1220.04</v>
      </c>
      <c r="AG83" s="61">
        <f t="shared" si="11"/>
        <v>2004.1900000000003</v>
      </c>
      <c r="AH83" s="47">
        <f>MAX(B83:AF83)</f>
        <v>1555.34</v>
      </c>
      <c r="AI83" s="48">
        <f>MIN(B83:AF83)</f>
        <v>1075.04</v>
      </c>
    </row>
    <row r="84" spans="1:37" ht="15.75" thickBot="1" x14ac:dyDescent="0.3">
      <c r="A84" s="96" t="s">
        <v>95</v>
      </c>
      <c r="B84" s="662"/>
      <c r="C84" s="662"/>
      <c r="D84" s="662"/>
      <c r="E84" s="662"/>
      <c r="F84" s="662"/>
      <c r="G84" s="662"/>
      <c r="H84" s="662"/>
      <c r="I84" s="662"/>
      <c r="J84" s="662"/>
      <c r="K84" s="662">
        <v>150</v>
      </c>
      <c r="L84" s="662">
        <v>200</v>
      </c>
      <c r="M84" s="662">
        <v>245</v>
      </c>
      <c r="N84" s="662">
        <v>250</v>
      </c>
      <c r="O84" s="662">
        <v>200</v>
      </c>
      <c r="P84" s="662"/>
      <c r="Q84" s="662"/>
      <c r="R84" s="662"/>
      <c r="S84" s="662"/>
      <c r="T84" s="662"/>
      <c r="U84" s="662"/>
      <c r="V84" s="662"/>
      <c r="W84" s="662">
        <v>170</v>
      </c>
      <c r="X84" s="662">
        <v>200</v>
      </c>
      <c r="Y84" s="662">
        <v>150</v>
      </c>
      <c r="Z84" s="662">
        <v>140</v>
      </c>
      <c r="AA84" s="662">
        <v>140</v>
      </c>
      <c r="AB84" s="662">
        <v>120</v>
      </c>
      <c r="AC84" s="662">
        <v>60</v>
      </c>
      <c r="AD84" s="662">
        <v>0</v>
      </c>
      <c r="AE84" s="662">
        <v>0</v>
      </c>
      <c r="AF84" s="662"/>
      <c r="AG84" s="88"/>
      <c r="AH84" s="47">
        <f t="shared" si="8"/>
        <v>250</v>
      </c>
      <c r="AI84" s="48">
        <f t="shared" si="9"/>
        <v>0</v>
      </c>
    </row>
    <row r="85" spans="1:37" ht="15.75" thickBot="1" x14ac:dyDescent="0.3">
      <c r="A85" s="74" t="s">
        <v>96</v>
      </c>
      <c r="B85" s="95">
        <f>B83+B84</f>
        <v>1075.04</v>
      </c>
      <c r="C85" s="95">
        <f t="shared" ref="C85:AF85" si="12">C83+C84</f>
        <v>1092.24</v>
      </c>
      <c r="D85" s="95">
        <f t="shared" si="12"/>
        <v>1085.54</v>
      </c>
      <c r="E85" s="95">
        <f t="shared" si="12"/>
        <v>1088.24</v>
      </c>
      <c r="F85" s="95">
        <f t="shared" si="12"/>
        <v>1095.94</v>
      </c>
      <c r="G85" s="95">
        <f t="shared" si="12"/>
        <v>1133.54</v>
      </c>
      <c r="H85" s="95">
        <f t="shared" si="12"/>
        <v>1228.94</v>
      </c>
      <c r="I85" s="95">
        <f t="shared" si="12"/>
        <v>1263.1399999999999</v>
      </c>
      <c r="J85" s="95">
        <f t="shared" si="12"/>
        <v>1356.34</v>
      </c>
      <c r="K85" s="95">
        <f t="shared" si="12"/>
        <v>1559.84</v>
      </c>
      <c r="L85" s="95">
        <f t="shared" si="12"/>
        <v>1684.2399999999998</v>
      </c>
      <c r="M85" s="95">
        <f t="shared" si="12"/>
        <v>1733.74</v>
      </c>
      <c r="N85" s="95">
        <f t="shared" si="12"/>
        <v>1688.44</v>
      </c>
      <c r="O85" s="95">
        <f t="shared" si="12"/>
        <v>1551.84</v>
      </c>
      <c r="P85" s="95">
        <f t="shared" si="12"/>
        <v>1387.9399999999998</v>
      </c>
      <c r="Q85" s="95">
        <f t="shared" si="12"/>
        <v>1438.94</v>
      </c>
      <c r="R85" s="95">
        <f t="shared" si="12"/>
        <v>1423.24</v>
      </c>
      <c r="S85" s="95">
        <f t="shared" si="12"/>
        <v>1388.6399999999999</v>
      </c>
      <c r="T85" s="95">
        <f t="shared" si="12"/>
        <v>1438.6399999999999</v>
      </c>
      <c r="U85" s="95">
        <f t="shared" si="12"/>
        <v>1429.44</v>
      </c>
      <c r="V85" s="95">
        <f t="shared" si="12"/>
        <v>1364.74</v>
      </c>
      <c r="W85" s="95">
        <f t="shared" si="12"/>
        <v>1573.74</v>
      </c>
      <c r="X85" s="95">
        <f t="shared" si="12"/>
        <v>1738.94</v>
      </c>
      <c r="Y85" s="95">
        <f t="shared" si="12"/>
        <v>1705.34</v>
      </c>
      <c r="Z85" s="95">
        <f t="shared" si="12"/>
        <v>1662.6399999999999</v>
      </c>
      <c r="AA85" s="95">
        <f t="shared" si="12"/>
        <v>1665.24</v>
      </c>
      <c r="AB85" s="95">
        <f t="shared" si="12"/>
        <v>1621.14</v>
      </c>
      <c r="AC85" s="95">
        <f t="shared" si="12"/>
        <v>1535.4399999999998</v>
      </c>
      <c r="AD85" s="95">
        <f t="shared" si="12"/>
        <v>1416.1399999999999</v>
      </c>
      <c r="AE85" s="95">
        <f t="shared" si="12"/>
        <v>1318.04</v>
      </c>
      <c r="AF85" s="95">
        <f t="shared" si="12"/>
        <v>1220.04</v>
      </c>
      <c r="AG85" s="88">
        <f>AG82+AG78+AG66+AG62+AG44+AG84</f>
        <v>1466.0900000000001</v>
      </c>
      <c r="AH85" s="47">
        <f t="shared" si="8"/>
        <v>1738.94</v>
      </c>
      <c r="AI85" s="48">
        <f t="shared" si="9"/>
        <v>1075.04</v>
      </c>
    </row>
    <row r="86" spans="1:37" ht="15.75" thickBot="1" x14ac:dyDescent="0.3">
      <c r="A86" s="74" t="s">
        <v>97</v>
      </c>
      <c r="B86" s="95">
        <f t="shared" ref="B86:AF86" si="13">B85-B93</f>
        <v>1075.04</v>
      </c>
      <c r="C86" s="95">
        <f t="shared" si="13"/>
        <v>1092.24</v>
      </c>
      <c r="D86" s="95">
        <f t="shared" si="13"/>
        <v>1085.54</v>
      </c>
      <c r="E86" s="95">
        <f t="shared" si="13"/>
        <v>1088.24</v>
      </c>
      <c r="F86" s="95">
        <f t="shared" si="13"/>
        <v>1095.94</v>
      </c>
      <c r="G86" s="95">
        <f t="shared" si="13"/>
        <v>1133.54</v>
      </c>
      <c r="H86" s="95">
        <f t="shared" si="13"/>
        <v>1228.94</v>
      </c>
      <c r="I86" s="95">
        <f t="shared" si="13"/>
        <v>1263.1399999999999</v>
      </c>
      <c r="J86" s="95">
        <f t="shared" si="13"/>
        <v>1356.34</v>
      </c>
      <c r="K86" s="95">
        <f t="shared" si="13"/>
        <v>1559.84</v>
      </c>
      <c r="L86" s="95">
        <f t="shared" si="13"/>
        <v>1684.2399999999998</v>
      </c>
      <c r="M86" s="95">
        <f t="shared" si="13"/>
        <v>1733.74</v>
      </c>
      <c r="N86" s="95">
        <f t="shared" si="13"/>
        <v>1688.44</v>
      </c>
      <c r="O86" s="95">
        <f t="shared" si="13"/>
        <v>1551.84</v>
      </c>
      <c r="P86" s="95">
        <f t="shared" si="13"/>
        <v>1387.9399999999998</v>
      </c>
      <c r="Q86" s="95">
        <f t="shared" si="13"/>
        <v>1438.94</v>
      </c>
      <c r="R86" s="95">
        <f t="shared" si="13"/>
        <v>1423.24</v>
      </c>
      <c r="S86" s="95">
        <f t="shared" si="13"/>
        <v>1388.6399999999999</v>
      </c>
      <c r="T86" s="95">
        <f t="shared" si="13"/>
        <v>1438.6399999999999</v>
      </c>
      <c r="U86" s="95">
        <f t="shared" si="13"/>
        <v>1429.44</v>
      </c>
      <c r="V86" s="95">
        <f t="shared" si="13"/>
        <v>1364.74</v>
      </c>
      <c r="W86" s="95">
        <f t="shared" si="13"/>
        <v>1573.74</v>
      </c>
      <c r="X86" s="95">
        <f t="shared" si="13"/>
        <v>1738.94</v>
      </c>
      <c r="Y86" s="95">
        <f>Y85-Y93</f>
        <v>1705.34</v>
      </c>
      <c r="Z86" s="95">
        <f t="shared" si="13"/>
        <v>1662.6399999999999</v>
      </c>
      <c r="AA86" s="95">
        <f t="shared" si="13"/>
        <v>1665.24</v>
      </c>
      <c r="AB86" s="95">
        <f t="shared" si="13"/>
        <v>1621.14</v>
      </c>
      <c r="AC86" s="95">
        <f t="shared" si="13"/>
        <v>1535.4399999999998</v>
      </c>
      <c r="AD86" s="95">
        <f t="shared" si="13"/>
        <v>1416.1399999999999</v>
      </c>
      <c r="AE86" s="95">
        <f t="shared" si="13"/>
        <v>1318.04</v>
      </c>
      <c r="AF86" s="95">
        <f t="shared" si="13"/>
        <v>1220.04</v>
      </c>
      <c r="AG86" s="88"/>
      <c r="AH86" s="47">
        <f t="shared" si="8"/>
        <v>1738.94</v>
      </c>
      <c r="AI86" s="48">
        <f t="shared" si="9"/>
        <v>1075.04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8"/>
        <v>0</v>
      </c>
      <c r="AI87" s="48">
        <f t="shared" si="9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8"/>
        <v>0</v>
      </c>
      <c r="AI88" s="48">
        <f t="shared" si="9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8"/>
        <v>0</v>
      </c>
      <c r="AI89" s="48">
        <f t="shared" si="9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8"/>
        <v>0</v>
      </c>
      <c r="AI90" s="48">
        <f t="shared" si="9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8"/>
        <v>0</v>
      </c>
      <c r="AI91" s="48">
        <f t="shared" si="9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8"/>
        <v>0</v>
      </c>
      <c r="AI92" s="48">
        <f t="shared" si="9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88"/>
      <c r="AH93" s="47">
        <f t="shared" si="8"/>
        <v>0</v>
      </c>
      <c r="AI93" s="48">
        <f t="shared" si="9"/>
        <v>0</v>
      </c>
      <c r="AK93" s="49"/>
    </row>
    <row r="94" spans="1:37" ht="15.75" thickBot="1" x14ac:dyDescent="0.3">
      <c r="A94" s="74" t="s">
        <v>102</v>
      </c>
      <c r="B94" s="60">
        <f t="shared" ref="B94:AF94" si="14">B78-B93</f>
        <v>423.8</v>
      </c>
      <c r="C94" s="60">
        <f t="shared" si="14"/>
        <v>451</v>
      </c>
      <c r="D94" s="60">
        <f t="shared" si="14"/>
        <v>444.3</v>
      </c>
      <c r="E94" s="60">
        <f t="shared" si="14"/>
        <v>448.1</v>
      </c>
      <c r="F94" s="60">
        <f t="shared" si="14"/>
        <v>454.6</v>
      </c>
      <c r="G94" s="60">
        <f t="shared" si="14"/>
        <v>462.2</v>
      </c>
      <c r="H94" s="60">
        <f t="shared" si="14"/>
        <v>466.6</v>
      </c>
      <c r="I94" s="60">
        <f t="shared" si="14"/>
        <v>457.8</v>
      </c>
      <c r="J94" s="60">
        <f t="shared" si="14"/>
        <v>439.5</v>
      </c>
      <c r="K94" s="60">
        <f t="shared" si="14"/>
        <v>467.9</v>
      </c>
      <c r="L94" s="60">
        <f t="shared" si="14"/>
        <v>454.1</v>
      </c>
      <c r="M94" s="60">
        <f t="shared" si="14"/>
        <v>382.5</v>
      </c>
      <c r="N94" s="60">
        <f t="shared" si="14"/>
        <v>421</v>
      </c>
      <c r="O94" s="60">
        <f t="shared" si="14"/>
        <v>447.5</v>
      </c>
      <c r="P94" s="60">
        <f t="shared" si="14"/>
        <v>500</v>
      </c>
      <c r="Q94" s="60">
        <f t="shared" si="14"/>
        <v>511.19999999999993</v>
      </c>
      <c r="R94" s="60">
        <f t="shared" si="14"/>
        <v>512.70000000000005</v>
      </c>
      <c r="S94" s="60">
        <f t="shared" si="14"/>
        <v>491.6</v>
      </c>
      <c r="T94" s="60">
        <f t="shared" si="14"/>
        <v>502.59999999999997</v>
      </c>
      <c r="U94" s="60">
        <f t="shared" si="14"/>
        <v>497.40000000000003</v>
      </c>
      <c r="V94" s="60">
        <f t="shared" si="14"/>
        <v>461.7</v>
      </c>
      <c r="W94" s="60">
        <f t="shared" si="14"/>
        <v>486.3</v>
      </c>
      <c r="X94" s="60">
        <v>151.6</v>
      </c>
      <c r="Y94" s="60">
        <f t="shared" si="14"/>
        <v>395.8</v>
      </c>
      <c r="Z94" s="60">
        <f t="shared" si="14"/>
        <v>445.8</v>
      </c>
      <c r="AA94" s="60">
        <f t="shared" si="14"/>
        <v>449.7</v>
      </c>
      <c r="AB94" s="60">
        <f t="shared" si="14"/>
        <v>447.2</v>
      </c>
      <c r="AC94" s="60">
        <f t="shared" si="14"/>
        <v>446.5</v>
      </c>
      <c r="AD94" s="60">
        <f t="shared" si="14"/>
        <v>444</v>
      </c>
      <c r="AE94" s="60">
        <f t="shared" si="14"/>
        <v>484</v>
      </c>
      <c r="AF94" s="60">
        <f t="shared" si="14"/>
        <v>462</v>
      </c>
      <c r="AG94" s="88"/>
      <c r="AH94" s="47">
        <f t="shared" si="8"/>
        <v>512.70000000000005</v>
      </c>
      <c r="AI94" s="48">
        <f t="shared" si="9"/>
        <v>151.6</v>
      </c>
    </row>
    <row r="95" spans="1:37" x14ac:dyDescent="0.25">
      <c r="A95" s="100" t="s">
        <v>103</v>
      </c>
      <c r="B95" s="101">
        <v>49.914999999999999</v>
      </c>
      <c r="C95" s="101">
        <v>50.103000000000002</v>
      </c>
      <c r="D95" s="101">
        <v>50.04</v>
      </c>
      <c r="E95" s="101">
        <v>49.896000000000001</v>
      </c>
      <c r="F95" s="101">
        <v>50.093000000000004</v>
      </c>
      <c r="G95" s="101">
        <v>50.093000000000004</v>
      </c>
      <c r="H95" s="101">
        <v>49.966000000000001</v>
      </c>
      <c r="I95" s="101">
        <v>50.061999999999998</v>
      </c>
      <c r="J95" s="101">
        <v>50.145000000000003</v>
      </c>
      <c r="K95" s="101">
        <v>50.06</v>
      </c>
      <c r="L95" s="101">
        <v>49.999000000000002</v>
      </c>
      <c r="M95" s="101">
        <v>50.034999999999997</v>
      </c>
      <c r="N95" s="101">
        <v>49.957999999999998</v>
      </c>
      <c r="O95" s="101">
        <v>50.088999999999999</v>
      </c>
      <c r="P95" s="101">
        <v>49.970999999999997</v>
      </c>
      <c r="Q95" s="101">
        <v>49.875999999999998</v>
      </c>
      <c r="R95" s="101">
        <v>50.01</v>
      </c>
      <c r="S95" s="101">
        <v>50.021999999999998</v>
      </c>
      <c r="T95" s="101">
        <v>49.933</v>
      </c>
      <c r="U95" s="101">
        <v>49.709000000000003</v>
      </c>
      <c r="V95" s="101">
        <v>50.003</v>
      </c>
      <c r="W95" s="101">
        <v>49.932000000000002</v>
      </c>
      <c r="X95" s="101">
        <v>50.085999999999999</v>
      </c>
      <c r="Y95" s="101">
        <v>49.976999999999997</v>
      </c>
      <c r="Z95" s="101">
        <v>49.976999999999997</v>
      </c>
      <c r="AA95" s="101">
        <v>50.057000000000002</v>
      </c>
      <c r="AB95" s="101">
        <v>50.08</v>
      </c>
      <c r="AC95" s="101">
        <v>50.03</v>
      </c>
      <c r="AD95" s="101">
        <v>50.05</v>
      </c>
      <c r="AE95" s="101">
        <v>49.95</v>
      </c>
      <c r="AF95" s="101">
        <v>49.92</v>
      </c>
      <c r="AG95" s="102"/>
      <c r="AH95" s="47">
        <f t="shared" si="8"/>
        <v>50.145000000000003</v>
      </c>
      <c r="AI95" s="48">
        <f t="shared" si="9"/>
        <v>49.709000000000003</v>
      </c>
    </row>
    <row r="96" spans="1:37" x14ac:dyDescent="0.25">
      <c r="A96" s="103" t="s">
        <v>104</v>
      </c>
      <c r="B96" s="65">
        <v>127.8</v>
      </c>
      <c r="C96" s="65">
        <v>126.6</v>
      </c>
      <c r="D96" s="65">
        <v>127.4</v>
      </c>
      <c r="E96" s="65">
        <v>127.2</v>
      </c>
      <c r="F96" s="65">
        <v>127.5</v>
      </c>
      <c r="G96" s="65">
        <v>127.5</v>
      </c>
      <c r="H96" s="65">
        <v>126.3</v>
      </c>
      <c r="I96" s="65">
        <v>127.8</v>
      </c>
      <c r="J96" s="65">
        <v>125.8</v>
      </c>
      <c r="K96" s="65">
        <v>127.3</v>
      </c>
      <c r="L96" s="65">
        <v>124.6</v>
      </c>
      <c r="M96" s="65">
        <v>126</v>
      </c>
      <c r="N96" s="65">
        <v>126</v>
      </c>
      <c r="O96" s="65">
        <v>124.5</v>
      </c>
      <c r="P96" s="65">
        <v>124.1</v>
      </c>
      <c r="Q96" s="65">
        <v>125.1</v>
      </c>
      <c r="R96" s="65">
        <v>124.4</v>
      </c>
      <c r="S96" s="65">
        <v>125.9</v>
      </c>
      <c r="T96" s="65">
        <v>125.4</v>
      </c>
      <c r="U96" s="65">
        <v>125.7</v>
      </c>
      <c r="V96" s="65">
        <v>129.69999999999999</v>
      </c>
      <c r="W96" s="65">
        <v>127.1</v>
      </c>
      <c r="X96" s="65">
        <v>128.19999999999999</v>
      </c>
      <c r="Y96" s="65">
        <v>128.6</v>
      </c>
      <c r="Z96" s="65">
        <v>128.6</v>
      </c>
      <c r="AA96" s="65">
        <v>129.6</v>
      </c>
      <c r="AB96" s="65">
        <v>129.9</v>
      </c>
      <c r="AC96" s="65">
        <v>130.6</v>
      </c>
      <c r="AD96" s="65">
        <v>130</v>
      </c>
      <c r="AE96" s="65">
        <v>127</v>
      </c>
      <c r="AF96" s="65">
        <v>127</v>
      </c>
      <c r="AG96" s="104"/>
      <c r="AH96" s="47">
        <f t="shared" si="8"/>
        <v>130.6</v>
      </c>
      <c r="AI96" s="48">
        <f t="shared" si="9"/>
        <v>124.1</v>
      </c>
    </row>
    <row r="97" spans="1:35" x14ac:dyDescent="0.25">
      <c r="A97" s="103" t="s">
        <v>105</v>
      </c>
      <c r="B97" s="65">
        <v>131.9</v>
      </c>
      <c r="C97" s="65">
        <v>130.80000000000001</v>
      </c>
      <c r="D97" s="65">
        <v>131.30000000000001</v>
      </c>
      <c r="E97" s="65">
        <v>131.30000000000001</v>
      </c>
      <c r="F97" s="65">
        <v>131.4</v>
      </c>
      <c r="G97" s="65">
        <v>131.4</v>
      </c>
      <c r="H97" s="65">
        <v>130.4</v>
      </c>
      <c r="I97" s="65">
        <v>131.19999999999999</v>
      </c>
      <c r="J97" s="65">
        <v>128.80000000000001</v>
      </c>
      <c r="K97" s="65">
        <v>129.80000000000001</v>
      </c>
      <c r="L97" s="65">
        <v>129.80000000000001</v>
      </c>
      <c r="M97" s="65">
        <v>127.6</v>
      </c>
      <c r="N97" s="65">
        <v>127.6</v>
      </c>
      <c r="O97" s="65">
        <v>126</v>
      </c>
      <c r="P97" s="65">
        <v>126.2</v>
      </c>
      <c r="Q97" s="65">
        <v>127.3</v>
      </c>
      <c r="R97" s="65">
        <v>128.19999999999999</v>
      </c>
      <c r="S97" s="65">
        <v>128.80000000000001</v>
      </c>
      <c r="T97" s="65">
        <v>128.19999999999999</v>
      </c>
      <c r="U97" s="65">
        <v>128.80000000000001</v>
      </c>
      <c r="V97" s="65">
        <v>131</v>
      </c>
      <c r="W97" s="65">
        <v>129</v>
      </c>
      <c r="X97" s="65">
        <v>129.19999999999999</v>
      </c>
      <c r="Y97" s="65">
        <v>129.1</v>
      </c>
      <c r="Z97" s="65">
        <v>129.1</v>
      </c>
      <c r="AA97" s="65">
        <v>129.9</v>
      </c>
      <c r="AB97" s="65">
        <v>130.6</v>
      </c>
      <c r="AC97" s="65">
        <v>131</v>
      </c>
      <c r="AD97" s="65">
        <v>130.69999999999999</v>
      </c>
      <c r="AE97" s="65">
        <v>130</v>
      </c>
      <c r="AF97" s="65">
        <v>131</v>
      </c>
      <c r="AG97" s="104"/>
      <c r="AH97" s="47">
        <f t="shared" si="8"/>
        <v>131.9</v>
      </c>
      <c r="AI97" s="48">
        <f t="shared" si="9"/>
        <v>126</v>
      </c>
    </row>
    <row r="98" spans="1:35" x14ac:dyDescent="0.25">
      <c r="A98" s="103" t="s">
        <v>106</v>
      </c>
      <c r="B98" s="65">
        <v>133.1</v>
      </c>
      <c r="C98" s="65">
        <v>134.80000000000001</v>
      </c>
      <c r="D98" s="65">
        <v>133.30000000000001</v>
      </c>
      <c r="E98" s="65">
        <v>133</v>
      </c>
      <c r="F98" s="65">
        <v>131</v>
      </c>
      <c r="G98" s="65">
        <v>131</v>
      </c>
      <c r="H98" s="65">
        <v>131.4</v>
      </c>
      <c r="I98" s="65">
        <v>132.19999999999999</v>
      </c>
      <c r="J98" s="65">
        <v>128.80000000000001</v>
      </c>
      <c r="K98" s="65">
        <v>129.4</v>
      </c>
      <c r="L98" s="65">
        <v>129.4</v>
      </c>
      <c r="M98" s="65">
        <v>128.6</v>
      </c>
      <c r="N98" s="65">
        <v>131.80000000000001</v>
      </c>
      <c r="O98" s="65">
        <v>130.9</v>
      </c>
      <c r="P98" s="65">
        <v>128.30000000000001</v>
      </c>
      <c r="Q98" s="65">
        <v>129.9</v>
      </c>
      <c r="R98" s="65">
        <v>128.6</v>
      </c>
      <c r="S98" s="65">
        <v>128.5</v>
      </c>
      <c r="T98" s="65">
        <v>129.4</v>
      </c>
      <c r="U98" s="65">
        <v>130</v>
      </c>
      <c r="V98" s="65">
        <v>131.4</v>
      </c>
      <c r="W98" s="65">
        <v>129.19999999999999</v>
      </c>
      <c r="X98" s="65">
        <v>132.5</v>
      </c>
      <c r="Y98" s="65">
        <v>127</v>
      </c>
      <c r="Z98" s="65">
        <v>127</v>
      </c>
      <c r="AA98" s="65">
        <v>130.80000000000001</v>
      </c>
      <c r="AB98" s="65">
        <v>132.80000000000001</v>
      </c>
      <c r="AC98" s="65">
        <v>133</v>
      </c>
      <c r="AD98" s="65">
        <v>132</v>
      </c>
      <c r="AE98" s="65">
        <v>131</v>
      </c>
      <c r="AF98" s="65">
        <v>130</v>
      </c>
      <c r="AG98" s="104"/>
      <c r="AH98" s="47">
        <f t="shared" si="8"/>
        <v>134.80000000000001</v>
      </c>
      <c r="AI98" s="48">
        <f t="shared" si="9"/>
        <v>127</v>
      </c>
    </row>
    <row r="99" spans="1:35" x14ac:dyDescent="0.25">
      <c r="A99" s="105" t="s">
        <v>107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104"/>
      <c r="AH99" s="47">
        <f t="shared" si="8"/>
        <v>0</v>
      </c>
      <c r="AI99" s="48">
        <f t="shared" si="9"/>
        <v>0</v>
      </c>
    </row>
    <row r="100" spans="1:35" x14ac:dyDescent="0.25">
      <c r="A100" s="105" t="s">
        <v>108</v>
      </c>
      <c r="B100" s="106">
        <v>133.6</v>
      </c>
      <c r="C100" s="106">
        <v>131.19999999999999</v>
      </c>
      <c r="D100" s="106">
        <v>131.30000000000001</v>
      </c>
      <c r="E100" s="106">
        <v>131.19999999999999</v>
      </c>
      <c r="F100" s="106">
        <v>131.5</v>
      </c>
      <c r="G100" s="106">
        <v>131.5</v>
      </c>
      <c r="H100" s="106">
        <v>134.30000000000001</v>
      </c>
      <c r="I100" s="106">
        <v>135.69999999999999</v>
      </c>
      <c r="J100" s="106">
        <v>134.30000000000001</v>
      </c>
      <c r="K100" s="106">
        <v>135.19999999999999</v>
      </c>
      <c r="L100" s="106">
        <v>135.19999999999999</v>
      </c>
      <c r="M100" s="106">
        <v>134</v>
      </c>
      <c r="N100" s="106">
        <v>133</v>
      </c>
      <c r="O100" s="106">
        <v>131.69999999999999</v>
      </c>
      <c r="P100" s="106">
        <v>130.4</v>
      </c>
      <c r="Q100" s="106">
        <v>130.6</v>
      </c>
      <c r="R100" s="106">
        <v>135</v>
      </c>
      <c r="S100" s="106">
        <v>134.4</v>
      </c>
      <c r="T100" s="106">
        <v>133.6</v>
      </c>
      <c r="U100" s="106">
        <v>134.1</v>
      </c>
      <c r="V100" s="106">
        <v>135</v>
      </c>
      <c r="W100" s="106">
        <v>135.5</v>
      </c>
      <c r="X100" s="106">
        <v>135.80000000000001</v>
      </c>
      <c r="Y100" s="106">
        <v>135.1</v>
      </c>
      <c r="Z100" s="106">
        <v>135.1</v>
      </c>
      <c r="AA100" s="106">
        <v>135.5</v>
      </c>
      <c r="AB100" s="106">
        <v>136</v>
      </c>
      <c r="AC100" s="106">
        <v>136</v>
      </c>
      <c r="AD100" s="106">
        <v>136</v>
      </c>
      <c r="AE100" s="106">
        <v>133.6</v>
      </c>
      <c r="AF100" s="106">
        <v>135</v>
      </c>
      <c r="AG100" s="107"/>
      <c r="AH100" s="47">
        <f t="shared" si="8"/>
        <v>136</v>
      </c>
      <c r="AI100" s="48">
        <f t="shared" si="9"/>
        <v>130.4</v>
      </c>
    </row>
    <row r="101" spans="1:35" x14ac:dyDescent="0.25">
      <c r="A101" s="103" t="s">
        <v>109</v>
      </c>
      <c r="B101" s="65">
        <v>128.80000000000001</v>
      </c>
      <c r="C101" s="65">
        <v>133.19999999999999</v>
      </c>
      <c r="D101" s="65">
        <v>133.4</v>
      </c>
      <c r="E101" s="65">
        <v>130.6</v>
      </c>
      <c r="F101" s="65">
        <v>136.30000000000001</v>
      </c>
      <c r="G101" s="65">
        <v>136.30000000000001</v>
      </c>
      <c r="H101" s="65">
        <v>132.4</v>
      </c>
      <c r="I101" s="65">
        <v>129.9</v>
      </c>
      <c r="J101" s="65">
        <v>130.6</v>
      </c>
      <c r="K101" s="65">
        <v>128.6</v>
      </c>
      <c r="L101" s="65">
        <v>128.6</v>
      </c>
      <c r="M101" s="65">
        <v>129</v>
      </c>
      <c r="N101" s="65">
        <v>127</v>
      </c>
      <c r="O101" s="65">
        <v>128</v>
      </c>
      <c r="P101" s="65">
        <v>129.1</v>
      </c>
      <c r="Q101" s="65">
        <v>125.4</v>
      </c>
      <c r="R101" s="65">
        <v>123</v>
      </c>
      <c r="S101" s="65">
        <v>130</v>
      </c>
      <c r="T101" s="65">
        <v>128.1</v>
      </c>
      <c r="U101" s="65">
        <v>128.30000000000001</v>
      </c>
      <c r="V101" s="65">
        <v>129.69999999999999</v>
      </c>
      <c r="W101" s="65">
        <v>123</v>
      </c>
      <c r="X101" s="65">
        <v>121.4</v>
      </c>
      <c r="Y101" s="65">
        <v>134.5</v>
      </c>
      <c r="Z101" s="65">
        <v>134.5</v>
      </c>
      <c r="AA101" s="65">
        <v>130.9</v>
      </c>
      <c r="AB101" s="65">
        <v>134</v>
      </c>
      <c r="AC101" s="65">
        <v>134</v>
      </c>
      <c r="AD101" s="65">
        <v>132</v>
      </c>
      <c r="AE101" s="65">
        <v>131</v>
      </c>
      <c r="AF101" s="65">
        <v>128</v>
      </c>
      <c r="AG101" s="104"/>
      <c r="AH101" s="47">
        <f t="shared" si="8"/>
        <v>136.30000000000001</v>
      </c>
      <c r="AI101" s="48">
        <f t="shared" si="9"/>
        <v>121.4</v>
      </c>
    </row>
    <row r="102" spans="1:35" ht="15.75" thickBot="1" x14ac:dyDescent="0.3">
      <c r="A102" s="103" t="s">
        <v>110</v>
      </c>
      <c r="B102" s="92">
        <v>66.3</v>
      </c>
      <c r="C102" s="92">
        <v>65.599999999999994</v>
      </c>
      <c r="D102" s="92">
        <v>66.2</v>
      </c>
      <c r="E102" s="92">
        <v>65.900000000000006</v>
      </c>
      <c r="F102" s="92">
        <v>65.8</v>
      </c>
      <c r="G102" s="92">
        <v>65.8</v>
      </c>
      <c r="H102" s="92">
        <v>65.400000000000006</v>
      </c>
      <c r="I102" s="92">
        <v>65.599999999999994</v>
      </c>
      <c r="J102" s="92">
        <v>65</v>
      </c>
      <c r="K102" s="92">
        <v>64.8</v>
      </c>
      <c r="L102" s="92">
        <v>64.8</v>
      </c>
      <c r="M102" s="92">
        <v>64</v>
      </c>
      <c r="N102" s="92">
        <v>63.6</v>
      </c>
      <c r="O102" s="92">
        <v>62.6</v>
      </c>
      <c r="P102" s="92">
        <v>63.2</v>
      </c>
      <c r="Q102" s="92">
        <v>63.7</v>
      </c>
      <c r="R102" s="92">
        <v>64.5</v>
      </c>
      <c r="S102" s="92">
        <v>64.8</v>
      </c>
      <c r="T102" s="92">
        <v>64.3</v>
      </c>
      <c r="U102" s="92">
        <v>64.400000000000006</v>
      </c>
      <c r="V102" s="92">
        <v>65.400000000000006</v>
      </c>
      <c r="W102" s="92">
        <v>65</v>
      </c>
      <c r="X102" s="92">
        <v>64.5</v>
      </c>
      <c r="Y102" s="92">
        <v>64.400000000000006</v>
      </c>
      <c r="Z102" s="92">
        <v>64.400000000000006</v>
      </c>
      <c r="AA102" s="92">
        <v>64.900000000000006</v>
      </c>
      <c r="AB102" s="92">
        <v>65.3</v>
      </c>
      <c r="AC102" s="92">
        <v>65.3</v>
      </c>
      <c r="AD102" s="92">
        <v>65.5</v>
      </c>
      <c r="AE102" s="92">
        <v>65.2</v>
      </c>
      <c r="AF102" s="92">
        <v>65.7</v>
      </c>
      <c r="AG102" s="108"/>
      <c r="AH102" s="47">
        <f t="shared" si="8"/>
        <v>66.3</v>
      </c>
      <c r="AI102" s="48">
        <f t="shared" si="9"/>
        <v>62.6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8"/>
        <v>0</v>
      </c>
      <c r="AI103" s="48">
        <f t="shared" si="9"/>
        <v>0</v>
      </c>
    </row>
    <row r="104" spans="1:35" ht="15.75" thickBot="1" x14ac:dyDescent="0.3">
      <c r="A104" s="110" t="s">
        <v>112</v>
      </c>
      <c r="B104" s="111">
        <f t="shared" ref="B104:AF104" si="15">SUM(B16,B22,B25:B26,B52,B54:B55,B57,B59,B105:B109,B131,B137,B143,B152,B154,B166,B173,B176:B177,B184,B186,B188,B192:B194,B196:B198,B203,B209:B210,B212:B214,B222,B227)</f>
        <v>160.80000000000001</v>
      </c>
      <c r="C104" s="111">
        <f t="shared" si="15"/>
        <v>144.54</v>
      </c>
      <c r="D104" s="111">
        <f t="shared" si="15"/>
        <v>135.54000000000002</v>
      </c>
      <c r="E104" s="111">
        <f t="shared" si="15"/>
        <v>133.13999999999999</v>
      </c>
      <c r="F104" s="111">
        <f t="shared" si="15"/>
        <v>139.14000000000001</v>
      </c>
      <c r="G104" s="111">
        <f t="shared" si="15"/>
        <v>176.74</v>
      </c>
      <c r="H104" s="111">
        <f t="shared" si="15"/>
        <v>199.74</v>
      </c>
      <c r="I104" s="111">
        <f t="shared" si="15"/>
        <v>232.33999999999997</v>
      </c>
      <c r="J104" s="111">
        <f t="shared" si="15"/>
        <v>299.94</v>
      </c>
      <c r="K104" s="111">
        <f t="shared" si="15"/>
        <v>342.64</v>
      </c>
      <c r="L104" s="111">
        <f t="shared" si="15"/>
        <v>416.14000000000004</v>
      </c>
      <c r="M104" s="111">
        <f t="shared" si="15"/>
        <v>424.24</v>
      </c>
      <c r="N104" s="111">
        <f t="shared" si="15"/>
        <v>398.04</v>
      </c>
      <c r="O104" s="111">
        <f t="shared" si="15"/>
        <v>394.94</v>
      </c>
      <c r="P104" s="111">
        <v>42</v>
      </c>
      <c r="Q104" s="111">
        <f t="shared" si="15"/>
        <v>354.9</v>
      </c>
      <c r="R104" s="111">
        <f t="shared" si="15"/>
        <v>328.5</v>
      </c>
      <c r="S104" s="111">
        <f t="shared" si="15"/>
        <v>333.30000000000007</v>
      </c>
      <c r="T104" s="111">
        <f t="shared" si="15"/>
        <v>349.3</v>
      </c>
      <c r="U104" s="111">
        <f t="shared" si="15"/>
        <v>350.6</v>
      </c>
      <c r="V104" s="111">
        <f t="shared" si="15"/>
        <v>375.8</v>
      </c>
      <c r="W104" s="111">
        <f t="shared" si="15"/>
        <v>407.7</v>
      </c>
      <c r="X104" s="111">
        <v>390.59708333333339</v>
      </c>
      <c r="Y104" s="111">
        <f t="shared" si="15"/>
        <v>481.79999999999995</v>
      </c>
      <c r="Z104" s="111">
        <f t="shared" si="15"/>
        <v>481.79999999999995</v>
      </c>
      <c r="AA104" s="111">
        <f t="shared" si="15"/>
        <v>465.1</v>
      </c>
      <c r="AB104" s="111">
        <f t="shared" si="15"/>
        <v>409.5</v>
      </c>
      <c r="AC104" s="111">
        <f t="shared" si="15"/>
        <v>387.7</v>
      </c>
      <c r="AD104" s="111">
        <f t="shared" si="15"/>
        <v>367.3</v>
      </c>
      <c r="AE104" s="111">
        <f t="shared" si="15"/>
        <v>304.60000000000002</v>
      </c>
      <c r="AF104" s="111">
        <f t="shared" si="15"/>
        <v>189.60000000000002</v>
      </c>
      <c r="AG104" s="112"/>
      <c r="AH104" s="47">
        <f t="shared" si="8"/>
        <v>481.79999999999995</v>
      </c>
      <c r="AI104" s="48">
        <f t="shared" si="9"/>
        <v>42</v>
      </c>
    </row>
    <row r="105" spans="1:35" x14ac:dyDescent="0.25">
      <c r="A105" s="100" t="s">
        <v>113</v>
      </c>
      <c r="B105" s="113">
        <v>-13.6</v>
      </c>
      <c r="C105" s="113">
        <v>-14.9</v>
      </c>
      <c r="D105" s="113">
        <v>-13.1</v>
      </c>
      <c r="E105" s="113">
        <v>-13.4</v>
      </c>
      <c r="F105" s="113">
        <v>-13.5</v>
      </c>
      <c r="G105" s="113">
        <v>-2</v>
      </c>
      <c r="H105" s="113">
        <v>3.1</v>
      </c>
      <c r="I105" s="113">
        <v>11.5</v>
      </c>
      <c r="J105" s="113">
        <v>30.3</v>
      </c>
      <c r="K105" s="113">
        <v>35.6</v>
      </c>
      <c r="L105" s="113">
        <v>44.6</v>
      </c>
      <c r="M105" s="113">
        <v>46.9</v>
      </c>
      <c r="N105" s="113">
        <v>35.6</v>
      </c>
      <c r="O105" s="113">
        <v>35.6</v>
      </c>
      <c r="P105" s="113">
        <v>23.3</v>
      </c>
      <c r="Q105" s="113">
        <v>18.399999999999999</v>
      </c>
      <c r="R105" s="113">
        <v>16.100000000000001</v>
      </c>
      <c r="S105" s="113">
        <v>9.6</v>
      </c>
      <c r="T105" s="113">
        <v>15.3</v>
      </c>
      <c r="U105" s="113">
        <v>11.3</v>
      </c>
      <c r="V105" s="113">
        <v>19.3</v>
      </c>
      <c r="W105" s="113">
        <v>37</v>
      </c>
      <c r="X105" s="113">
        <v>36.5</v>
      </c>
      <c r="Y105" s="113">
        <v>29.1</v>
      </c>
      <c r="Z105" s="113">
        <v>29.1</v>
      </c>
      <c r="AA105" s="113">
        <v>26.3</v>
      </c>
      <c r="AB105" s="113">
        <v>23.7</v>
      </c>
      <c r="AC105" s="113">
        <v>24</v>
      </c>
      <c r="AD105" s="113">
        <v>32.6</v>
      </c>
      <c r="AE105" s="113">
        <v>28</v>
      </c>
      <c r="AF105" s="113">
        <v>9</v>
      </c>
      <c r="AG105" s="114">
        <v>75</v>
      </c>
      <c r="AH105" s="47">
        <f t="shared" si="8"/>
        <v>46.9</v>
      </c>
      <c r="AI105" s="48">
        <f t="shared" si="9"/>
        <v>-14.9</v>
      </c>
    </row>
    <row r="106" spans="1:35" x14ac:dyDescent="0.25">
      <c r="A106" s="103" t="s">
        <v>114</v>
      </c>
      <c r="B106" s="115">
        <v>-12.5</v>
      </c>
      <c r="C106" s="115">
        <v>-14.6</v>
      </c>
      <c r="D106" s="115">
        <v>-11.5</v>
      </c>
      <c r="E106" s="115">
        <v>-12.2</v>
      </c>
      <c r="F106" s="115">
        <v>-12.6</v>
      </c>
      <c r="G106" s="115">
        <v>-6</v>
      </c>
      <c r="H106" s="115">
        <v>9.6999999999999993</v>
      </c>
      <c r="I106" s="115">
        <v>19.600000000000001</v>
      </c>
      <c r="J106" s="115">
        <v>42.1</v>
      </c>
      <c r="K106" s="115">
        <v>49.1</v>
      </c>
      <c r="L106" s="115">
        <v>56.5</v>
      </c>
      <c r="M106" s="115">
        <v>60.6</v>
      </c>
      <c r="N106" s="115">
        <v>42.7</v>
      </c>
      <c r="O106" s="115">
        <v>42.9</v>
      </c>
      <c r="P106" s="115">
        <v>35.700000000000003</v>
      </c>
      <c r="Q106" s="115">
        <v>31.7</v>
      </c>
      <c r="R106" s="115">
        <v>27.9</v>
      </c>
      <c r="S106" s="115">
        <v>18.3</v>
      </c>
      <c r="T106" s="115">
        <v>23</v>
      </c>
      <c r="U106" s="115">
        <v>16</v>
      </c>
      <c r="V106" s="115">
        <v>22.8</v>
      </c>
      <c r="W106" s="115">
        <v>45</v>
      </c>
      <c r="X106" s="115">
        <v>43.2</v>
      </c>
      <c r="Y106" s="115">
        <v>31.7</v>
      </c>
      <c r="Z106" s="115">
        <v>31.7</v>
      </c>
      <c r="AA106" s="115">
        <v>26</v>
      </c>
      <c r="AB106" s="115">
        <v>26.2</v>
      </c>
      <c r="AC106" s="115">
        <v>26</v>
      </c>
      <c r="AD106" s="115">
        <v>40</v>
      </c>
      <c r="AE106" s="115">
        <v>36</v>
      </c>
      <c r="AF106" s="115">
        <v>16</v>
      </c>
      <c r="AG106" s="114">
        <v>240</v>
      </c>
      <c r="AH106" s="47">
        <f t="shared" si="8"/>
        <v>60.6</v>
      </c>
      <c r="AI106" s="48">
        <f t="shared" si="9"/>
        <v>-14.6</v>
      </c>
    </row>
    <row r="107" spans="1:35" x14ac:dyDescent="0.25">
      <c r="A107" s="103" t="s">
        <v>115</v>
      </c>
      <c r="B107" s="115">
        <v>-28</v>
      </c>
      <c r="C107" s="115">
        <v>-34</v>
      </c>
      <c r="D107" s="115">
        <v>-40</v>
      </c>
      <c r="E107" s="115">
        <v>-39.4</v>
      </c>
      <c r="F107" s="115">
        <v>-39.6</v>
      </c>
      <c r="G107" s="115">
        <v>-32</v>
      </c>
      <c r="H107" s="115">
        <v>-37</v>
      </c>
      <c r="I107" s="115">
        <v>-19.5</v>
      </c>
      <c r="J107" s="115">
        <v>2</v>
      </c>
      <c r="K107" s="115">
        <v>18</v>
      </c>
      <c r="L107" s="115">
        <v>43</v>
      </c>
      <c r="M107" s="115">
        <v>34</v>
      </c>
      <c r="N107" s="115">
        <v>50.2</v>
      </c>
      <c r="O107" s="115">
        <v>55.8</v>
      </c>
      <c r="P107" s="115">
        <v>27.1</v>
      </c>
      <c r="Q107" s="115">
        <v>22.9</v>
      </c>
      <c r="R107" s="115">
        <v>7</v>
      </c>
      <c r="S107" s="115">
        <v>22</v>
      </c>
      <c r="T107" s="115">
        <v>22</v>
      </c>
      <c r="U107" s="115">
        <v>32</v>
      </c>
      <c r="V107" s="115">
        <v>57</v>
      </c>
      <c r="W107" s="115">
        <v>72</v>
      </c>
      <c r="X107" s="115">
        <v>79</v>
      </c>
      <c r="Y107" s="115">
        <v>113</v>
      </c>
      <c r="Z107" s="115">
        <v>113</v>
      </c>
      <c r="AA107" s="115">
        <v>110</v>
      </c>
      <c r="AB107" s="115">
        <f>15.3+49.8</f>
        <v>65.099999999999994</v>
      </c>
      <c r="AC107" s="115">
        <v>56</v>
      </c>
      <c r="AD107" s="115">
        <v>45</v>
      </c>
      <c r="AE107" s="115">
        <v>1</v>
      </c>
      <c r="AF107" s="115">
        <v>-40</v>
      </c>
      <c r="AG107" s="114">
        <v>240</v>
      </c>
      <c r="AH107" s="47">
        <f t="shared" si="8"/>
        <v>113</v>
      </c>
      <c r="AI107" s="48">
        <f t="shared" si="9"/>
        <v>-40</v>
      </c>
    </row>
    <row r="108" spans="1:35" x14ac:dyDescent="0.25">
      <c r="A108" s="103" t="s">
        <v>116</v>
      </c>
      <c r="B108" s="115">
        <v>0</v>
      </c>
      <c r="C108" s="115">
        <v>-5.4</v>
      </c>
      <c r="D108" s="115">
        <v>-5</v>
      </c>
      <c r="E108" s="115">
        <v>-5.8</v>
      </c>
      <c r="F108" s="115">
        <v>-4.8</v>
      </c>
      <c r="G108" s="115">
        <v>0</v>
      </c>
      <c r="H108" s="115">
        <v>2.7</v>
      </c>
      <c r="I108" s="115">
        <v>4.0999999999999996</v>
      </c>
      <c r="J108" s="115">
        <v>10.1</v>
      </c>
      <c r="K108" s="115">
        <v>15.7</v>
      </c>
      <c r="L108" s="115">
        <v>21.5</v>
      </c>
      <c r="M108" s="115">
        <v>41.2</v>
      </c>
      <c r="N108" s="115">
        <v>31.9</v>
      </c>
      <c r="O108" s="115">
        <v>28</v>
      </c>
      <c r="P108" s="115">
        <v>49.5</v>
      </c>
      <c r="Q108" s="115">
        <v>46.6</v>
      </c>
      <c r="R108" s="115">
        <v>41.7</v>
      </c>
      <c r="S108" s="115">
        <v>49</v>
      </c>
      <c r="T108" s="115">
        <v>48</v>
      </c>
      <c r="U108" s="115">
        <v>49</v>
      </c>
      <c r="V108" s="115">
        <v>53</v>
      </c>
      <c r="W108" s="115">
        <v>52</v>
      </c>
      <c r="X108" s="115">
        <v>66</v>
      </c>
      <c r="Y108" s="115">
        <v>65.400000000000006</v>
      </c>
      <c r="Z108" s="115">
        <v>65.400000000000006</v>
      </c>
      <c r="AA108" s="115">
        <v>66.099999999999994</v>
      </c>
      <c r="AB108" s="115">
        <v>66.8</v>
      </c>
      <c r="AC108" s="115">
        <v>61</v>
      </c>
      <c r="AD108" s="115">
        <v>49</v>
      </c>
      <c r="AE108" s="115">
        <v>13</v>
      </c>
      <c r="AF108" s="115">
        <v>-1</v>
      </c>
      <c r="AG108" s="114">
        <v>60</v>
      </c>
      <c r="AH108" s="47">
        <f t="shared" si="8"/>
        <v>66.8</v>
      </c>
      <c r="AI108" s="48">
        <f t="shared" si="9"/>
        <v>-5.8</v>
      </c>
    </row>
    <row r="109" spans="1:35" x14ac:dyDescent="0.25">
      <c r="A109" s="116" t="s">
        <v>117</v>
      </c>
      <c r="B109" s="117">
        <v>96</v>
      </c>
      <c r="C109" s="117">
        <v>93.6</v>
      </c>
      <c r="D109" s="117">
        <v>85.3</v>
      </c>
      <c r="E109" s="117">
        <v>84.1</v>
      </c>
      <c r="F109" s="117">
        <v>88.9</v>
      </c>
      <c r="G109" s="117">
        <v>96</v>
      </c>
      <c r="H109" s="117">
        <v>100.5</v>
      </c>
      <c r="I109" s="117">
        <v>96.3</v>
      </c>
      <c r="J109" s="117">
        <v>95.3</v>
      </c>
      <c r="K109" s="117">
        <v>104.9</v>
      </c>
      <c r="L109" s="117">
        <v>130</v>
      </c>
      <c r="M109" s="117">
        <v>121</v>
      </c>
      <c r="N109" s="117">
        <v>117.4</v>
      </c>
      <c r="O109" s="117">
        <v>113</v>
      </c>
      <c r="P109" s="117">
        <v>119.1</v>
      </c>
      <c r="Q109" s="117">
        <v>116.6</v>
      </c>
      <c r="R109" s="117">
        <v>107.3</v>
      </c>
      <c r="S109" s="117">
        <v>108.4</v>
      </c>
      <c r="T109" s="117">
        <v>114</v>
      </c>
      <c r="U109" s="117">
        <v>115.3</v>
      </c>
      <c r="V109" s="117">
        <v>106</v>
      </c>
      <c r="W109" s="117">
        <v>84</v>
      </c>
      <c r="X109" s="117">
        <v>112</v>
      </c>
      <c r="Y109" s="117">
        <v>124</v>
      </c>
      <c r="Z109" s="117">
        <v>124</v>
      </c>
      <c r="AA109" s="117">
        <v>118</v>
      </c>
      <c r="AB109" s="117">
        <v>109</v>
      </c>
      <c r="AC109" s="117">
        <v>102</v>
      </c>
      <c r="AD109" s="117">
        <v>82</v>
      </c>
      <c r="AE109" s="117">
        <v>107</v>
      </c>
      <c r="AF109" s="117">
        <v>86</v>
      </c>
      <c r="AG109" s="118">
        <v>120</v>
      </c>
      <c r="AH109" s="47">
        <f t="shared" si="8"/>
        <v>130</v>
      </c>
      <c r="AI109" s="48">
        <f t="shared" si="9"/>
        <v>82</v>
      </c>
    </row>
    <row r="110" spans="1:35" x14ac:dyDescent="0.25">
      <c r="A110" s="116" t="s">
        <v>118</v>
      </c>
      <c r="B110" s="117">
        <v>96.9</v>
      </c>
      <c r="C110" s="117">
        <v>100.4</v>
      </c>
      <c r="D110" s="117">
        <v>90.8</v>
      </c>
      <c r="E110" s="117">
        <v>89.6</v>
      </c>
      <c r="F110" s="117">
        <v>93.9</v>
      </c>
      <c r="G110" s="117">
        <v>93</v>
      </c>
      <c r="H110" s="117">
        <v>96.7</v>
      </c>
      <c r="I110" s="117">
        <v>89.5</v>
      </c>
      <c r="J110" s="117">
        <v>92.9</v>
      </c>
      <c r="K110" s="117">
        <v>86.9</v>
      </c>
      <c r="L110" s="117">
        <v>87.8</v>
      </c>
      <c r="M110" s="117">
        <v>76</v>
      </c>
      <c r="N110" s="117">
        <v>89.9</v>
      </c>
      <c r="O110" s="117">
        <v>94</v>
      </c>
      <c r="P110" s="117">
        <v>100.4</v>
      </c>
      <c r="Q110" s="117">
        <v>99.5</v>
      </c>
      <c r="R110" s="117">
        <v>102.1</v>
      </c>
      <c r="S110" s="117">
        <v>92</v>
      </c>
      <c r="T110" s="117">
        <v>101</v>
      </c>
      <c r="U110" s="117">
        <v>102</v>
      </c>
      <c r="V110" s="117">
        <v>78</v>
      </c>
      <c r="W110" s="117">
        <v>99</v>
      </c>
      <c r="X110" s="117">
        <v>86</v>
      </c>
      <c r="Y110" s="117">
        <v>94</v>
      </c>
      <c r="Z110" s="117">
        <v>94</v>
      </c>
      <c r="AA110" s="117">
        <v>95</v>
      </c>
      <c r="AB110" s="117">
        <v>89.3</v>
      </c>
      <c r="AC110" s="117">
        <v>92</v>
      </c>
      <c r="AD110" s="117">
        <v>90</v>
      </c>
      <c r="AE110" s="117">
        <v>95</v>
      </c>
      <c r="AF110" s="117">
        <v>93</v>
      </c>
      <c r="AG110" s="118"/>
      <c r="AH110" s="47">
        <f t="shared" si="8"/>
        <v>102.1</v>
      </c>
      <c r="AI110" s="48">
        <f t="shared" si="9"/>
        <v>76</v>
      </c>
    </row>
    <row r="111" spans="1:35" x14ac:dyDescent="0.25">
      <c r="A111" s="116" t="s">
        <v>119</v>
      </c>
      <c r="B111" s="117">
        <v>33.9</v>
      </c>
      <c r="C111" s="117">
        <v>36.299999999999997</v>
      </c>
      <c r="D111" s="117">
        <v>33.4</v>
      </c>
      <c r="E111" s="117">
        <v>31.9</v>
      </c>
      <c r="F111" s="117">
        <v>33.799999999999997</v>
      </c>
      <c r="G111" s="117">
        <v>32</v>
      </c>
      <c r="H111" s="117">
        <v>25.7</v>
      </c>
      <c r="I111" s="117">
        <v>20.9</v>
      </c>
      <c r="J111" s="117">
        <v>13.2</v>
      </c>
      <c r="K111" s="117">
        <v>9.6</v>
      </c>
      <c r="L111" s="117">
        <v>2.4</v>
      </c>
      <c r="M111" s="117">
        <v>2.7</v>
      </c>
      <c r="N111" s="117">
        <v>13</v>
      </c>
      <c r="O111" s="117">
        <v>17</v>
      </c>
      <c r="P111" s="117">
        <v>20</v>
      </c>
      <c r="Q111" s="117">
        <v>20.399999999999999</v>
      </c>
      <c r="R111" s="117">
        <v>23.5</v>
      </c>
      <c r="S111" s="117">
        <v>21.2</v>
      </c>
      <c r="T111" s="117">
        <v>25</v>
      </c>
      <c r="U111" s="117"/>
      <c r="V111" s="117">
        <v>12</v>
      </c>
      <c r="W111" s="117">
        <v>5.7</v>
      </c>
      <c r="X111" s="117">
        <v>6.1</v>
      </c>
      <c r="Y111" s="117">
        <v>21.5</v>
      </c>
      <c r="Z111" s="117">
        <v>21.5</v>
      </c>
      <c r="AA111" s="117">
        <v>28.5</v>
      </c>
      <c r="AB111" s="117">
        <v>27.1</v>
      </c>
      <c r="AC111" s="117">
        <v>26</v>
      </c>
      <c r="AD111" s="117">
        <v>19</v>
      </c>
      <c r="AE111" s="117">
        <v>22</v>
      </c>
      <c r="AF111" s="117">
        <v>32</v>
      </c>
      <c r="AG111" s="119"/>
      <c r="AH111" s="47">
        <f t="shared" si="8"/>
        <v>36.299999999999997</v>
      </c>
      <c r="AI111" s="48">
        <f t="shared" si="9"/>
        <v>2.4</v>
      </c>
    </row>
    <row r="112" spans="1:35" x14ac:dyDescent="0.25">
      <c r="A112" s="120" t="s">
        <v>120</v>
      </c>
      <c r="B112" s="106">
        <v>10.8</v>
      </c>
      <c r="C112" s="106">
        <v>23.7</v>
      </c>
      <c r="D112" s="106">
        <v>37.299999999999997</v>
      </c>
      <c r="E112" s="106">
        <v>42.2</v>
      </c>
      <c r="F112" s="106">
        <v>38.5</v>
      </c>
      <c r="G112" s="106">
        <v>36</v>
      </c>
      <c r="H112" s="106">
        <v>15.8</v>
      </c>
      <c r="I112" s="106">
        <v>6</v>
      </c>
      <c r="J112" s="106">
        <v>15.2</v>
      </c>
      <c r="K112" s="106">
        <v>-22.1</v>
      </c>
      <c r="L112" s="106">
        <v>31.6</v>
      </c>
      <c r="M112" s="106">
        <v>-38.1</v>
      </c>
      <c r="N112" s="106">
        <v>-23</v>
      </c>
      <c r="O112" s="106">
        <v>-6.9</v>
      </c>
      <c r="P112" s="106">
        <v>-3.2</v>
      </c>
      <c r="Q112" s="106">
        <v>6.3</v>
      </c>
      <c r="R112" s="106">
        <v>9.1999999999999993</v>
      </c>
      <c r="S112" s="106">
        <v>4</v>
      </c>
      <c r="T112" s="106">
        <v>6</v>
      </c>
      <c r="U112" s="106">
        <v>-1.2</v>
      </c>
      <c r="V112" s="106">
        <v>-18</v>
      </c>
      <c r="W112" s="106">
        <v>-29</v>
      </c>
      <c r="X112" s="106">
        <v>-38</v>
      </c>
      <c r="Y112" s="106">
        <v>-35</v>
      </c>
      <c r="Z112" s="106">
        <v>-35</v>
      </c>
      <c r="AA112" s="106">
        <v>-24</v>
      </c>
      <c r="AB112" s="106">
        <v>-17.899999999999999</v>
      </c>
      <c r="AC112" s="106">
        <v>16.5</v>
      </c>
      <c r="AD112" s="106">
        <v>9</v>
      </c>
      <c r="AE112" s="106">
        <v>3</v>
      </c>
      <c r="AF112" s="106">
        <v>21</v>
      </c>
      <c r="AG112" s="119"/>
      <c r="AH112" s="47">
        <f t="shared" si="8"/>
        <v>42.2</v>
      </c>
      <c r="AI112" s="48">
        <f t="shared" si="9"/>
        <v>-38.1</v>
      </c>
    </row>
    <row r="113" spans="1:37" ht="15.75" thickBot="1" x14ac:dyDescent="0.3">
      <c r="A113" s="120" t="s">
        <v>121</v>
      </c>
      <c r="B113" s="106">
        <v>7</v>
      </c>
      <c r="C113" s="106">
        <v>7.1</v>
      </c>
      <c r="D113" s="106">
        <v>14.4</v>
      </c>
      <c r="E113" s="106">
        <v>14.5</v>
      </c>
      <c r="F113" s="106">
        <v>12.1</v>
      </c>
      <c r="G113" s="106">
        <v>12</v>
      </c>
      <c r="H113" s="106">
        <v>11.8</v>
      </c>
      <c r="I113" s="106">
        <v>9.8000000000000007</v>
      </c>
      <c r="J113" s="106">
        <v>2.6</v>
      </c>
      <c r="K113" s="106">
        <v>-13.2</v>
      </c>
      <c r="L113" s="106">
        <v>-29.3</v>
      </c>
      <c r="M113" s="106">
        <v>-18</v>
      </c>
      <c r="N113" s="106">
        <v>-32</v>
      </c>
      <c r="O113" s="106">
        <v>-40.799999999999997</v>
      </c>
      <c r="P113" s="106">
        <v>-1.4</v>
      </c>
      <c r="Q113" s="106">
        <v>-2.7</v>
      </c>
      <c r="R113" s="106">
        <v>11.2</v>
      </c>
      <c r="S113" s="106">
        <v>8.3000000000000007</v>
      </c>
      <c r="T113" s="106">
        <v>8</v>
      </c>
      <c r="U113" s="106">
        <v>7.2</v>
      </c>
      <c r="V113" s="106">
        <v>-12</v>
      </c>
      <c r="W113" s="106">
        <v>35.200000000000003</v>
      </c>
      <c r="X113" s="106">
        <v>-51</v>
      </c>
      <c r="Y113" s="106">
        <v>-55</v>
      </c>
      <c r="Z113" s="106">
        <v>-55</v>
      </c>
      <c r="AA113" s="106">
        <v>-57</v>
      </c>
      <c r="AB113" s="106">
        <v>-17.899999999999999</v>
      </c>
      <c r="AC113" s="106">
        <v>-53</v>
      </c>
      <c r="AD113" s="106">
        <v>10</v>
      </c>
      <c r="AE113" s="106">
        <v>-2</v>
      </c>
      <c r="AF113" s="106">
        <v>20</v>
      </c>
      <c r="AG113" s="119"/>
      <c r="AH113" s="47">
        <f t="shared" si="8"/>
        <v>35.200000000000003</v>
      </c>
      <c r="AI113" s="48">
        <f t="shared" si="9"/>
        <v>-57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6">SUM(B115:B219)</f>
        <v>0</v>
      </c>
      <c r="C220" s="136">
        <f t="shared" si="16"/>
        <v>0</v>
      </c>
      <c r="D220" s="136">
        <f t="shared" si="16"/>
        <v>0</v>
      </c>
      <c r="E220" s="136">
        <f t="shared" si="16"/>
        <v>0</v>
      </c>
      <c r="F220" s="136">
        <f t="shared" si="16"/>
        <v>0</v>
      </c>
      <c r="G220" s="136">
        <f t="shared" si="16"/>
        <v>0</v>
      </c>
      <c r="H220" s="136">
        <f t="shared" si="16"/>
        <v>0</v>
      </c>
      <c r="I220" s="136">
        <f t="shared" si="16"/>
        <v>0</v>
      </c>
      <c r="J220" s="136">
        <f t="shared" si="16"/>
        <v>0</v>
      </c>
      <c r="K220" s="136">
        <f t="shared" si="16"/>
        <v>0</v>
      </c>
      <c r="L220" s="136">
        <f t="shared" si="16"/>
        <v>0</v>
      </c>
      <c r="M220" s="136">
        <f t="shared" si="16"/>
        <v>0</v>
      </c>
      <c r="N220" s="136">
        <f t="shared" si="16"/>
        <v>0</v>
      </c>
      <c r="O220" s="136">
        <f t="shared" si="16"/>
        <v>0</v>
      </c>
      <c r="P220" s="136">
        <f t="shared" si="16"/>
        <v>0</v>
      </c>
      <c r="Q220" s="136">
        <f t="shared" si="16"/>
        <v>0</v>
      </c>
      <c r="R220" s="136">
        <f t="shared" si="16"/>
        <v>0</v>
      </c>
      <c r="S220" s="136">
        <f t="shared" si="16"/>
        <v>0</v>
      </c>
      <c r="T220" s="136">
        <f t="shared" si="16"/>
        <v>0</v>
      </c>
      <c r="U220" s="136">
        <f t="shared" si="16"/>
        <v>0</v>
      </c>
      <c r="V220" s="136">
        <f t="shared" si="16"/>
        <v>0</v>
      </c>
      <c r="W220" s="136">
        <f t="shared" si="16"/>
        <v>0</v>
      </c>
      <c r="X220" s="136">
        <f t="shared" si="16"/>
        <v>0</v>
      </c>
      <c r="Y220" s="136">
        <f t="shared" si="16"/>
        <v>0</v>
      </c>
      <c r="Z220" s="136">
        <f t="shared" si="16"/>
        <v>0</v>
      </c>
      <c r="AA220" s="136">
        <f t="shared" si="16"/>
        <v>0</v>
      </c>
      <c r="AB220" s="136">
        <f t="shared" si="16"/>
        <v>0</v>
      </c>
      <c r="AC220" s="136">
        <f t="shared" si="16"/>
        <v>0</v>
      </c>
      <c r="AD220" s="136">
        <f t="shared" si="16"/>
        <v>0</v>
      </c>
      <c r="AE220" s="136">
        <f t="shared" si="16"/>
        <v>0</v>
      </c>
      <c r="AF220" s="137">
        <f t="shared" si="16"/>
        <v>0</v>
      </c>
      <c r="AG220" s="138">
        <f t="shared" si="16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7">AF222</f>
        <v>0</v>
      </c>
      <c r="C222" s="140">
        <v>0.3</v>
      </c>
      <c r="D222" s="140">
        <f t="shared" ref="D222:P227" si="18">C222</f>
        <v>0.3</v>
      </c>
      <c r="E222" s="140">
        <f t="shared" si="18"/>
        <v>0.3</v>
      </c>
      <c r="F222" s="140">
        <f t="shared" si="18"/>
        <v>0.3</v>
      </c>
      <c r="G222" s="140">
        <f t="shared" si="18"/>
        <v>0.3</v>
      </c>
      <c r="H222" s="140">
        <f t="shared" si="18"/>
        <v>0.3</v>
      </c>
      <c r="I222" s="140">
        <f t="shared" si="18"/>
        <v>0.3</v>
      </c>
      <c r="J222" s="140">
        <f t="shared" si="18"/>
        <v>0.3</v>
      </c>
      <c r="K222" s="140">
        <f t="shared" si="18"/>
        <v>0.3</v>
      </c>
      <c r="L222" s="140">
        <f t="shared" si="18"/>
        <v>0.3</v>
      </c>
      <c r="M222" s="140">
        <f t="shared" si="18"/>
        <v>0.3</v>
      </c>
      <c r="N222" s="140">
        <f t="shared" si="18"/>
        <v>0.3</v>
      </c>
      <c r="O222" s="140">
        <f t="shared" si="18"/>
        <v>0.3</v>
      </c>
      <c r="P222" s="140">
        <f t="shared" si="18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7"/>
        <v>0</v>
      </c>
      <c r="C223" s="128">
        <v>0.4</v>
      </c>
      <c r="D223" s="128">
        <f t="shared" si="18"/>
        <v>0.4</v>
      </c>
      <c r="E223" s="128">
        <f t="shared" si="18"/>
        <v>0.4</v>
      </c>
      <c r="F223" s="128">
        <f t="shared" si="18"/>
        <v>0.4</v>
      </c>
      <c r="G223" s="128">
        <f t="shared" si="18"/>
        <v>0.4</v>
      </c>
      <c r="H223" s="128">
        <f t="shared" si="18"/>
        <v>0.4</v>
      </c>
      <c r="I223" s="128">
        <f t="shared" si="18"/>
        <v>0.4</v>
      </c>
      <c r="J223" s="128">
        <f t="shared" si="18"/>
        <v>0.4</v>
      </c>
      <c r="K223" s="128">
        <f t="shared" si="18"/>
        <v>0.4</v>
      </c>
      <c r="L223" s="128">
        <f t="shared" si="18"/>
        <v>0.4</v>
      </c>
      <c r="M223" s="128">
        <f t="shared" si="18"/>
        <v>0.4</v>
      </c>
      <c r="N223" s="128">
        <f t="shared" si="18"/>
        <v>0.4</v>
      </c>
      <c r="O223" s="128">
        <f t="shared" si="18"/>
        <v>0.4</v>
      </c>
      <c r="P223" s="128">
        <f t="shared" si="18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7"/>
        <v>0</v>
      </c>
      <c r="C224" s="128">
        <v>1.5</v>
      </c>
      <c r="D224" s="128">
        <f t="shared" si="18"/>
        <v>1.5</v>
      </c>
      <c r="E224" s="128">
        <f t="shared" si="18"/>
        <v>1.5</v>
      </c>
      <c r="F224" s="128">
        <f t="shared" si="18"/>
        <v>1.5</v>
      </c>
      <c r="G224" s="128">
        <f t="shared" si="18"/>
        <v>1.5</v>
      </c>
      <c r="H224" s="128">
        <f t="shared" si="18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18"/>
        <v>1.5</v>
      </c>
      <c r="K224" s="128">
        <f t="shared" ca="1" si="18"/>
        <v>1.5</v>
      </c>
      <c r="L224" s="128">
        <f t="shared" ca="1" si="18"/>
        <v>1.5</v>
      </c>
      <c r="M224" s="128">
        <f t="shared" ca="1" si="18"/>
        <v>1.5</v>
      </c>
      <c r="N224" s="128">
        <f t="shared" ca="1" si="18"/>
        <v>1.5</v>
      </c>
      <c r="O224" s="128">
        <f t="shared" ca="1" si="18"/>
        <v>1.5</v>
      </c>
      <c r="P224" s="128">
        <f t="shared" ca="1" si="18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7"/>
        <v>0</v>
      </c>
      <c r="C225" s="128">
        <v>0.3</v>
      </c>
      <c r="D225" s="128">
        <f t="shared" si="18"/>
        <v>0.3</v>
      </c>
      <c r="E225" s="128">
        <f t="shared" si="18"/>
        <v>0.3</v>
      </c>
      <c r="F225" s="128">
        <f t="shared" si="18"/>
        <v>0.3</v>
      </c>
      <c r="G225" s="128">
        <f t="shared" si="18"/>
        <v>0.3</v>
      </c>
      <c r="H225" s="128">
        <f t="shared" si="18"/>
        <v>0.3</v>
      </c>
      <c r="I225" s="128">
        <f t="shared" si="18"/>
        <v>0.3</v>
      </c>
      <c r="J225" s="128">
        <f t="shared" si="18"/>
        <v>0.3</v>
      </c>
      <c r="K225" s="128">
        <f t="shared" si="18"/>
        <v>0.3</v>
      </c>
      <c r="L225" s="128">
        <f t="shared" si="18"/>
        <v>0.3</v>
      </c>
      <c r="M225" s="128">
        <f t="shared" si="18"/>
        <v>0.3</v>
      </c>
      <c r="N225" s="128">
        <f t="shared" si="18"/>
        <v>0.3</v>
      </c>
      <c r="O225" s="128">
        <f t="shared" si="18"/>
        <v>0.3</v>
      </c>
      <c r="P225" s="128">
        <f t="shared" si="18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7"/>
        <v>0</v>
      </c>
      <c r="C226" s="128">
        <v>0.4</v>
      </c>
      <c r="D226" s="128">
        <f t="shared" si="18"/>
        <v>0.4</v>
      </c>
      <c r="E226" s="128">
        <f t="shared" si="18"/>
        <v>0.4</v>
      </c>
      <c r="F226" s="128">
        <f t="shared" si="18"/>
        <v>0.4</v>
      </c>
      <c r="G226" s="128">
        <f t="shared" si="18"/>
        <v>0.4</v>
      </c>
      <c r="H226" s="128">
        <f t="shared" si="18"/>
        <v>0.4</v>
      </c>
      <c r="I226" s="128">
        <f t="shared" si="18"/>
        <v>0.4</v>
      </c>
      <c r="J226" s="128">
        <f t="shared" si="18"/>
        <v>0.4</v>
      </c>
      <c r="K226" s="128">
        <f t="shared" si="18"/>
        <v>0.4</v>
      </c>
      <c r="L226" s="128">
        <f t="shared" si="18"/>
        <v>0.4</v>
      </c>
      <c r="M226" s="128">
        <f t="shared" si="18"/>
        <v>0.4</v>
      </c>
      <c r="N226" s="128">
        <f t="shared" si="18"/>
        <v>0.4</v>
      </c>
      <c r="O226" s="128">
        <f t="shared" si="18"/>
        <v>0.4</v>
      </c>
      <c r="P226" s="128">
        <f t="shared" si="18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7"/>
        <v>0</v>
      </c>
      <c r="C227" s="132">
        <v>0.64</v>
      </c>
      <c r="D227" s="132">
        <f t="shared" si="18"/>
        <v>0.64</v>
      </c>
      <c r="E227" s="132">
        <f t="shared" si="18"/>
        <v>0.64</v>
      </c>
      <c r="F227" s="132">
        <f t="shared" si="18"/>
        <v>0.64</v>
      </c>
      <c r="G227" s="132">
        <f t="shared" si="18"/>
        <v>0.64</v>
      </c>
      <c r="H227" s="132">
        <f t="shared" si="18"/>
        <v>0.64</v>
      </c>
      <c r="I227" s="132">
        <f t="shared" si="18"/>
        <v>0.64</v>
      </c>
      <c r="J227" s="132">
        <f t="shared" si="18"/>
        <v>0.64</v>
      </c>
      <c r="K227" s="132">
        <f t="shared" si="18"/>
        <v>0.64</v>
      </c>
      <c r="L227" s="132">
        <f t="shared" si="18"/>
        <v>0.64</v>
      </c>
      <c r="M227" s="132">
        <f t="shared" si="18"/>
        <v>0.64</v>
      </c>
      <c r="N227" s="132">
        <f t="shared" si="18"/>
        <v>0.64</v>
      </c>
      <c r="O227" s="132">
        <f t="shared" si="18"/>
        <v>0.64</v>
      </c>
      <c r="P227" s="132">
        <f t="shared" si="18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19">SUM(B222:B227)</f>
        <v>0</v>
      </c>
      <c r="C228" s="136">
        <f t="shared" si="19"/>
        <v>3.54</v>
      </c>
      <c r="D228" s="136">
        <f t="shared" si="19"/>
        <v>3.54</v>
      </c>
      <c r="E228" s="136">
        <f t="shared" si="19"/>
        <v>3.54</v>
      </c>
      <c r="F228" s="136">
        <f t="shared" si="19"/>
        <v>3.54</v>
      </c>
      <c r="G228" s="136">
        <f t="shared" si="19"/>
        <v>3.54</v>
      </c>
      <c r="H228" s="136">
        <f t="shared" si="19"/>
        <v>3.54</v>
      </c>
      <c r="I228" s="136">
        <f t="shared" ca="1" si="19"/>
        <v>3.54</v>
      </c>
      <c r="J228" s="136">
        <f t="shared" ca="1" si="19"/>
        <v>3.54</v>
      </c>
      <c r="K228" s="136">
        <f t="shared" ca="1" si="19"/>
        <v>3.54</v>
      </c>
      <c r="L228" s="136">
        <f t="shared" ca="1" si="19"/>
        <v>3.54</v>
      </c>
      <c r="M228" s="136">
        <f t="shared" ca="1" si="19"/>
        <v>3.54</v>
      </c>
      <c r="N228" s="136">
        <f t="shared" ca="1" si="19"/>
        <v>3.54</v>
      </c>
      <c r="O228" s="136">
        <f t="shared" ca="1" si="19"/>
        <v>3.54</v>
      </c>
      <c r="P228" s="136">
        <f t="shared" ca="1" si="19"/>
        <v>3.54</v>
      </c>
      <c r="Q228" s="136">
        <f t="shared" si="19"/>
        <v>0</v>
      </c>
      <c r="R228" s="136">
        <f t="shared" si="19"/>
        <v>0</v>
      </c>
      <c r="S228" s="136">
        <f t="shared" si="19"/>
        <v>0</v>
      </c>
      <c r="T228" s="136">
        <f t="shared" si="19"/>
        <v>0</v>
      </c>
      <c r="U228" s="136">
        <f t="shared" si="19"/>
        <v>0</v>
      </c>
      <c r="V228" s="136">
        <f t="shared" si="19"/>
        <v>0</v>
      </c>
      <c r="W228" s="136">
        <f t="shared" si="19"/>
        <v>0</v>
      </c>
      <c r="X228" s="136">
        <f t="shared" si="19"/>
        <v>0</v>
      </c>
      <c r="Y228" s="136">
        <f t="shared" si="19"/>
        <v>0</v>
      </c>
      <c r="Z228" s="136">
        <f t="shared" si="19"/>
        <v>0</v>
      </c>
      <c r="AA228" s="136">
        <f t="shared" si="19"/>
        <v>0</v>
      </c>
      <c r="AB228" s="136">
        <f t="shared" si="19"/>
        <v>0</v>
      </c>
      <c r="AC228" s="136">
        <f t="shared" si="19"/>
        <v>0</v>
      </c>
      <c r="AD228" s="136">
        <f t="shared" si="19"/>
        <v>0</v>
      </c>
      <c r="AE228" s="136">
        <f t="shared" si="19"/>
        <v>0</v>
      </c>
      <c r="AF228" s="136">
        <f t="shared" si="19"/>
        <v>0</v>
      </c>
      <c r="AG228" s="145">
        <f t="shared" si="19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1733.74</v>
      </c>
      <c r="C237" s="161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5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str">
        <f ca="1">"Pie Chart of Daily Peak Demand(Inclusive of Export) of Nepal ("&amp;A4&amp;" "&amp;B4&amp;")"</f>
        <v>Pie Chart of Daily Peak Demand(Inclusive of Export) of Nepal (Nepali Date: 2079/09/5)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2079/09/5)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0">B85</f>
        <v>1075.04</v>
      </c>
      <c r="U242" s="170">
        <f t="shared" si="20"/>
        <v>1092.24</v>
      </c>
      <c r="V242" s="170">
        <f t="shared" si="20"/>
        <v>1085.54</v>
      </c>
      <c r="W242" s="170">
        <f t="shared" si="20"/>
        <v>1088.24</v>
      </c>
      <c r="X242" s="170">
        <f t="shared" si="20"/>
        <v>1095.94</v>
      </c>
      <c r="Y242" s="170">
        <f t="shared" si="20"/>
        <v>1133.54</v>
      </c>
      <c r="Z242" s="170">
        <f t="shared" si="20"/>
        <v>1228.94</v>
      </c>
      <c r="AA242" s="170">
        <f t="shared" si="20"/>
        <v>1263.1399999999999</v>
      </c>
      <c r="AB242" s="170">
        <f t="shared" si="20"/>
        <v>1356.34</v>
      </c>
      <c r="AC242" s="170">
        <f t="shared" si="20"/>
        <v>1559.84</v>
      </c>
      <c r="AD242" s="170">
        <f t="shared" si="20"/>
        <v>1684.2399999999998</v>
      </c>
      <c r="AE242" s="170">
        <f t="shared" si="20"/>
        <v>1733.74</v>
      </c>
      <c r="AF242" s="170">
        <f t="shared" si="20"/>
        <v>1688.44</v>
      </c>
      <c r="AG242" s="170">
        <f t="shared" si="20"/>
        <v>1551.84</v>
      </c>
      <c r="AH242" s="170">
        <f t="shared" si="20"/>
        <v>1387.9399999999998</v>
      </c>
      <c r="AI242" s="170">
        <f t="shared" si="20"/>
        <v>1438.94</v>
      </c>
      <c r="AJ242" s="170">
        <f t="shared" si="20"/>
        <v>1423.24</v>
      </c>
      <c r="AK242" s="170">
        <f t="shared" si="20"/>
        <v>1388.6399999999999</v>
      </c>
      <c r="AL242" s="170">
        <f t="shared" si="20"/>
        <v>1438.6399999999999</v>
      </c>
      <c r="AM242" s="170">
        <f t="shared" si="20"/>
        <v>1429.44</v>
      </c>
      <c r="AN242" s="170">
        <f t="shared" si="20"/>
        <v>1364.74</v>
      </c>
      <c r="AO242" s="170">
        <f t="shared" si="20"/>
        <v>1573.74</v>
      </c>
      <c r="AP242" s="170">
        <f t="shared" si="20"/>
        <v>1738.94</v>
      </c>
      <c r="AQ242" s="170">
        <f t="shared" si="20"/>
        <v>1705.34</v>
      </c>
      <c r="AR242" s="170">
        <f t="shared" si="20"/>
        <v>1662.6399999999999</v>
      </c>
      <c r="AS242" s="170">
        <f t="shared" si="20"/>
        <v>1665.24</v>
      </c>
      <c r="AT242" s="170">
        <f t="shared" si="20"/>
        <v>1621.14</v>
      </c>
      <c r="AU242" s="170">
        <f t="shared" si="20"/>
        <v>1535.4399999999998</v>
      </c>
      <c r="AV242" s="170">
        <f t="shared" si="20"/>
        <v>1416.1399999999999</v>
      </c>
      <c r="AW242" s="170">
        <f t="shared" si="20"/>
        <v>1318.04</v>
      </c>
      <c r="AX242" s="170">
        <f t="shared" si="20"/>
        <v>1220.04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1">C227</f>
        <v>0.64</v>
      </c>
      <c r="C263" s="173">
        <f t="shared" si="21"/>
        <v>0.64</v>
      </c>
      <c r="D263" s="173">
        <f t="shared" si="21"/>
        <v>0.64</v>
      </c>
      <c r="E263" s="173">
        <f t="shared" si="21"/>
        <v>0.64</v>
      </c>
      <c r="F263" s="173">
        <f t="shared" si="21"/>
        <v>0.64</v>
      </c>
      <c r="G263" s="173">
        <f t="shared" si="21"/>
        <v>0.64</v>
      </c>
      <c r="H263" s="173">
        <f t="shared" si="21"/>
        <v>0.64</v>
      </c>
      <c r="I263" s="173">
        <f t="shared" si="21"/>
        <v>0.64</v>
      </c>
      <c r="J263" s="173">
        <f t="shared" si="21"/>
        <v>0.64</v>
      </c>
      <c r="K263" s="173">
        <f t="shared" si="21"/>
        <v>0.64</v>
      </c>
      <c r="L263" s="173">
        <f t="shared" si="21"/>
        <v>0.64</v>
      </c>
      <c r="M263" s="173">
        <f t="shared" si="21"/>
        <v>0.64</v>
      </c>
      <c r="N263" s="173">
        <f t="shared" si="21"/>
        <v>0.64</v>
      </c>
      <c r="O263" s="173">
        <f t="shared" si="21"/>
        <v>0.64</v>
      </c>
      <c r="P263" s="173">
        <f t="shared" si="21"/>
        <v>0</v>
      </c>
      <c r="Q263" s="173">
        <f t="shared" si="21"/>
        <v>0</v>
      </c>
      <c r="R263" s="173">
        <f t="shared" si="21"/>
        <v>0</v>
      </c>
      <c r="S263" s="173">
        <f t="shared" si="21"/>
        <v>0</v>
      </c>
      <c r="T263" s="173">
        <f t="shared" si="21"/>
        <v>0</v>
      </c>
      <c r="U263" s="173">
        <f t="shared" si="21"/>
        <v>0</v>
      </c>
      <c r="V263" s="173">
        <f t="shared" si="21"/>
        <v>0</v>
      </c>
      <c r="W263" s="173">
        <f t="shared" si="21"/>
        <v>0</v>
      </c>
      <c r="X263" s="173">
        <f t="shared" si="21"/>
        <v>0</v>
      </c>
      <c r="Y263" s="173">
        <f t="shared" si="21"/>
        <v>0</v>
      </c>
      <c r="Z263" s="173">
        <f t="shared" si="21"/>
        <v>0</v>
      </c>
      <c r="AA263" s="173">
        <f t="shared" si="21"/>
        <v>0</v>
      </c>
      <c r="AB263" s="173">
        <f t="shared" si="21"/>
        <v>0</v>
      </c>
      <c r="AC263" s="173">
        <f t="shared" si="21"/>
        <v>0</v>
      </c>
      <c r="AD263" s="173">
        <f t="shared" si="21"/>
        <v>0</v>
      </c>
      <c r="AE263" s="173">
        <f t="shared" si="21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2">IF(B231&lt;100,"",B231-520)</f>
        <v/>
      </c>
      <c r="C264" s="174" t="str">
        <f t="shared" si="22"/>
        <v/>
      </c>
      <c r="D264" s="174" t="str">
        <f t="shared" si="22"/>
        <v/>
      </c>
      <c r="E264" s="174" t="str">
        <f t="shared" si="22"/>
        <v/>
      </c>
      <c r="F264" s="174" t="str">
        <f t="shared" si="22"/>
        <v/>
      </c>
      <c r="G264" s="174" t="str">
        <f t="shared" si="22"/>
        <v/>
      </c>
      <c r="H264" s="174" t="str">
        <f t="shared" si="22"/>
        <v/>
      </c>
      <c r="I264" s="174" t="str">
        <f t="shared" si="22"/>
        <v/>
      </c>
      <c r="J264" s="174" t="str">
        <f t="shared" si="22"/>
        <v/>
      </c>
      <c r="K264" s="174" t="str">
        <f t="shared" si="22"/>
        <v/>
      </c>
      <c r="L264" s="174" t="str">
        <f t="shared" si="22"/>
        <v/>
      </c>
      <c r="M264" s="174" t="str">
        <f t="shared" si="22"/>
        <v/>
      </c>
      <c r="N264" s="174" t="str">
        <f t="shared" si="22"/>
        <v/>
      </c>
      <c r="O264" s="174" t="str">
        <f t="shared" si="22"/>
        <v/>
      </c>
      <c r="P264" s="174" t="str">
        <f t="shared" si="22"/>
        <v/>
      </c>
      <c r="Q264" s="174" t="str">
        <f t="shared" si="22"/>
        <v/>
      </c>
      <c r="R264" s="174" t="str">
        <f t="shared" si="22"/>
        <v/>
      </c>
      <c r="S264" s="174" t="str">
        <f t="shared" si="22"/>
        <v/>
      </c>
      <c r="T264" s="174" t="str">
        <f t="shared" si="22"/>
        <v/>
      </c>
      <c r="U264" s="174" t="str">
        <f t="shared" si="22"/>
        <v/>
      </c>
      <c r="V264" s="174" t="str">
        <f t="shared" si="22"/>
        <v/>
      </c>
      <c r="W264" s="174" t="str">
        <f t="shared" si="22"/>
        <v/>
      </c>
      <c r="X264" s="174" t="str">
        <f t="shared" si="22"/>
        <v/>
      </c>
      <c r="Y264" s="174" t="str">
        <f t="shared" si="22"/>
        <v/>
      </c>
      <c r="Z264" s="174" t="str">
        <f t="shared" si="22"/>
        <v/>
      </c>
      <c r="AA264" s="174" t="str">
        <f t="shared" si="22"/>
        <v/>
      </c>
      <c r="AB264" s="174" t="str">
        <f t="shared" si="22"/>
        <v/>
      </c>
      <c r="AC264" s="174" t="str">
        <f t="shared" si="22"/>
        <v/>
      </c>
      <c r="AD264" s="174" t="str">
        <f t="shared" si="22"/>
        <v/>
      </c>
      <c r="AE264" s="174" t="str">
        <f t="shared" si="22"/>
        <v/>
      </c>
      <c r="AF264" s="174" t="str">
        <f t="shared" si="22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3">IF(B232&lt;100,"",B232-620)</f>
        <v/>
      </c>
      <c r="C265" s="174" t="str">
        <f t="shared" si="23"/>
        <v/>
      </c>
      <c r="D265" s="174" t="str">
        <f t="shared" si="23"/>
        <v/>
      </c>
      <c r="E265" s="174" t="str">
        <f t="shared" si="23"/>
        <v/>
      </c>
      <c r="F265" s="174" t="str">
        <f t="shared" si="23"/>
        <v/>
      </c>
      <c r="G265" s="174" t="str">
        <f t="shared" si="23"/>
        <v/>
      </c>
      <c r="H265" s="174" t="str">
        <f t="shared" si="23"/>
        <v/>
      </c>
      <c r="I265" s="174" t="str">
        <f t="shared" si="23"/>
        <v/>
      </c>
      <c r="J265" s="174" t="str">
        <f t="shared" si="23"/>
        <v/>
      </c>
      <c r="K265" s="174" t="str">
        <f t="shared" si="23"/>
        <v/>
      </c>
      <c r="L265" s="174" t="str">
        <f t="shared" si="23"/>
        <v/>
      </c>
      <c r="M265" s="174" t="str">
        <f t="shared" si="23"/>
        <v/>
      </c>
      <c r="N265" s="174" t="str">
        <f t="shared" si="23"/>
        <v/>
      </c>
      <c r="O265" s="174" t="str">
        <f t="shared" si="23"/>
        <v/>
      </c>
      <c r="P265" s="174" t="str">
        <f t="shared" si="23"/>
        <v/>
      </c>
      <c r="Q265" s="174" t="str">
        <f t="shared" si="23"/>
        <v/>
      </c>
      <c r="R265" s="174" t="str">
        <f t="shared" si="23"/>
        <v/>
      </c>
      <c r="S265" s="174" t="str">
        <f t="shared" si="23"/>
        <v/>
      </c>
      <c r="T265" s="174" t="str">
        <f t="shared" si="23"/>
        <v/>
      </c>
      <c r="U265" s="174" t="str">
        <f t="shared" si="23"/>
        <v/>
      </c>
      <c r="V265" s="174" t="str">
        <f t="shared" si="23"/>
        <v/>
      </c>
      <c r="W265" s="174" t="str">
        <f t="shared" si="23"/>
        <v/>
      </c>
      <c r="X265" s="174" t="str">
        <f t="shared" si="23"/>
        <v/>
      </c>
      <c r="Y265" s="174" t="str">
        <f t="shared" si="23"/>
        <v/>
      </c>
      <c r="Z265" s="174" t="str">
        <f t="shared" si="23"/>
        <v/>
      </c>
      <c r="AA265" s="174" t="str">
        <f t="shared" si="23"/>
        <v/>
      </c>
      <c r="AB265" s="174" t="str">
        <f t="shared" si="23"/>
        <v/>
      </c>
      <c r="AC265" s="174" t="str">
        <f t="shared" si="23"/>
        <v/>
      </c>
      <c r="AD265" s="174" t="str">
        <f t="shared" si="23"/>
        <v/>
      </c>
      <c r="AE265" s="174" t="str">
        <f t="shared" si="23"/>
        <v/>
      </c>
      <c r="AF265" s="174" t="str">
        <f t="shared" si="23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4">IF(B233&lt;100,"",B233-330)</f>
        <v/>
      </c>
      <c r="C266" s="174" t="str">
        <f t="shared" si="24"/>
        <v/>
      </c>
      <c r="D266" s="174" t="str">
        <f t="shared" si="24"/>
        <v/>
      </c>
      <c r="E266" s="174" t="str">
        <f t="shared" si="24"/>
        <v/>
      </c>
      <c r="F266" s="174" t="str">
        <f t="shared" si="24"/>
        <v/>
      </c>
      <c r="G266" s="174" t="str">
        <f t="shared" si="24"/>
        <v/>
      </c>
      <c r="H266" s="174" t="str">
        <f t="shared" si="24"/>
        <v/>
      </c>
      <c r="I266" s="174" t="str">
        <f t="shared" si="24"/>
        <v/>
      </c>
      <c r="J266" s="174" t="str">
        <f t="shared" si="24"/>
        <v/>
      </c>
      <c r="K266" s="174" t="str">
        <f t="shared" si="24"/>
        <v/>
      </c>
      <c r="L266" s="174" t="str">
        <f t="shared" si="24"/>
        <v/>
      </c>
      <c r="M266" s="174" t="str">
        <f t="shared" si="24"/>
        <v/>
      </c>
      <c r="N266" s="174" t="str">
        <f t="shared" si="24"/>
        <v/>
      </c>
      <c r="O266" s="174" t="str">
        <f t="shared" si="24"/>
        <v/>
      </c>
      <c r="P266" s="174" t="str">
        <f t="shared" si="24"/>
        <v/>
      </c>
      <c r="Q266" s="174" t="str">
        <f t="shared" si="24"/>
        <v/>
      </c>
      <c r="R266" s="174" t="str">
        <f t="shared" si="24"/>
        <v/>
      </c>
      <c r="S266" s="174" t="str">
        <f t="shared" si="24"/>
        <v/>
      </c>
      <c r="T266" s="174" t="str">
        <f t="shared" si="24"/>
        <v/>
      </c>
      <c r="U266" s="174" t="str">
        <f t="shared" si="24"/>
        <v/>
      </c>
      <c r="V266" s="174" t="str">
        <f t="shared" si="24"/>
        <v/>
      </c>
      <c r="W266" s="174" t="str">
        <f t="shared" si="24"/>
        <v/>
      </c>
      <c r="X266" s="174" t="str">
        <f t="shared" si="24"/>
        <v/>
      </c>
      <c r="Y266" s="174" t="str">
        <f t="shared" si="24"/>
        <v/>
      </c>
      <c r="Z266" s="174" t="str">
        <f t="shared" si="24"/>
        <v/>
      </c>
      <c r="AA266" s="174" t="str">
        <f t="shared" si="24"/>
        <v/>
      </c>
      <c r="AB266" s="174" t="str">
        <f t="shared" si="24"/>
        <v/>
      </c>
      <c r="AC266" s="174" t="str">
        <f t="shared" si="24"/>
        <v/>
      </c>
      <c r="AD266" s="174" t="str">
        <f t="shared" si="24"/>
        <v/>
      </c>
      <c r="AE266" s="174" t="str">
        <f t="shared" si="24"/>
        <v/>
      </c>
      <c r="AF266" s="174" t="str">
        <f t="shared" si="24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5">IF(B234&lt;100,"",B234-1500)</f>
        <v/>
      </c>
      <c r="C267" s="174" t="str">
        <f t="shared" si="25"/>
        <v/>
      </c>
      <c r="D267" s="174" t="str">
        <f t="shared" si="25"/>
        <v/>
      </c>
      <c r="E267" s="174" t="str">
        <f t="shared" si="25"/>
        <v/>
      </c>
      <c r="F267" s="174" t="str">
        <f t="shared" si="25"/>
        <v/>
      </c>
      <c r="G267" s="174" t="str">
        <f t="shared" si="25"/>
        <v/>
      </c>
      <c r="H267" s="174" t="str">
        <f t="shared" si="25"/>
        <v/>
      </c>
      <c r="I267" s="174" t="str">
        <f t="shared" si="25"/>
        <v/>
      </c>
      <c r="J267" s="174" t="str">
        <f t="shared" si="25"/>
        <v/>
      </c>
      <c r="K267" s="174" t="str">
        <f t="shared" si="25"/>
        <v/>
      </c>
      <c r="L267" s="174" t="str">
        <f t="shared" si="25"/>
        <v/>
      </c>
      <c r="M267" s="174" t="str">
        <f t="shared" si="25"/>
        <v/>
      </c>
      <c r="N267" s="174" t="str">
        <f t="shared" si="25"/>
        <v/>
      </c>
      <c r="O267" s="174" t="str">
        <f t="shared" si="25"/>
        <v/>
      </c>
      <c r="P267" s="174" t="str">
        <f t="shared" si="25"/>
        <v/>
      </c>
      <c r="Q267" s="174" t="str">
        <f t="shared" si="25"/>
        <v/>
      </c>
      <c r="R267" s="174" t="str">
        <f t="shared" si="25"/>
        <v/>
      </c>
      <c r="S267" s="174" t="str">
        <f t="shared" si="25"/>
        <v/>
      </c>
      <c r="T267" s="174" t="str">
        <f t="shared" si="25"/>
        <v/>
      </c>
      <c r="U267" s="174" t="str">
        <f t="shared" si="25"/>
        <v/>
      </c>
      <c r="V267" s="174" t="str">
        <f t="shared" si="25"/>
        <v/>
      </c>
      <c r="W267" s="174" t="str">
        <f t="shared" si="25"/>
        <v/>
      </c>
      <c r="X267" s="174" t="str">
        <f t="shared" si="25"/>
        <v/>
      </c>
      <c r="Y267" s="174" t="str">
        <f t="shared" si="25"/>
        <v/>
      </c>
      <c r="Z267" s="174" t="str">
        <f t="shared" si="25"/>
        <v/>
      </c>
      <c r="AA267" s="174" t="str">
        <f t="shared" si="25"/>
        <v/>
      </c>
      <c r="AB267" s="174" t="str">
        <f t="shared" si="25"/>
        <v/>
      </c>
      <c r="AC267" s="174" t="str">
        <f t="shared" si="25"/>
        <v/>
      </c>
      <c r="AD267" s="174" t="str">
        <f t="shared" si="25"/>
        <v/>
      </c>
      <c r="AE267" s="174" t="str">
        <f t="shared" si="25"/>
        <v/>
      </c>
      <c r="AF267" s="174" t="str">
        <f t="shared" si="25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29">
    <cfRule type="expression" dxfId="567" priority="120">
      <formula>$AH11=0</formula>
    </cfRule>
  </conditionalFormatting>
  <conditionalFormatting sqref="B8 M8 S8 AB8">
    <cfRule type="expression" dxfId="566" priority="242">
      <formula>AND(C$9&gt;=8/24,C$9&lt;14/24)</formula>
    </cfRule>
    <cfRule type="expression" dxfId="565" priority="241">
      <formula>AND(C$9&gt;=14/24,C$9&lt;20/24)</formula>
    </cfRule>
    <cfRule type="expression" dxfId="564" priority="243">
      <formula>C$9&lt;8/24</formula>
    </cfRule>
  </conditionalFormatting>
  <conditionalFormatting sqref="B67:D72 W70:AB70 E70:V72 W71:AF72">
    <cfRule type="expression" dxfId="559" priority="89">
      <formula>B$9&lt;8/24</formula>
    </cfRule>
  </conditionalFormatting>
  <conditionalFormatting sqref="B68:D72 W70:AB70 E70:V72 W71:AF72">
    <cfRule type="expression" dxfId="558" priority="88">
      <formula>AND(B$9&gt;=8/24,B$9&lt;14/24)</formula>
    </cfRule>
    <cfRule type="expression" dxfId="557" priority="87">
      <formula>AND(B$9&gt;=14/24,B$9&lt;20/24)</formula>
    </cfRule>
    <cfRule type="expression" dxfId="556" priority="86">
      <formula>B$9&gt;=20/24</formula>
    </cfRule>
  </conditionalFormatting>
  <conditionalFormatting sqref="B49:L51">
    <cfRule type="expression" dxfId="555" priority="94">
      <formula>B$9&lt;8/24</formula>
    </cfRule>
    <cfRule type="expression" dxfId="554" priority="93">
      <formula>AND(B$9&gt;=8/24,B$9&lt;14/24)</formula>
    </cfRule>
    <cfRule type="expression" dxfId="553" priority="91">
      <formula>B$9&gt;=20/24</formula>
    </cfRule>
    <cfRule type="expression" dxfId="552" priority="92">
      <formula>AND(B$9&gt;=14/24,B$9&lt;20/24)</formula>
    </cfRule>
  </conditionalFormatting>
  <conditionalFormatting sqref="B54:Q54">
    <cfRule type="expression" dxfId="551" priority="84">
      <formula>B$9&lt;8/24</formula>
    </cfRule>
    <cfRule type="expression" dxfId="550" priority="83">
      <formula>AND(B$9&gt;=8/24,B$9&lt;14/24)</formula>
    </cfRule>
    <cfRule type="expression" dxfId="549" priority="82">
      <formula>AND(B$9&gt;=14/24,B$9&lt;20/24)</formula>
    </cfRule>
    <cfRule type="expression" dxfId="548" priority="81">
      <formula>B$9&gt;=20/24</formula>
    </cfRule>
  </conditionalFormatting>
  <conditionalFormatting sqref="B11:W11">
    <cfRule type="expression" dxfId="547" priority="22">
      <formula>B$9&gt;=20/24</formula>
    </cfRule>
    <cfRule type="expression" dxfId="546" priority="23">
      <formula>AND(B$9&gt;=14/24,B$9&lt;20/24)</formula>
    </cfRule>
    <cfRule type="expression" dxfId="545" priority="24">
      <formula>AND(B$9&gt;=8/24,B$9&lt;14/24)</formula>
    </cfRule>
    <cfRule type="expression" dxfId="544" priority="25">
      <formula>B$9&lt;8/24</formula>
    </cfRule>
  </conditionalFormatting>
  <conditionalFormatting sqref="B12:W14">
    <cfRule type="expression" dxfId="543" priority="17">
      <formula>B$9&gt;=20/24</formula>
    </cfRule>
    <cfRule type="expression" dxfId="542" priority="18">
      <formula>AND(B$9&gt;=14/24,B$9&lt;20/24)</formula>
    </cfRule>
    <cfRule type="expression" dxfId="541" priority="19">
      <formula>AND(B$9&gt;=8/24,B$9&lt;14/24)</formula>
    </cfRule>
    <cfRule type="expression" dxfId="540" priority="20">
      <formula>B$9&lt;8/24</formula>
    </cfRule>
  </conditionalFormatting>
  <conditionalFormatting sqref="B15:W40">
    <cfRule type="expression" dxfId="539" priority="111">
      <formula>B$9&lt;8/24</formula>
    </cfRule>
    <cfRule type="expression" dxfId="538" priority="110">
      <formula>AND(B$9&gt;=8/24,B$9&lt;14/24)</formula>
    </cfRule>
    <cfRule type="expression" dxfId="537" priority="108">
      <formula>B$9&gt;=20/24</formula>
    </cfRule>
    <cfRule type="expression" dxfId="536" priority="109">
      <formula>AND(B$9&gt;=14/24,B$9&lt;20/24)</formula>
    </cfRule>
  </conditionalFormatting>
  <conditionalFormatting sqref="B41:W41">
    <cfRule type="expression" dxfId="535" priority="16">
      <formula>B$9&lt;8/24</formula>
    </cfRule>
    <cfRule type="expression" dxfId="534" priority="15">
      <formula>AND(B$9&gt;=8/24,B$9&lt;14/24)</formula>
    </cfRule>
    <cfRule type="expression" dxfId="533" priority="13">
      <formula>B$9&gt;=20/24</formula>
    </cfRule>
    <cfRule type="expression" dxfId="532" priority="14">
      <formula>AND(B$9&gt;=14/24,B$9&lt;20/24)</formula>
    </cfRule>
  </conditionalFormatting>
  <conditionalFormatting sqref="B42:W42">
    <cfRule type="expression" dxfId="531" priority="73">
      <formula>AND(B$9&gt;=14/24,B$9&lt;20/24)</formula>
    </cfRule>
    <cfRule type="expression" dxfId="530" priority="72">
      <formula>B$9&gt;=20/24</formula>
    </cfRule>
    <cfRule type="expression" dxfId="529" priority="75">
      <formula>B$9&lt;8/24</formula>
    </cfRule>
    <cfRule type="expression" dxfId="528" priority="74">
      <formula>AND(B$9&gt;=8/24,B$9&lt;14/24)</formula>
    </cfRule>
  </conditionalFormatting>
  <conditionalFormatting sqref="B9:AF10 B220:AF220 D222:AF223 B222:B228 D224:H224 J224:AF224 D225:AF228 U241:AF241">
    <cfRule type="expression" dxfId="527" priority="235">
      <formula>AND(B$9&gt;=14/24,B$9&lt;20/24)</formula>
    </cfRule>
    <cfRule type="expression" dxfId="526" priority="236">
      <formula>AND(B$9&gt;=8/24,B$9&lt;14/24)</formula>
    </cfRule>
    <cfRule type="expression" dxfId="525" priority="234">
      <formula>B$9&gt;=20/24</formula>
    </cfRule>
    <cfRule type="expression" dxfId="524" priority="237">
      <formula>B$9&lt;8/24</formula>
    </cfRule>
  </conditionalFormatting>
  <conditionalFormatting sqref="B11:AF66">
    <cfRule type="expression" dxfId="523" priority="21">
      <formula>B11&gt;$AG11</formula>
    </cfRule>
  </conditionalFormatting>
  <conditionalFormatting sqref="B43:AF43">
    <cfRule type="expression" dxfId="522" priority="105">
      <formula>AND(B$9&gt;=14/24,B$9&lt;20/24)</formula>
    </cfRule>
    <cfRule type="expression" dxfId="521" priority="104">
      <formula>B$9&gt;=20/24</formula>
    </cfRule>
    <cfRule type="expression" dxfId="520" priority="107">
      <formula>B$9&lt;8/24</formula>
    </cfRule>
    <cfRule type="expression" dxfId="519" priority="106">
      <formula>AND(B$9&gt;=8/24,B$9&lt;14/24)</formula>
    </cfRule>
  </conditionalFormatting>
  <conditionalFormatting sqref="B45:AF48">
    <cfRule type="expression" dxfId="518" priority="50">
      <formula>AND(B$9&gt;=14/24,B$9&lt;20/24)</formula>
    </cfRule>
    <cfRule type="expression" dxfId="517" priority="49">
      <formula>B$9&gt;=20/24</formula>
    </cfRule>
    <cfRule type="expression" dxfId="516" priority="51">
      <formula>AND(B$9&gt;=8/24,B$9&lt;14/24)</formula>
    </cfRule>
    <cfRule type="expression" dxfId="515" priority="52">
      <formula>B$9&lt;8/24</formula>
    </cfRule>
  </conditionalFormatting>
  <conditionalFormatting sqref="B55:AF60">
    <cfRule type="expression" dxfId="514" priority="28">
      <formula>B$9&gt;=20/24</formula>
    </cfRule>
    <cfRule type="expression" dxfId="513" priority="29">
      <formula>AND(B$9&gt;=14/24,B$9&lt;20/24)</formula>
    </cfRule>
    <cfRule type="expression" dxfId="512" priority="30">
      <formula>AND(B$9&gt;=8/24,B$9&lt;14/24)</formula>
    </cfRule>
    <cfRule type="expression" dxfId="511" priority="31">
      <formula>B$9&lt;8/24</formula>
    </cfRule>
  </conditionalFormatting>
  <conditionalFormatting sqref="B63:AF66">
    <cfRule type="expression" dxfId="510" priority="70">
      <formula>B$9&lt;8/24</formula>
    </cfRule>
  </conditionalFormatting>
  <conditionalFormatting sqref="B63:AF67">
    <cfRule type="expression" dxfId="509" priority="69">
      <formula>AND(B$9&gt;=8/24,B$9&lt;14/24)</formula>
    </cfRule>
    <cfRule type="expression" dxfId="508" priority="67">
      <formula>B$9&gt;=20/24</formula>
    </cfRule>
    <cfRule type="expression" dxfId="507" priority="68">
      <formula>AND(B$9&gt;=14/24,B$9&lt;20/24)</formula>
    </cfRule>
  </conditionalFormatting>
  <conditionalFormatting sqref="B73:AF85">
    <cfRule type="expression" dxfId="506" priority="9">
      <formula>B$9&gt;=20/24</formula>
    </cfRule>
    <cfRule type="expression" dxfId="505" priority="10">
      <formula>AND(B$9&gt;=14/24,B$9&lt;20/24)</formula>
    </cfRule>
    <cfRule type="expression" dxfId="504" priority="11">
      <formula>AND(B$9&gt;=8/24,B$9&lt;14/24)</formula>
    </cfRule>
    <cfRule type="expression" dxfId="503" priority="12">
      <formula>B$9&lt;8/24</formula>
    </cfRule>
  </conditionalFormatting>
  <conditionalFormatting sqref="B87:AF103">
    <cfRule type="expression" dxfId="498" priority="46">
      <formula>AND(B$9&gt;=8/24,B$9&lt;14/24)</formula>
    </cfRule>
    <cfRule type="expression" dxfId="497" priority="45">
      <formula>AND(B$9&gt;=14/24,B$9&lt;20/24)</formula>
    </cfRule>
    <cfRule type="expression" dxfId="496" priority="47">
      <formula>B$9&lt;8/24</formula>
    </cfRule>
    <cfRule type="expression" dxfId="495" priority="44">
      <formula>B$9&gt;=20/24</formula>
    </cfRule>
  </conditionalFormatting>
  <conditionalFormatting sqref="B105:AF112">
    <cfRule type="expression" dxfId="494" priority="33">
      <formula>AND(B$9&gt;=14/24,B$9&lt;20/24)</formula>
    </cfRule>
    <cfRule type="expression" dxfId="493" priority="32">
      <formula>B$9&gt;=20/24</formula>
    </cfRule>
    <cfRule type="expression" dxfId="492" priority="34">
      <formula>AND(B$9&gt;=8/24,B$9&lt;14/24)</formula>
    </cfRule>
    <cfRule type="expression" dxfId="491" priority="35">
      <formula>B$9&lt;8/24</formula>
    </cfRule>
  </conditionalFormatting>
  <conditionalFormatting sqref="E68:AB69 AC68:AF70">
    <cfRule type="expression" dxfId="486" priority="197">
      <formula>AND(E$9&gt;=8/24,E$9&lt;14/24)</formula>
    </cfRule>
    <cfRule type="expression" dxfId="485" priority="196">
      <formula>AND(E$9&gt;=14/24,E$9&lt;20/24)</formula>
    </cfRule>
    <cfRule type="expression" dxfId="484" priority="195">
      <formula>E$9&gt;=20/24</formula>
    </cfRule>
    <cfRule type="expression" dxfId="483" priority="198">
      <formula>E$9&lt;8/24</formula>
    </cfRule>
  </conditionalFormatting>
  <conditionalFormatting sqref="E67:AF67">
    <cfRule type="expression" dxfId="482" priority="207">
      <formula>E$9&lt;8/24</formula>
    </cfRule>
  </conditionalFormatting>
  <conditionalFormatting sqref="M49:Q53">
    <cfRule type="expression" dxfId="481" priority="203">
      <formula>M$9&lt;8/24</formula>
    </cfRule>
    <cfRule type="expression" dxfId="480" priority="200">
      <formula>M$9&gt;=20/24</formula>
    </cfRule>
    <cfRule type="expression" dxfId="479" priority="201">
      <formula>AND(M$9&gt;=14/24,M$9&lt;20/24)</formula>
    </cfRule>
    <cfRule type="expression" dxfId="478" priority="202">
      <formula>AND(M$9&gt;=8/24,M$9&lt;14/24)</formula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R49:AF54">
    <cfRule type="expression" dxfId="477" priority="164">
      <formula>AND(R$9&gt;=8/24,R$9&lt;14/24)</formula>
    </cfRule>
    <cfRule type="expression" dxfId="476" priority="162">
      <formula>R$9&gt;=20/24</formula>
    </cfRule>
    <cfRule type="expression" dxfId="475" priority="163">
      <formula>AND(R$9&gt;=14/24,R$9&lt;20/24)</formula>
    </cfRule>
    <cfRule type="expression" dxfId="474" priority="165">
      <formula>R$9&lt;8/24</formula>
    </cfRule>
  </conditionalFormatting>
  <conditionalFormatting sqref="S8 AB8 B8 M8">
    <cfRule type="expression" dxfId="473" priority="240">
      <formula>C$9&gt;=20/24</formula>
    </cfRule>
  </conditionalFormatting>
  <conditionalFormatting sqref="S8">
    <cfRule type="expression" dxfId="472" priority="214">
      <formula>AND(U$9&gt;=14/24,U$9&lt;20/24)</formula>
    </cfRule>
    <cfRule type="expression" dxfId="471" priority="213">
      <formula>U$9&gt;=20/24</formula>
    </cfRule>
    <cfRule type="expression" dxfId="470" priority="215">
      <formula>AND(U$9&gt;=8/24,U$9&lt;14/24)</formula>
    </cfRule>
    <cfRule type="expression" dxfId="469" priority="216">
      <formula>U$9&lt;8/24</formula>
    </cfRule>
  </conditionalFormatting>
  <conditionalFormatting sqref="T241">
    <cfRule type="expression" dxfId="468" priority="256">
      <formula>AX$9&lt;8/24</formula>
    </cfRule>
    <cfRule type="expression" dxfId="467" priority="255">
      <formula>AND(AX$9&gt;=8/24,AX$9&lt;14/24)</formula>
    </cfRule>
    <cfRule type="expression" dxfId="466" priority="253">
      <formula>AX$9&gt;=20/24</formula>
    </cfRule>
    <cfRule type="expression" dxfId="465" priority="254">
      <formula>AND(AX$9&gt;=14/24,AX$9&lt;20/24)</formula>
    </cfRule>
  </conditionalFormatting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X11:AF42">
    <cfRule type="expression" dxfId="464" priority="177">
      <formula>AND(X$9&gt;=14/24,X$9&lt;20/24)</formula>
    </cfRule>
    <cfRule type="expression" dxfId="463" priority="179">
      <formula>X$9&lt;8/24</formula>
    </cfRule>
    <cfRule type="expression" dxfId="462" priority="178">
      <formula>AND(X$9&gt;=8/24,X$9&lt;14/24)</formula>
    </cfRule>
    <cfRule type="expression" dxfId="461" priority="176">
      <formula>X$9&gt;=20/24</formula>
    </cfRule>
  </conditionalFormatting>
  <conditionalFormatting sqref="AB8">
    <cfRule type="expression" dxfId="460" priority="210">
      <formula>AND(AD$9&gt;=14/24,AD$9&lt;20/24)</formula>
    </cfRule>
    <cfRule type="expression" dxfId="459" priority="209">
      <formula>AD$9&gt;=20/24</formula>
    </cfRule>
    <cfRule type="expression" dxfId="458" priority="212">
      <formula>AD$9&lt;8/24</formula>
    </cfRule>
    <cfRule type="expression" dxfId="457" priority="211">
      <formula>AND(AD$9&gt;=8/24,AD$9&lt;14/24)</formula>
    </cfRule>
  </conditionalFormatting>
  <conditionalFormatting sqref="AG44 AG61:AG62 AG66">
    <cfRule type="expression" dxfId="456" priority="166">
      <formula>AG44&gt;$AG44</formula>
    </cfRule>
  </conditionalFormatting>
  <conditionalFormatting sqref="AG48">
    <cfRule type="expression" dxfId="455" priority="150">
      <formula>AG$9&lt;8/24</formula>
    </cfRule>
    <cfRule type="expression" dxfId="454" priority="149">
      <formula>AND(AG$9&gt;=8/24,AG$9&lt;14/24)</formula>
    </cfRule>
    <cfRule type="expression" dxfId="453" priority="148">
      <formula>AND(AG$9&gt;=14/24,AG$9&lt;20/24)</formula>
    </cfRule>
    <cfRule type="expression" dxfId="452" priority="147">
      <formula>AG$9&gt;=20/24</formula>
    </cfRule>
    <cfRule type="expression" dxfId="451" priority="146">
      <formula>AG48&gt;$AG48</formula>
    </cfRule>
  </conditionalFormatting>
  <conditionalFormatting sqref="AG66 AG83">
    <cfRule type="expression" dxfId="450" priority="169">
      <formula>AND(AG$9&gt;=8/24,AG$9&lt;14/24)</formula>
    </cfRule>
    <cfRule type="expression" dxfId="449" priority="167">
      <formula>AG$9&gt;=20/24</formula>
    </cfRule>
    <cfRule type="expression" dxfId="448" priority="168">
      <formula>AND(AG$9&gt;=14/24,AG$9&lt;20/24)</formula>
    </cfRule>
    <cfRule type="expression" dxfId="447" priority="170">
      <formula>AG$9&lt;8/24</formula>
    </cfRule>
  </conditionalFormatting>
  <conditionalFormatting sqref="AG241">
    <cfRule type="expression" dxfId="446" priority="245">
      <formula>B$9&gt;=20/24</formula>
    </cfRule>
    <cfRule type="expression" dxfId="445" priority="246">
      <formula>AND(B$9&gt;=14/24,B$9&lt;20/24)</formula>
    </cfRule>
    <cfRule type="expression" dxfId="444" priority="248">
      <formula>B$9&lt;8/24</formula>
    </cfRule>
    <cfRule type="expression" dxfId="443" priority="247">
      <formula>AND(B$9&gt;=8/24,B$9&lt;14/24)</formula>
    </cfRule>
  </conditionalFormatting>
  <conditionalFormatting sqref="AH241:AX241">
    <cfRule type="expression" dxfId="442" priority="249">
      <formula>AG$9&gt;=20/24</formula>
    </cfRule>
    <cfRule type="expression" dxfId="441" priority="250">
      <formula>AND(AG$9&gt;=14/24,AG$9&lt;20/24)</formula>
    </cfRule>
    <cfRule type="expression" dxfId="440" priority="251">
      <formula>AND(AG$9&gt;=8/24,AG$9&lt;14/24)</formula>
    </cfRule>
    <cfRule type="expression" dxfId="439" priority="252">
      <formula>AG$9&lt;8/24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AL75:AM79">
    <cfRule type="expression" dxfId="438" priority="261">
      <formula>AJ$9&lt;8/24</formula>
    </cfRule>
    <cfRule type="expression" dxfId="437" priority="258">
      <formula>AJ$9&gt;=20/24</formula>
    </cfRule>
    <cfRule type="expression" dxfId="436" priority="259">
      <formula>AND(AJ$9&gt;=14/24,AJ$9&lt;20/24)</formula>
    </cfRule>
    <cfRule type="expression" dxfId="435" priority="260">
      <formula>AND(AJ$9&gt;=8/24,AJ$9&lt;14/24)</formula>
    </cfRule>
  </conditionalFormatting>
  <conditionalFormatting sqref="AL74:AN74 AL80:AN80">
    <cfRule type="expression" dxfId="434" priority="5">
      <formula>AL$9&gt;=20/24</formula>
    </cfRule>
    <cfRule type="expression" dxfId="433" priority="7">
      <formula>AND(AL$9&gt;=8/24,AL$9&lt;14/24)</formula>
    </cfRule>
    <cfRule type="expression" dxfId="432" priority="8">
      <formula>AL$9&lt;8/24</formula>
    </cfRule>
    <cfRule type="expression" dxfId="431" priority="6">
      <formula>AND(AL$9&gt;=14/24,AL$9&lt;20/24)</formula>
    </cfRule>
  </conditionalFormatting>
  <conditionalFormatting sqref="AN75:AN78">
    <cfRule type="expression" dxfId="430" priority="1">
      <formula>AN$9&gt;=20/24</formula>
    </cfRule>
    <cfRule type="expression" dxfId="429" priority="2">
      <formula>AND(AN$9&gt;=14/24,AN$9&lt;20/24)</formula>
    </cfRule>
    <cfRule type="expression" dxfId="428" priority="3">
      <formula>AND(AN$9&gt;=8/24,AN$9&lt;14/24)</formula>
    </cfRule>
    <cfRule type="expression" dxfId="427" priority="4">
      <formula>AN$9&lt;8/24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7" id="{FA40580B-B36A-4C31-B3C5-A55BF8959E2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6" id="{E0A9BC46-464A-4438-B0DB-762DED5D93B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8" id="{46D5CBA4-5B60-4380-B970-AFD76D1966C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09945329-36CB-4A7F-8134-A42DF149FD6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B113:C113</xm:sqref>
        </x14:conditionalFormatting>
        <x14:conditionalFormatting xmlns:xm="http://schemas.microsoft.com/office/excel/2006/main">
          <x14:cfRule type="expression" priority="42" id="{3BFA3A4C-7CE5-457F-ABA9-5C216C67E21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1" id="{2C1EA8A2-A1F1-4349-80B1-92E5839A769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3" id="{E1A1ABF5-9F79-4E5F-A1E0-5F9713AE918C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40" id="{2996B843-7E66-4171-B75C-0FCC3C894C4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134" id="{C703D8F8-302E-4367-A8AE-B44A2C27252A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6" id="{FB4D4B5F-9127-4852-8D60-8B8B6CEC436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01980CEE-BD2B-432A-862A-518031F077A2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9B59C879-8F15-4227-8F6F-FCFDBE84C3AC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m:sqref>D113:AF113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J274"/>
  <sheetViews>
    <sheetView workbookViewId="0">
      <pane ySplit="10" topLeftCell="A23" activePane="bottomLeft" state="frozen"/>
      <selection activeCell="U80" sqref="U80"/>
      <selection pane="bottomLeft" activeCell="K112" sqref="K112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/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str">
        <f ca="1">"2079/"&amp;"09/"&amp;INT(MID(CELL("filename",D6),FIND("]",CELL("filename",D6))+1,200))</f>
        <v>2079/09/6</v>
      </c>
      <c r="C4" s="771"/>
      <c r="D4" s="771"/>
      <c r="E4" s="772" t="str">
        <f ca="1">"2079/"&amp;"09/"&amp;INT(MID(CELL("filename",G6),FIND("]",CELL("filename",G6))+1,200))</f>
        <v>2079/09/6</v>
      </c>
      <c r="F4" s="772"/>
      <c r="G4" s="772"/>
      <c r="H4" s="772" t="str">
        <f ca="1">TEXT(E4,"dddd")</f>
        <v>Wednesday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469</v>
      </c>
      <c r="C5" s="30">
        <f t="shared" si="0"/>
        <v>437</v>
      </c>
      <c r="D5" s="30">
        <f t="shared" si="0"/>
        <v>437</v>
      </c>
      <c r="E5" s="30">
        <f t="shared" si="0"/>
        <v>421.5</v>
      </c>
      <c r="F5" s="30">
        <f t="shared" si="0"/>
        <v>421.5</v>
      </c>
      <c r="G5" s="30">
        <f t="shared" si="0"/>
        <v>431</v>
      </c>
      <c r="H5" s="30">
        <f t="shared" si="0"/>
        <v>433.4</v>
      </c>
      <c r="I5" s="30">
        <f t="shared" si="0"/>
        <v>436.6</v>
      </c>
      <c r="J5" s="30">
        <f t="shared" si="0"/>
        <v>412.6</v>
      </c>
      <c r="K5" s="30">
        <f t="shared" si="0"/>
        <v>338.1</v>
      </c>
      <c r="L5" s="30">
        <f t="shared" si="0"/>
        <v>295.10000000000002</v>
      </c>
      <c r="M5" s="30">
        <f t="shared" si="0"/>
        <v>266.10000000000002</v>
      </c>
      <c r="N5" s="30">
        <f t="shared" si="0"/>
        <v>392.6</v>
      </c>
      <c r="O5" s="30">
        <f t="shared" si="0"/>
        <v>498.8</v>
      </c>
      <c r="P5" s="30">
        <f t="shared" si="0"/>
        <v>505.70000000000005</v>
      </c>
      <c r="Q5" s="30">
        <f t="shared" si="0"/>
        <v>483.6</v>
      </c>
      <c r="R5" s="30">
        <f t="shared" si="0"/>
        <v>499.09999999999997</v>
      </c>
      <c r="S5" s="30">
        <f t="shared" si="0"/>
        <v>489.09999999999997</v>
      </c>
      <c r="T5" s="30">
        <f t="shared" si="0"/>
        <v>486</v>
      </c>
      <c r="U5" s="30">
        <f t="shared" si="0"/>
        <v>466.99999999999994</v>
      </c>
      <c r="V5" s="30">
        <f t="shared" si="0"/>
        <v>482.8</v>
      </c>
      <c r="W5" s="30">
        <f t="shared" si="0"/>
        <v>388.09999999999997</v>
      </c>
      <c r="X5" s="30">
        <f t="shared" si="0"/>
        <v>279.3</v>
      </c>
      <c r="Y5" s="30">
        <f t="shared" si="0"/>
        <v>295</v>
      </c>
      <c r="Z5" s="30">
        <f t="shared" si="0"/>
        <v>332.7</v>
      </c>
      <c r="AA5" s="30">
        <f t="shared" si="0"/>
        <v>382.8</v>
      </c>
      <c r="AB5" s="30">
        <f t="shared" si="0"/>
        <v>421.40000000000003</v>
      </c>
      <c r="AC5" s="30">
        <f t="shared" si="0"/>
        <v>441.90000000000003</v>
      </c>
      <c r="AD5" s="30">
        <f t="shared" si="0"/>
        <v>502.79999999999995</v>
      </c>
      <c r="AE5" s="30">
        <f t="shared" si="0"/>
        <v>486.9</v>
      </c>
      <c r="AF5" s="30">
        <f>B78</f>
        <v>469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1795MW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Load=1074</v>
      </c>
      <c r="B7" s="35">
        <f t="shared" ref="B7:AF7" si="1">B85</f>
        <v>1163.04</v>
      </c>
      <c r="C7" s="35">
        <f t="shared" si="1"/>
        <v>1138.04</v>
      </c>
      <c r="D7" s="35">
        <f t="shared" si="1"/>
        <v>1074.04</v>
      </c>
      <c r="E7" s="35">
        <f t="shared" si="1"/>
        <v>1104.04</v>
      </c>
      <c r="F7" s="35">
        <f t="shared" si="1"/>
        <v>1088.54</v>
      </c>
      <c r="G7" s="35">
        <f t="shared" si="1"/>
        <v>1075.54</v>
      </c>
      <c r="H7" s="35">
        <f t="shared" si="1"/>
        <v>1188.04</v>
      </c>
      <c r="I7" s="35">
        <f t="shared" si="1"/>
        <v>1330.6399999999999</v>
      </c>
      <c r="J7" s="35">
        <f t="shared" si="1"/>
        <v>1375.44</v>
      </c>
      <c r="K7" s="35">
        <f t="shared" si="1"/>
        <v>1444.6399999999999</v>
      </c>
      <c r="L7" s="35">
        <f t="shared" si="1"/>
        <v>1455.1399999999999</v>
      </c>
      <c r="M7" s="35">
        <f t="shared" si="1"/>
        <v>1794.7400000000002</v>
      </c>
      <c r="N7" s="35">
        <f>N85</f>
        <v>1696.94</v>
      </c>
      <c r="O7" s="35">
        <f t="shared" si="1"/>
        <v>1657.44</v>
      </c>
      <c r="P7" s="35">
        <f t="shared" si="1"/>
        <v>1604.74</v>
      </c>
      <c r="Q7" s="35">
        <f t="shared" si="1"/>
        <v>1428.04</v>
      </c>
      <c r="R7" s="35">
        <f t="shared" si="1"/>
        <v>1236.1399999999999</v>
      </c>
      <c r="S7" s="35">
        <f t="shared" si="1"/>
        <v>1343.6399999999999</v>
      </c>
      <c r="T7" s="35">
        <f t="shared" si="1"/>
        <v>1342.4399999999998</v>
      </c>
      <c r="U7" s="35">
        <f t="shared" si="1"/>
        <v>1293.04</v>
      </c>
      <c r="V7" s="35">
        <f t="shared" si="1"/>
        <v>1274.3399999999999</v>
      </c>
      <c r="W7" s="35">
        <f t="shared" si="1"/>
        <v>1300.04</v>
      </c>
      <c r="X7" s="35">
        <f t="shared" si="1"/>
        <v>1634.6399999999999</v>
      </c>
      <c r="Y7" s="35">
        <f t="shared" si="1"/>
        <v>1714.84</v>
      </c>
      <c r="Z7" s="35">
        <f t="shared" si="1"/>
        <v>1668.9399999999998</v>
      </c>
      <c r="AA7" s="35">
        <f t="shared" si="1"/>
        <v>1621.9399999999998</v>
      </c>
      <c r="AB7" s="35">
        <f t="shared" si="1"/>
        <v>1550.34</v>
      </c>
      <c r="AC7" s="35">
        <f t="shared" si="1"/>
        <v>1467.5400000000002</v>
      </c>
      <c r="AD7" s="35">
        <f t="shared" si="1"/>
        <v>1478.44</v>
      </c>
      <c r="AE7" s="35">
        <f t="shared" si="1"/>
        <v>1315.4399999999998</v>
      </c>
      <c r="AF7" s="35">
        <f t="shared" si="1"/>
        <v>1170.04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19.7</v>
      </c>
      <c r="C11" s="45">
        <v>19.7</v>
      </c>
      <c r="D11" s="45">
        <v>19.7</v>
      </c>
      <c r="E11" s="45">
        <v>19.7</v>
      </c>
      <c r="F11" s="45">
        <v>19.7</v>
      </c>
      <c r="G11" s="45">
        <v>19.7</v>
      </c>
      <c r="H11" s="45">
        <v>19.7</v>
      </c>
      <c r="I11" s="45">
        <v>19.2</v>
      </c>
      <c r="J11" s="45">
        <v>18.600000000000001</v>
      </c>
      <c r="K11" s="45">
        <v>18.600000000000001</v>
      </c>
      <c r="L11" s="45">
        <v>18.600000000000001</v>
      </c>
      <c r="M11" s="45">
        <v>18.600000000000001</v>
      </c>
      <c r="N11" s="45">
        <v>18.600000000000001</v>
      </c>
      <c r="O11" s="45">
        <v>18.600000000000001</v>
      </c>
      <c r="P11" s="45">
        <v>19</v>
      </c>
      <c r="Q11" s="45">
        <v>19</v>
      </c>
      <c r="R11" s="45">
        <v>19</v>
      </c>
      <c r="S11" s="45">
        <v>19</v>
      </c>
      <c r="T11" s="45">
        <v>19</v>
      </c>
      <c r="U11" s="45">
        <v>19</v>
      </c>
      <c r="V11" s="45">
        <v>19</v>
      </c>
      <c r="W11" s="45">
        <v>19</v>
      </c>
      <c r="X11" s="45">
        <v>19</v>
      </c>
      <c r="Y11" s="45">
        <v>19</v>
      </c>
      <c r="Z11" s="45">
        <v>19</v>
      </c>
      <c r="AA11" s="45">
        <v>19</v>
      </c>
      <c r="AB11" s="45">
        <v>19</v>
      </c>
      <c r="AC11" s="45">
        <v>18.8</v>
      </c>
      <c r="AD11" s="45">
        <v>18.8</v>
      </c>
      <c r="AE11" s="45">
        <v>18.899999999999999</v>
      </c>
      <c r="AF11" s="45">
        <v>19.5</v>
      </c>
      <c r="AG11" s="46">
        <v>52.4</v>
      </c>
      <c r="AH11" s="47">
        <f t="shared" ref="AH11:AH74" si="2">MAX(B11:AF11)</f>
        <v>19.7</v>
      </c>
      <c r="AI11" s="48">
        <f t="shared" ref="AI11:AI74" si="3">MIN(B11:AF11)</f>
        <v>18.600000000000001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35</v>
      </c>
      <c r="C12" s="45">
        <v>35</v>
      </c>
      <c r="D12" s="45">
        <v>35</v>
      </c>
      <c r="E12" s="45">
        <v>35</v>
      </c>
      <c r="F12" s="45">
        <v>35</v>
      </c>
      <c r="G12" s="45">
        <v>35</v>
      </c>
      <c r="H12" s="45">
        <v>35</v>
      </c>
      <c r="I12" s="45">
        <v>35.6</v>
      </c>
      <c r="J12" s="45">
        <v>36</v>
      </c>
      <c r="K12" s="45">
        <v>35.799999999999997</v>
      </c>
      <c r="L12" s="45">
        <v>35.799999999999997</v>
      </c>
      <c r="M12" s="45">
        <v>35.799999999999997</v>
      </c>
      <c r="N12" s="45">
        <v>35.799999999999997</v>
      </c>
      <c r="O12" s="45">
        <v>35.799999999999997</v>
      </c>
      <c r="P12" s="45">
        <v>35.4</v>
      </c>
      <c r="Q12" s="45">
        <v>35.4</v>
      </c>
      <c r="R12" s="45">
        <v>35.4</v>
      </c>
      <c r="S12" s="45">
        <v>35.4</v>
      </c>
      <c r="T12" s="45">
        <v>35.4</v>
      </c>
      <c r="U12" s="45">
        <v>35.4</v>
      </c>
      <c r="V12" s="45">
        <v>35.4</v>
      </c>
      <c r="W12" s="45">
        <v>35.4</v>
      </c>
      <c r="X12" s="45">
        <v>35.4</v>
      </c>
      <c r="Y12" s="45">
        <v>35.4</v>
      </c>
      <c r="Z12" s="45">
        <v>35.4</v>
      </c>
      <c r="AA12" s="45">
        <v>35.4</v>
      </c>
      <c r="AB12" s="45">
        <v>36</v>
      </c>
      <c r="AC12" s="45">
        <v>35.5</v>
      </c>
      <c r="AD12" s="45">
        <v>35.9</v>
      </c>
      <c r="AE12" s="45">
        <v>36.4</v>
      </c>
      <c r="AF12" s="45">
        <v>36.299999999999997</v>
      </c>
      <c r="AG12" s="50">
        <v>50</v>
      </c>
      <c r="AH12" s="47">
        <f t="shared" si="2"/>
        <v>36.4</v>
      </c>
      <c r="AI12" s="48">
        <f t="shared" si="3"/>
        <v>35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21.6</v>
      </c>
      <c r="C13" s="45">
        <v>21.6</v>
      </c>
      <c r="D13" s="45">
        <v>21.6</v>
      </c>
      <c r="E13" s="45">
        <v>21.6</v>
      </c>
      <c r="F13" s="45">
        <v>21.6</v>
      </c>
      <c r="G13" s="45">
        <v>21.6</v>
      </c>
      <c r="H13" s="45">
        <v>21.6</v>
      </c>
      <c r="I13" s="45">
        <v>21.6</v>
      </c>
      <c r="J13" s="45">
        <v>19.100000000000001</v>
      </c>
      <c r="K13" s="45">
        <v>19.100000000000001</v>
      </c>
      <c r="L13" s="45">
        <v>19.100000000000001</v>
      </c>
      <c r="M13" s="45">
        <v>19.100000000000001</v>
      </c>
      <c r="N13" s="45">
        <v>19.100000000000001</v>
      </c>
      <c r="O13" s="45">
        <v>19.100000000000001</v>
      </c>
      <c r="P13" s="45">
        <v>18.7</v>
      </c>
      <c r="Q13" s="45">
        <v>18.7</v>
      </c>
      <c r="R13" s="45">
        <v>18.7</v>
      </c>
      <c r="S13" s="45">
        <v>18.7</v>
      </c>
      <c r="T13" s="45">
        <v>18.7</v>
      </c>
      <c r="U13" s="45">
        <v>18.7</v>
      </c>
      <c r="V13" s="45">
        <v>18.7</v>
      </c>
      <c r="W13" s="45">
        <v>18.7</v>
      </c>
      <c r="X13" s="45">
        <v>18.7</v>
      </c>
      <c r="Y13" s="45">
        <v>18.7</v>
      </c>
      <c r="Z13" s="45">
        <v>18.7</v>
      </c>
      <c r="AA13" s="45">
        <v>18.7</v>
      </c>
      <c r="AB13" s="45">
        <v>20.7</v>
      </c>
      <c r="AC13" s="45">
        <v>20.8</v>
      </c>
      <c r="AD13" s="45">
        <v>20.8</v>
      </c>
      <c r="AE13" s="45">
        <v>21.8</v>
      </c>
      <c r="AF13" s="45">
        <v>20.8</v>
      </c>
      <c r="AG13" s="50">
        <v>45</v>
      </c>
      <c r="AH13" s="47">
        <f t="shared" si="2"/>
        <v>21.8</v>
      </c>
      <c r="AI13" s="48">
        <f t="shared" si="3"/>
        <v>18.7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9.5</v>
      </c>
      <c r="C14" s="45">
        <v>9.5</v>
      </c>
      <c r="D14" s="45">
        <v>9.5</v>
      </c>
      <c r="E14" s="45">
        <v>9.5</v>
      </c>
      <c r="F14" s="45">
        <v>9.5</v>
      </c>
      <c r="G14" s="45">
        <v>9.5</v>
      </c>
      <c r="H14" s="45">
        <v>9.5</v>
      </c>
      <c r="I14" s="45">
        <v>9.5</v>
      </c>
      <c r="J14" s="45">
        <v>9.5</v>
      </c>
      <c r="K14" s="45">
        <v>9.5</v>
      </c>
      <c r="L14" s="45">
        <v>9.5</v>
      </c>
      <c r="M14" s="45">
        <v>9.5</v>
      </c>
      <c r="N14" s="45">
        <v>9.5</v>
      </c>
      <c r="O14" s="45">
        <v>9.5</v>
      </c>
      <c r="P14" s="45">
        <v>9.5</v>
      </c>
      <c r="Q14" s="45">
        <v>9.5</v>
      </c>
      <c r="R14" s="45">
        <v>9.5</v>
      </c>
      <c r="S14" s="45">
        <v>9.5</v>
      </c>
      <c r="T14" s="45">
        <v>9.5</v>
      </c>
      <c r="U14" s="45">
        <v>9.5</v>
      </c>
      <c r="V14" s="45">
        <v>9.5</v>
      </c>
      <c r="W14" s="45">
        <v>9.5</v>
      </c>
      <c r="X14" s="45">
        <v>9.5</v>
      </c>
      <c r="Y14" s="45">
        <v>9.5</v>
      </c>
      <c r="Z14" s="45">
        <v>9.5</v>
      </c>
      <c r="AA14" s="45">
        <v>9.5</v>
      </c>
      <c r="AB14" s="45">
        <v>9.8000000000000007</v>
      </c>
      <c r="AC14" s="45">
        <v>9.8000000000000007</v>
      </c>
      <c r="AD14" s="45">
        <v>9.8000000000000007</v>
      </c>
      <c r="AE14" s="45">
        <v>9.8000000000000007</v>
      </c>
      <c r="AF14" s="45">
        <v>9.8000000000000007</v>
      </c>
      <c r="AG14" s="50">
        <v>42</v>
      </c>
      <c r="AH14" s="47">
        <f t="shared" si="2"/>
        <v>9.8000000000000007</v>
      </c>
      <c r="AI14" s="48">
        <f t="shared" si="3"/>
        <v>9.5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13</v>
      </c>
      <c r="C15" s="45">
        <v>13</v>
      </c>
      <c r="D15" s="45">
        <v>13</v>
      </c>
      <c r="E15" s="45">
        <v>13</v>
      </c>
      <c r="F15" s="45">
        <v>13</v>
      </c>
      <c r="G15" s="45">
        <v>13</v>
      </c>
      <c r="H15" s="45">
        <v>13</v>
      </c>
      <c r="I15" s="45">
        <v>13</v>
      </c>
      <c r="J15" s="45">
        <v>13</v>
      </c>
      <c r="K15" s="45">
        <v>13</v>
      </c>
      <c r="L15" s="45">
        <v>13</v>
      </c>
      <c r="M15" s="45">
        <v>13</v>
      </c>
      <c r="N15" s="45">
        <v>13</v>
      </c>
      <c r="O15" s="45">
        <v>13</v>
      </c>
      <c r="P15" s="45">
        <v>13</v>
      </c>
      <c r="Q15" s="45">
        <v>13</v>
      </c>
      <c r="R15" s="45">
        <v>13</v>
      </c>
      <c r="S15" s="45">
        <v>13</v>
      </c>
      <c r="T15" s="45">
        <v>13</v>
      </c>
      <c r="U15" s="45">
        <v>13</v>
      </c>
      <c r="V15" s="45">
        <v>13</v>
      </c>
      <c r="W15" s="45">
        <v>13</v>
      </c>
      <c r="X15" s="45">
        <v>13</v>
      </c>
      <c r="Y15" s="45">
        <v>13</v>
      </c>
      <c r="Z15" s="45">
        <v>13</v>
      </c>
      <c r="AA15" s="45">
        <v>13</v>
      </c>
      <c r="AB15" s="45">
        <v>13</v>
      </c>
      <c r="AC15" s="45">
        <v>13</v>
      </c>
      <c r="AD15" s="45">
        <v>13</v>
      </c>
      <c r="AE15" s="45">
        <v>13</v>
      </c>
      <c r="AF15" s="45">
        <v>13</v>
      </c>
      <c r="AG15" s="50">
        <v>36</v>
      </c>
      <c r="AH15" s="47">
        <f t="shared" si="2"/>
        <v>13</v>
      </c>
      <c r="AI15" s="48">
        <f t="shared" si="3"/>
        <v>13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9.4</v>
      </c>
      <c r="C16" s="45">
        <v>9.4</v>
      </c>
      <c r="D16" s="45">
        <v>9.4</v>
      </c>
      <c r="E16" s="45">
        <v>9.4</v>
      </c>
      <c r="F16" s="45">
        <v>9.4</v>
      </c>
      <c r="G16" s="45">
        <v>9.4</v>
      </c>
      <c r="H16" s="45">
        <v>9.4</v>
      </c>
      <c r="I16" s="45">
        <v>9.4</v>
      </c>
      <c r="J16" s="45">
        <v>9.4</v>
      </c>
      <c r="K16" s="45">
        <v>9.4</v>
      </c>
      <c r="L16" s="45">
        <v>9.4</v>
      </c>
      <c r="M16" s="45">
        <v>9.4</v>
      </c>
      <c r="N16" s="45">
        <v>9.4</v>
      </c>
      <c r="O16" s="45">
        <v>9.4</v>
      </c>
      <c r="P16" s="45">
        <v>8.9</v>
      </c>
      <c r="Q16" s="45">
        <v>8.9</v>
      </c>
      <c r="R16" s="45">
        <v>8.9</v>
      </c>
      <c r="S16" s="45">
        <v>8.9</v>
      </c>
      <c r="T16" s="45">
        <v>8.9</v>
      </c>
      <c r="U16" s="45">
        <v>8.9</v>
      </c>
      <c r="V16" s="45">
        <v>8.9</v>
      </c>
      <c r="W16" s="45">
        <v>8.9</v>
      </c>
      <c r="X16" s="45">
        <v>8.9</v>
      </c>
      <c r="Y16" s="45">
        <v>8.9</v>
      </c>
      <c r="Z16" s="45">
        <v>8.9</v>
      </c>
      <c r="AA16" s="45">
        <v>8.9</v>
      </c>
      <c r="AB16" s="45">
        <v>8.9</v>
      </c>
      <c r="AC16" s="45">
        <v>8.9</v>
      </c>
      <c r="AD16" s="45">
        <v>9.3000000000000007</v>
      </c>
      <c r="AE16" s="45">
        <v>9.1999999999999993</v>
      </c>
      <c r="AF16" s="45">
        <v>9.5</v>
      </c>
      <c r="AG16" s="51">
        <v>30</v>
      </c>
      <c r="AH16" s="47">
        <f t="shared" si="2"/>
        <v>9.5</v>
      </c>
      <c r="AI16" s="48">
        <f t="shared" si="3"/>
        <v>8.9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8.5</v>
      </c>
      <c r="C17" s="45">
        <v>8.5</v>
      </c>
      <c r="D17" s="45">
        <v>8.5</v>
      </c>
      <c r="E17" s="45">
        <v>8.5</v>
      </c>
      <c r="F17" s="45">
        <v>8.5</v>
      </c>
      <c r="G17" s="45">
        <v>8.5</v>
      </c>
      <c r="H17" s="45">
        <v>8.5</v>
      </c>
      <c r="I17" s="45">
        <v>8.5</v>
      </c>
      <c r="J17" s="45">
        <v>8.5</v>
      </c>
      <c r="K17" s="45">
        <v>8.5</v>
      </c>
      <c r="L17" s="45">
        <v>8.5</v>
      </c>
      <c r="M17" s="45">
        <v>8.5</v>
      </c>
      <c r="N17" s="45">
        <v>8.5</v>
      </c>
      <c r="O17" s="45">
        <v>8.5</v>
      </c>
      <c r="P17" s="45">
        <v>8.5</v>
      </c>
      <c r="Q17" s="45">
        <v>8.5</v>
      </c>
      <c r="R17" s="45">
        <v>8.5</v>
      </c>
      <c r="S17" s="45">
        <v>8.5</v>
      </c>
      <c r="T17" s="45">
        <v>8.5</v>
      </c>
      <c r="U17" s="45">
        <v>8.5</v>
      </c>
      <c r="V17" s="45">
        <v>8.5</v>
      </c>
      <c r="W17" s="45">
        <v>8.5</v>
      </c>
      <c r="X17" s="45">
        <v>8.5</v>
      </c>
      <c r="Y17" s="45">
        <v>8.5</v>
      </c>
      <c r="Z17" s="45">
        <v>8.5</v>
      </c>
      <c r="AA17" s="45">
        <v>8.5</v>
      </c>
      <c r="AB17" s="45">
        <v>8.5</v>
      </c>
      <c r="AC17" s="45">
        <v>8.5</v>
      </c>
      <c r="AD17" s="45">
        <v>8.5</v>
      </c>
      <c r="AE17" s="45">
        <v>8.5</v>
      </c>
      <c r="AF17" s="45">
        <v>8.5</v>
      </c>
      <c r="AG17" s="50">
        <v>24.2</v>
      </c>
      <c r="AH17" s="47">
        <f t="shared" si="2"/>
        <v>8.5</v>
      </c>
      <c r="AI17" s="48">
        <f t="shared" si="3"/>
        <v>8.5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0">
        <v>28</v>
      </c>
      <c r="AH18" s="47">
        <f t="shared" si="2"/>
        <v>13</v>
      </c>
      <c r="AI18" s="48">
        <f t="shared" si="3"/>
        <v>13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>
        <v>10</v>
      </c>
      <c r="L20" s="45">
        <v>10</v>
      </c>
      <c r="M20" s="45">
        <v>10</v>
      </c>
      <c r="N20" s="45">
        <v>10</v>
      </c>
      <c r="O20" s="45">
        <v>10</v>
      </c>
      <c r="P20" s="45">
        <v>10</v>
      </c>
      <c r="Q20" s="45">
        <v>10</v>
      </c>
      <c r="R20" s="45">
        <v>10</v>
      </c>
      <c r="S20" s="45">
        <v>10</v>
      </c>
      <c r="T20" s="45">
        <v>10</v>
      </c>
      <c r="U20" s="45">
        <v>10</v>
      </c>
      <c r="V20" s="45">
        <v>10</v>
      </c>
      <c r="W20" s="45">
        <v>10</v>
      </c>
      <c r="X20" s="45">
        <v>10</v>
      </c>
      <c r="Y20" s="45">
        <v>10</v>
      </c>
      <c r="Z20" s="45">
        <v>10</v>
      </c>
      <c r="AA20" s="45">
        <v>10</v>
      </c>
      <c r="AB20" s="45">
        <v>10</v>
      </c>
      <c r="AC20" s="45">
        <v>10</v>
      </c>
      <c r="AD20" s="45">
        <v>10</v>
      </c>
      <c r="AE20" s="45">
        <v>10</v>
      </c>
      <c r="AF20" s="45">
        <v>10</v>
      </c>
      <c r="AG20" s="50">
        <v>25</v>
      </c>
      <c r="AH20" s="47">
        <f t="shared" si="2"/>
        <v>10</v>
      </c>
      <c r="AI20" s="48">
        <f t="shared" si="3"/>
        <v>10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0">
        <v>25</v>
      </c>
      <c r="AH22" s="47">
        <f t="shared" si="2"/>
        <v>11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9.1</v>
      </c>
      <c r="C24" s="45">
        <v>9.1</v>
      </c>
      <c r="D24" s="45">
        <v>9.1</v>
      </c>
      <c r="E24" s="45">
        <v>9.1</v>
      </c>
      <c r="F24" s="45">
        <v>9.1</v>
      </c>
      <c r="G24" s="45">
        <v>9.1</v>
      </c>
      <c r="H24" s="45">
        <v>9.1</v>
      </c>
      <c r="I24" s="45">
        <v>9.1</v>
      </c>
      <c r="J24" s="45">
        <v>9.1</v>
      </c>
      <c r="K24" s="45">
        <v>9.1</v>
      </c>
      <c r="L24" s="45">
        <v>9.1</v>
      </c>
      <c r="M24" s="45">
        <v>9.1</v>
      </c>
      <c r="N24" s="45">
        <v>9.1</v>
      </c>
      <c r="O24" s="45">
        <v>9.1</v>
      </c>
      <c r="P24" s="45">
        <v>9.1</v>
      </c>
      <c r="Q24" s="45">
        <v>9.1</v>
      </c>
      <c r="R24" s="45">
        <v>9.1</v>
      </c>
      <c r="S24" s="45">
        <v>9.1</v>
      </c>
      <c r="T24" s="45">
        <v>9.1</v>
      </c>
      <c r="U24" s="45">
        <v>9.1</v>
      </c>
      <c r="V24" s="45">
        <v>9.1</v>
      </c>
      <c r="W24" s="45">
        <v>9.1</v>
      </c>
      <c r="X24" s="45">
        <v>9.1</v>
      </c>
      <c r="Y24" s="45">
        <v>9.1</v>
      </c>
      <c r="Z24" s="45">
        <v>9.1</v>
      </c>
      <c r="AA24" s="45">
        <v>9.1</v>
      </c>
      <c r="AB24" s="45">
        <v>9.1</v>
      </c>
      <c r="AC24" s="45">
        <v>9.1</v>
      </c>
      <c r="AD24" s="45">
        <v>8.9</v>
      </c>
      <c r="AE24" s="45">
        <v>8.9</v>
      </c>
      <c r="AF24" s="45">
        <v>8.9</v>
      </c>
      <c r="AG24" s="50">
        <v>23.5</v>
      </c>
      <c r="AH24" s="47">
        <f t="shared" si="2"/>
        <v>9.1</v>
      </c>
      <c r="AI24" s="48">
        <f t="shared" si="3"/>
        <v>8.9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0">
        <v>22</v>
      </c>
      <c r="AH28" s="47">
        <f t="shared" si="2"/>
        <v>12</v>
      </c>
      <c r="AI28" s="48">
        <f t="shared" si="3"/>
        <v>12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5</v>
      </c>
      <c r="C30" s="45">
        <v>5</v>
      </c>
      <c r="D30" s="45">
        <v>5</v>
      </c>
      <c r="E30" s="45">
        <v>5</v>
      </c>
      <c r="F30" s="45">
        <v>5</v>
      </c>
      <c r="G30" s="45">
        <v>5</v>
      </c>
      <c r="H30" s="45">
        <v>5</v>
      </c>
      <c r="I30" s="45">
        <v>5</v>
      </c>
      <c r="J30" s="45">
        <v>5</v>
      </c>
      <c r="K30" s="45">
        <v>5</v>
      </c>
      <c r="L30" s="45">
        <v>5</v>
      </c>
      <c r="M30" s="45">
        <v>5</v>
      </c>
      <c r="N30" s="45">
        <v>5</v>
      </c>
      <c r="O30" s="45">
        <v>5</v>
      </c>
      <c r="P30" s="45">
        <v>5</v>
      </c>
      <c r="Q30" s="45">
        <v>5</v>
      </c>
      <c r="R30" s="45">
        <v>5</v>
      </c>
      <c r="S30" s="45">
        <v>5</v>
      </c>
      <c r="T30" s="45">
        <v>5</v>
      </c>
      <c r="U30" s="45">
        <v>5</v>
      </c>
      <c r="V30" s="45">
        <v>5</v>
      </c>
      <c r="W30" s="45">
        <v>5</v>
      </c>
      <c r="X30" s="45">
        <v>5</v>
      </c>
      <c r="Y30" s="45">
        <v>5</v>
      </c>
      <c r="Z30" s="45">
        <v>5</v>
      </c>
      <c r="AA30" s="45">
        <v>5</v>
      </c>
      <c r="AB30" s="45">
        <v>5</v>
      </c>
      <c r="AC30" s="45">
        <v>5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5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>
        <v>10</v>
      </c>
      <c r="L35" s="45">
        <v>10</v>
      </c>
      <c r="M35" s="45">
        <v>10</v>
      </c>
      <c r="N35" s="45">
        <v>10</v>
      </c>
      <c r="O35" s="45">
        <v>10</v>
      </c>
      <c r="P35" s="45">
        <v>10</v>
      </c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45">
        <v>10</v>
      </c>
      <c r="Z35" s="45">
        <v>10</v>
      </c>
      <c r="AA35" s="45">
        <v>10</v>
      </c>
      <c r="AB35" s="45">
        <v>10</v>
      </c>
      <c r="AC35" s="45">
        <v>10</v>
      </c>
      <c r="AD35" s="45">
        <v>10</v>
      </c>
      <c r="AE35" s="45">
        <v>10</v>
      </c>
      <c r="AF35" s="45">
        <v>10</v>
      </c>
      <c r="AG35" s="50">
        <v>12</v>
      </c>
      <c r="AH35" s="47">
        <f t="shared" si="2"/>
        <v>10</v>
      </c>
      <c r="AI35" s="48">
        <f t="shared" si="3"/>
        <v>10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150</v>
      </c>
      <c r="C42" s="56">
        <v>150</v>
      </c>
      <c r="D42" s="56">
        <v>150</v>
      </c>
      <c r="E42" s="56">
        <v>150</v>
      </c>
      <c r="F42" s="56">
        <v>150</v>
      </c>
      <c r="G42" s="56">
        <v>150</v>
      </c>
      <c r="H42" s="56">
        <v>150</v>
      </c>
      <c r="I42" s="56">
        <v>150</v>
      </c>
      <c r="J42" s="56">
        <v>150</v>
      </c>
      <c r="K42" s="56">
        <v>150</v>
      </c>
      <c r="L42" s="56">
        <v>150</v>
      </c>
      <c r="M42" s="56">
        <v>150</v>
      </c>
      <c r="N42" s="56">
        <v>150</v>
      </c>
      <c r="O42" s="56">
        <v>150</v>
      </c>
      <c r="P42" s="56">
        <v>150</v>
      </c>
      <c r="Q42" s="56">
        <v>150</v>
      </c>
      <c r="R42" s="56">
        <v>150</v>
      </c>
      <c r="S42" s="56">
        <v>150</v>
      </c>
      <c r="T42" s="56">
        <v>150</v>
      </c>
      <c r="U42" s="56">
        <v>150</v>
      </c>
      <c r="V42" s="56">
        <v>150</v>
      </c>
      <c r="W42" s="56">
        <v>150</v>
      </c>
      <c r="X42" s="56">
        <v>150</v>
      </c>
      <c r="Y42" s="56">
        <v>150</v>
      </c>
      <c r="Z42" s="56">
        <v>150</v>
      </c>
      <c r="AA42" s="56">
        <v>150</v>
      </c>
      <c r="AB42" s="56">
        <v>150</v>
      </c>
      <c r="AC42" s="56">
        <v>150</v>
      </c>
      <c r="AD42" s="56">
        <v>150</v>
      </c>
      <c r="AE42" s="56">
        <v>150</v>
      </c>
      <c r="AF42" s="56">
        <v>150</v>
      </c>
      <c r="AG42" s="54">
        <v>85</v>
      </c>
      <c r="AH42" s="47">
        <f t="shared" si="2"/>
        <v>150</v>
      </c>
      <c r="AI42" s="48">
        <f t="shared" si="3"/>
        <v>150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:AG44" si="4">SUM(B11:B42)</f>
        <v>450.7</v>
      </c>
      <c r="C44" s="60">
        <f t="shared" si="4"/>
        <v>450.7</v>
      </c>
      <c r="D44" s="60">
        <f t="shared" si="4"/>
        <v>450.7</v>
      </c>
      <c r="E44" s="60">
        <f t="shared" si="4"/>
        <v>450.7</v>
      </c>
      <c r="F44" s="60">
        <f t="shared" si="4"/>
        <v>450.7</v>
      </c>
      <c r="G44" s="60">
        <f>SUM(G11:G42)</f>
        <v>450.7</v>
      </c>
      <c r="H44" s="60">
        <f>SUM(H11:H42)</f>
        <v>450.7</v>
      </c>
      <c r="I44" s="60">
        <f t="shared" si="4"/>
        <v>450.8</v>
      </c>
      <c r="J44" s="60">
        <f t="shared" si="4"/>
        <v>448.09999999999997</v>
      </c>
      <c r="K44" s="60">
        <f t="shared" si="4"/>
        <v>447.9</v>
      </c>
      <c r="L44" s="60">
        <f t="shared" si="4"/>
        <v>447.9</v>
      </c>
      <c r="M44" s="60">
        <f t="shared" si="4"/>
        <v>447.9</v>
      </c>
      <c r="N44" s="60">
        <f t="shared" si="4"/>
        <v>447.9</v>
      </c>
      <c r="O44" s="60">
        <f>SUM(O11:O42)</f>
        <v>447.9</v>
      </c>
      <c r="P44" s="60">
        <f t="shared" si="4"/>
        <v>446.99999999999994</v>
      </c>
      <c r="Q44" s="60">
        <f t="shared" si="4"/>
        <v>446.99999999999994</v>
      </c>
      <c r="R44" s="60">
        <f t="shared" si="4"/>
        <v>446.99999999999994</v>
      </c>
      <c r="S44" s="60">
        <f t="shared" si="4"/>
        <v>446.99999999999994</v>
      </c>
      <c r="T44" s="60">
        <f t="shared" si="4"/>
        <v>446.99999999999994</v>
      </c>
      <c r="U44" s="60">
        <f t="shared" si="4"/>
        <v>446.99999999999994</v>
      </c>
      <c r="V44" s="60">
        <f t="shared" si="4"/>
        <v>446.99999999999994</v>
      </c>
      <c r="W44" s="60">
        <f t="shared" si="4"/>
        <v>446.99999999999994</v>
      </c>
      <c r="X44" s="60">
        <f t="shared" si="4"/>
        <v>446.99999999999994</v>
      </c>
      <c r="Y44" s="60">
        <f t="shared" si="4"/>
        <v>446.99999999999994</v>
      </c>
      <c r="Z44" s="60">
        <f t="shared" si="4"/>
        <v>446.99999999999994</v>
      </c>
      <c r="AA44" s="60">
        <f t="shared" si="4"/>
        <v>446.99999999999994</v>
      </c>
      <c r="AB44" s="60">
        <f t="shared" si="4"/>
        <v>449.9</v>
      </c>
      <c r="AC44" s="60">
        <f t="shared" si="4"/>
        <v>449.3</v>
      </c>
      <c r="AD44" s="60">
        <f t="shared" si="4"/>
        <v>448.7</v>
      </c>
      <c r="AE44" s="60">
        <f t="shared" si="4"/>
        <v>450.2</v>
      </c>
      <c r="AF44" s="60">
        <f>SUM(AF11:AF42)</f>
        <v>449.99999999999994</v>
      </c>
      <c r="AG44" s="61">
        <f t="shared" si="4"/>
        <v>814.78000000000009</v>
      </c>
      <c r="AH44" s="47">
        <f t="shared" si="2"/>
        <v>450.8</v>
      </c>
      <c r="AI44" s="48">
        <f t="shared" si="3"/>
        <v>446.99999999999994</v>
      </c>
      <c r="AK44" s="49"/>
    </row>
    <row r="45" spans="1:88" x14ac:dyDescent="0.25">
      <c r="A45" s="62" t="s">
        <v>53</v>
      </c>
      <c r="B45" s="45">
        <v>30</v>
      </c>
      <c r="C45" s="45">
        <v>30</v>
      </c>
      <c r="D45" s="45">
        <v>15</v>
      </c>
      <c r="E45" s="45">
        <v>45</v>
      </c>
      <c r="F45" s="45">
        <v>35</v>
      </c>
      <c r="G45" s="45">
        <v>0</v>
      </c>
      <c r="H45" s="45">
        <v>80</v>
      </c>
      <c r="I45" s="45">
        <v>120</v>
      </c>
      <c r="J45" s="45">
        <v>110</v>
      </c>
      <c r="K45" s="45">
        <v>145</v>
      </c>
      <c r="L45" s="45">
        <v>230</v>
      </c>
      <c r="M45" s="63">
        <v>295</v>
      </c>
      <c r="N45" s="63">
        <v>305</v>
      </c>
      <c r="O45" s="63">
        <v>209</v>
      </c>
      <c r="P45" s="45">
        <v>30</v>
      </c>
      <c r="Q45" s="45">
        <v>70</v>
      </c>
      <c r="R45" s="45">
        <v>50</v>
      </c>
      <c r="S45" s="45">
        <v>60</v>
      </c>
      <c r="T45" s="45">
        <v>60</v>
      </c>
      <c r="U45" s="45">
        <v>40</v>
      </c>
      <c r="V45" s="45">
        <v>40</v>
      </c>
      <c r="W45" s="45">
        <v>45</v>
      </c>
      <c r="X45" s="45">
        <v>150</v>
      </c>
      <c r="Y45" s="45">
        <v>260</v>
      </c>
      <c r="Z45" s="45">
        <v>270</v>
      </c>
      <c r="AA45" s="45">
        <v>260</v>
      </c>
      <c r="AB45" s="45">
        <v>215</v>
      </c>
      <c r="AC45" s="45">
        <v>150</v>
      </c>
      <c r="AD45" s="45">
        <v>150</v>
      </c>
      <c r="AE45" s="45">
        <v>60</v>
      </c>
      <c r="AF45" s="45">
        <v>30</v>
      </c>
      <c r="AG45" s="51">
        <v>456</v>
      </c>
      <c r="AH45" s="47">
        <f t="shared" si="2"/>
        <v>305</v>
      </c>
      <c r="AI45" s="48">
        <f t="shared" si="3"/>
        <v>0</v>
      </c>
      <c r="AK45" s="49"/>
    </row>
    <row r="46" spans="1:88" x14ac:dyDescent="0.25">
      <c r="A46" s="64" t="s">
        <v>54</v>
      </c>
      <c r="B46" s="65">
        <v>35</v>
      </c>
      <c r="C46" s="65">
        <v>35</v>
      </c>
      <c r="D46" s="65">
        <v>35</v>
      </c>
      <c r="E46" s="65">
        <v>35</v>
      </c>
      <c r="F46" s="65">
        <v>35</v>
      </c>
      <c r="G46" s="65">
        <v>35</v>
      </c>
      <c r="H46" s="65">
        <v>35</v>
      </c>
      <c r="I46" s="65">
        <v>35</v>
      </c>
      <c r="J46" s="65">
        <v>35</v>
      </c>
      <c r="K46" s="65">
        <v>35</v>
      </c>
      <c r="L46" s="65">
        <v>35</v>
      </c>
      <c r="M46" s="65">
        <v>35</v>
      </c>
      <c r="N46" s="65">
        <v>35</v>
      </c>
      <c r="O46" s="65">
        <v>35</v>
      </c>
      <c r="P46" s="65">
        <v>35</v>
      </c>
      <c r="Q46" s="65">
        <v>35</v>
      </c>
      <c r="R46" s="65">
        <v>35</v>
      </c>
      <c r="S46" s="65">
        <v>35</v>
      </c>
      <c r="T46" s="65">
        <v>35</v>
      </c>
      <c r="U46" s="65">
        <v>35</v>
      </c>
      <c r="V46" s="65">
        <v>35</v>
      </c>
      <c r="W46" s="65">
        <v>35</v>
      </c>
      <c r="X46" s="65">
        <v>35</v>
      </c>
      <c r="Y46" s="65">
        <v>35</v>
      </c>
      <c r="Z46" s="65">
        <v>35</v>
      </c>
      <c r="AA46" s="65">
        <v>35</v>
      </c>
      <c r="AB46" s="65">
        <v>35</v>
      </c>
      <c r="AC46" s="65">
        <v>35</v>
      </c>
      <c r="AD46" s="65">
        <v>35</v>
      </c>
      <c r="AE46" s="65">
        <v>35</v>
      </c>
      <c r="AF46" s="65">
        <v>35</v>
      </c>
      <c r="AG46" s="54">
        <v>60</v>
      </c>
      <c r="AH46" s="47">
        <f t="shared" si="2"/>
        <v>35</v>
      </c>
      <c r="AI46" s="48">
        <f t="shared" si="3"/>
        <v>35</v>
      </c>
      <c r="AK46" s="49"/>
    </row>
    <row r="47" spans="1:88" ht="15.75" thickBot="1" x14ac:dyDescent="0.3">
      <c r="A47" s="66" t="s">
        <v>55</v>
      </c>
      <c r="B47" s="67">
        <v>18.100000000000001</v>
      </c>
      <c r="C47" s="67">
        <v>18.100000000000001</v>
      </c>
      <c r="D47" s="67">
        <v>18.100000000000001</v>
      </c>
      <c r="E47" s="67">
        <v>18.100000000000001</v>
      </c>
      <c r="F47" s="67">
        <v>18.100000000000001</v>
      </c>
      <c r="G47" s="67">
        <v>18.100000000000001</v>
      </c>
      <c r="H47" s="67">
        <v>18.100000000000001</v>
      </c>
      <c r="I47" s="67">
        <v>18.100000000000001</v>
      </c>
      <c r="J47" s="67">
        <v>18.100000000000001</v>
      </c>
      <c r="K47" s="67">
        <v>18.100000000000001</v>
      </c>
      <c r="L47" s="67">
        <v>18.100000000000001</v>
      </c>
      <c r="M47" s="67">
        <v>15.1</v>
      </c>
      <c r="N47" s="67">
        <v>15.1</v>
      </c>
      <c r="O47" s="67">
        <v>15.1</v>
      </c>
      <c r="P47" s="67">
        <v>11.7</v>
      </c>
      <c r="Q47" s="67">
        <v>11.7</v>
      </c>
      <c r="R47" s="67">
        <v>11.7</v>
      </c>
      <c r="S47" s="67">
        <v>8.6999999999999993</v>
      </c>
      <c r="T47" s="67">
        <v>8.6999999999999993</v>
      </c>
      <c r="U47" s="67">
        <v>8.6999999999999993</v>
      </c>
      <c r="V47" s="67">
        <v>8.6999999999999993</v>
      </c>
      <c r="W47" s="67">
        <v>8.6999999999999993</v>
      </c>
      <c r="X47" s="67">
        <v>18.100000000000001</v>
      </c>
      <c r="Y47" s="67">
        <v>18.100000000000001</v>
      </c>
      <c r="Z47" s="67">
        <v>18.100000000000001</v>
      </c>
      <c r="AA47" s="67">
        <v>18.100000000000001</v>
      </c>
      <c r="AB47" s="67">
        <v>11.3</v>
      </c>
      <c r="AC47" s="67">
        <v>11.2</v>
      </c>
      <c r="AD47" s="67">
        <v>11.2</v>
      </c>
      <c r="AE47" s="67">
        <v>11.2</v>
      </c>
      <c r="AF47" s="67">
        <v>11.2</v>
      </c>
      <c r="AG47" s="68">
        <v>22.1</v>
      </c>
      <c r="AH47" s="47">
        <f t="shared" si="2"/>
        <v>18.100000000000001</v>
      </c>
      <c r="AI47" s="48">
        <f t="shared" si="3"/>
        <v>8.6999999999999993</v>
      </c>
      <c r="AK47" s="49"/>
    </row>
    <row r="48" spans="1:88" ht="15.75" thickBot="1" x14ac:dyDescent="0.3">
      <c r="A48" s="69" t="s">
        <v>56</v>
      </c>
      <c r="B48" s="60">
        <f t="shared" ref="B48:AG48" si="5">SUM(B45:B47)</f>
        <v>83.1</v>
      </c>
      <c r="C48" s="60">
        <f t="shared" si="5"/>
        <v>83.1</v>
      </c>
      <c r="D48" s="60">
        <f t="shared" si="5"/>
        <v>68.099999999999994</v>
      </c>
      <c r="E48" s="60">
        <f t="shared" si="5"/>
        <v>98.1</v>
      </c>
      <c r="F48" s="60">
        <f t="shared" si="5"/>
        <v>88.1</v>
      </c>
      <c r="G48" s="60">
        <f>SUM(G45:G47)</f>
        <v>53.1</v>
      </c>
      <c r="H48" s="60">
        <f>SUM(H45:H47)</f>
        <v>133.1</v>
      </c>
      <c r="I48" s="60">
        <f t="shared" si="5"/>
        <v>173.1</v>
      </c>
      <c r="J48" s="60">
        <f t="shared" si="5"/>
        <v>163.1</v>
      </c>
      <c r="K48" s="60">
        <f t="shared" si="5"/>
        <v>198.1</v>
      </c>
      <c r="L48" s="60">
        <f t="shared" si="5"/>
        <v>283.10000000000002</v>
      </c>
      <c r="M48" s="60">
        <f t="shared" si="5"/>
        <v>345.1</v>
      </c>
      <c r="N48" s="60">
        <f t="shared" si="5"/>
        <v>355.1</v>
      </c>
      <c r="O48" s="60">
        <f>SUM(O45:O47)</f>
        <v>259.10000000000002</v>
      </c>
      <c r="P48" s="60">
        <f t="shared" si="5"/>
        <v>76.7</v>
      </c>
      <c r="Q48" s="60">
        <f t="shared" si="5"/>
        <v>116.7</v>
      </c>
      <c r="R48" s="60">
        <f t="shared" si="5"/>
        <v>96.7</v>
      </c>
      <c r="S48" s="60">
        <f t="shared" si="5"/>
        <v>103.7</v>
      </c>
      <c r="T48" s="60">
        <f t="shared" si="5"/>
        <v>103.7</v>
      </c>
      <c r="U48" s="60">
        <f t="shared" si="5"/>
        <v>83.7</v>
      </c>
      <c r="V48" s="60">
        <f t="shared" si="5"/>
        <v>83.7</v>
      </c>
      <c r="W48" s="60">
        <f t="shared" si="5"/>
        <v>88.7</v>
      </c>
      <c r="X48" s="60">
        <f t="shared" si="5"/>
        <v>203.1</v>
      </c>
      <c r="Y48" s="60">
        <f t="shared" si="5"/>
        <v>313.10000000000002</v>
      </c>
      <c r="Z48" s="60">
        <f t="shared" si="5"/>
        <v>323.10000000000002</v>
      </c>
      <c r="AA48" s="60">
        <f t="shared" si="5"/>
        <v>313.10000000000002</v>
      </c>
      <c r="AB48" s="60">
        <f t="shared" si="5"/>
        <v>261.3</v>
      </c>
      <c r="AC48" s="60">
        <f t="shared" si="5"/>
        <v>196.2</v>
      </c>
      <c r="AD48" s="60">
        <f t="shared" si="5"/>
        <v>196.2</v>
      </c>
      <c r="AE48" s="60">
        <f t="shared" si="5"/>
        <v>106.2</v>
      </c>
      <c r="AF48" s="60">
        <f t="shared" si="5"/>
        <v>76.2</v>
      </c>
      <c r="AG48" s="61">
        <f t="shared" si="5"/>
        <v>538.1</v>
      </c>
      <c r="AH48" s="47">
        <f t="shared" si="2"/>
        <v>355.1</v>
      </c>
      <c r="AI48" s="48">
        <f t="shared" si="3"/>
        <v>53.1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20</v>
      </c>
      <c r="I49" s="45">
        <v>93</v>
      </c>
      <c r="J49" s="45">
        <v>124.7</v>
      </c>
      <c r="K49" s="45">
        <v>124.1</v>
      </c>
      <c r="L49" s="45">
        <v>124.1</v>
      </c>
      <c r="M49" s="45">
        <v>142.6</v>
      </c>
      <c r="N49" s="45">
        <v>104</v>
      </c>
      <c r="O49" s="45">
        <v>61</v>
      </c>
      <c r="P49" s="45">
        <v>81.400000000000006</v>
      </c>
      <c r="Q49" s="45">
        <v>85</v>
      </c>
      <c r="R49" s="45">
        <v>66</v>
      </c>
      <c r="S49" s="45">
        <v>61.2</v>
      </c>
      <c r="T49" s="45">
        <v>61.2</v>
      </c>
      <c r="U49" s="45">
        <v>61.2</v>
      </c>
      <c r="V49" s="45">
        <v>66.2</v>
      </c>
      <c r="W49" s="45">
        <v>61.4</v>
      </c>
      <c r="X49" s="45">
        <v>123</v>
      </c>
      <c r="Y49" s="45">
        <v>142</v>
      </c>
      <c r="Z49" s="45">
        <v>105</v>
      </c>
      <c r="AA49" s="45">
        <v>105</v>
      </c>
      <c r="AB49" s="45">
        <v>103.9</v>
      </c>
      <c r="AC49" s="45">
        <v>103.9</v>
      </c>
      <c r="AD49" s="45">
        <v>120</v>
      </c>
      <c r="AE49" s="45">
        <v>62.1</v>
      </c>
      <c r="AF49" s="45">
        <v>0</v>
      </c>
      <c r="AG49" s="51">
        <v>144</v>
      </c>
      <c r="AH49" s="47">
        <f t="shared" si="2"/>
        <v>142.6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22</v>
      </c>
      <c r="H50" s="65">
        <v>25</v>
      </c>
      <c r="I50" s="65">
        <v>24.8</v>
      </c>
      <c r="J50" s="65">
        <v>30</v>
      </c>
      <c r="K50" s="65">
        <v>68.8</v>
      </c>
      <c r="L50" s="65">
        <v>68.8</v>
      </c>
      <c r="M50" s="65">
        <v>71.8</v>
      </c>
      <c r="N50" s="65">
        <v>54.4</v>
      </c>
      <c r="O50" s="65">
        <v>45</v>
      </c>
      <c r="P50" s="65">
        <v>59.7</v>
      </c>
      <c r="Q50" s="65">
        <v>62.7</v>
      </c>
      <c r="R50" s="65">
        <v>25.1</v>
      </c>
      <c r="S50" s="45">
        <v>28.6</v>
      </c>
      <c r="T50" s="45">
        <v>19.600000000000001</v>
      </c>
      <c r="U50" s="45">
        <v>22.5</v>
      </c>
      <c r="V50" s="45">
        <v>21.6</v>
      </c>
      <c r="W50" s="45">
        <v>24.8</v>
      </c>
      <c r="X50" s="45">
        <v>35.700000000000003</v>
      </c>
      <c r="Y50" s="45">
        <v>64</v>
      </c>
      <c r="Z50" s="45">
        <v>51</v>
      </c>
      <c r="AA50" s="45">
        <v>51</v>
      </c>
      <c r="AB50" s="65">
        <v>48.8</v>
      </c>
      <c r="AC50" s="65">
        <v>65</v>
      </c>
      <c r="AD50" s="65">
        <v>63.9</v>
      </c>
      <c r="AE50" s="65">
        <v>25.1</v>
      </c>
      <c r="AF50" s="65">
        <v>25.2</v>
      </c>
      <c r="AG50" s="54">
        <v>70</v>
      </c>
      <c r="AH50" s="47">
        <f t="shared" si="2"/>
        <v>71.8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60</v>
      </c>
      <c r="C51" s="65">
        <v>35</v>
      </c>
      <c r="D51" s="65">
        <v>18</v>
      </c>
      <c r="E51" s="65">
        <v>18</v>
      </c>
      <c r="F51" s="65">
        <v>18</v>
      </c>
      <c r="G51" s="65">
        <v>18</v>
      </c>
      <c r="H51" s="65">
        <v>18</v>
      </c>
      <c r="I51" s="65">
        <v>34.6</v>
      </c>
      <c r="J51" s="65">
        <v>52</v>
      </c>
      <c r="K51" s="65">
        <v>69.3</v>
      </c>
      <c r="L51" s="65">
        <v>69.3</v>
      </c>
      <c r="M51" s="65">
        <v>68.3</v>
      </c>
      <c r="N51" s="65">
        <v>45.5</v>
      </c>
      <c r="O51" s="65">
        <v>32</v>
      </c>
      <c r="P51" s="65">
        <v>40.200000000000003</v>
      </c>
      <c r="Q51" s="65">
        <v>16</v>
      </c>
      <c r="R51" s="65">
        <v>16.600000000000001</v>
      </c>
      <c r="S51" s="45">
        <v>0</v>
      </c>
      <c r="T51" s="45">
        <v>17.8</v>
      </c>
      <c r="U51" s="45">
        <v>17.8</v>
      </c>
      <c r="V51" s="45">
        <v>34.700000000000003</v>
      </c>
      <c r="W51" s="45">
        <v>50.1</v>
      </c>
      <c r="X51" s="45">
        <v>70</v>
      </c>
      <c r="Y51" s="45">
        <v>52</v>
      </c>
      <c r="Z51" s="45">
        <v>52</v>
      </c>
      <c r="AA51" s="45">
        <v>52</v>
      </c>
      <c r="AB51" s="65">
        <v>51.2</v>
      </c>
      <c r="AC51" s="65">
        <v>68.3</v>
      </c>
      <c r="AD51" s="65">
        <v>67.8</v>
      </c>
      <c r="AE51" s="65">
        <v>60.7</v>
      </c>
      <c r="AF51" s="65">
        <v>32.299999999999997</v>
      </c>
      <c r="AG51" s="54">
        <v>69</v>
      </c>
      <c r="AH51" s="47">
        <f t="shared" si="2"/>
        <v>70</v>
      </c>
      <c r="AI51" s="48">
        <f t="shared" si="3"/>
        <v>0</v>
      </c>
      <c r="AK51" s="49"/>
    </row>
    <row r="52" spans="1:41" x14ac:dyDescent="0.25">
      <c r="A52" s="53" t="s">
        <v>60</v>
      </c>
      <c r="B52" s="56">
        <v>50</v>
      </c>
      <c r="C52" s="56">
        <v>50</v>
      </c>
      <c r="D52" s="56">
        <v>50</v>
      </c>
      <c r="E52" s="56">
        <v>50</v>
      </c>
      <c r="F52" s="56">
        <v>50</v>
      </c>
      <c r="G52" s="56">
        <v>50</v>
      </c>
      <c r="H52" s="56">
        <v>50</v>
      </c>
      <c r="I52" s="56">
        <v>50</v>
      </c>
      <c r="J52" s="56">
        <v>50</v>
      </c>
      <c r="K52" s="56">
        <v>50</v>
      </c>
      <c r="L52" s="56">
        <v>50</v>
      </c>
      <c r="M52" s="65">
        <v>49.1</v>
      </c>
      <c r="N52" s="65">
        <v>49.1</v>
      </c>
      <c r="O52" s="65">
        <v>49.1</v>
      </c>
      <c r="P52" s="65">
        <v>51</v>
      </c>
      <c r="Q52" s="65">
        <v>51</v>
      </c>
      <c r="R52" s="65">
        <v>50.9</v>
      </c>
      <c r="S52" s="45">
        <v>48.9</v>
      </c>
      <c r="T52" s="45">
        <v>48.9</v>
      </c>
      <c r="U52" s="45">
        <v>47</v>
      </c>
      <c r="V52" s="45">
        <v>46.9</v>
      </c>
      <c r="W52" s="45">
        <v>46.9</v>
      </c>
      <c r="X52" s="65">
        <v>46.9</v>
      </c>
      <c r="Y52" s="65">
        <v>46.9</v>
      </c>
      <c r="Z52" s="65">
        <v>46.9</v>
      </c>
      <c r="AA52" s="65">
        <v>46.9</v>
      </c>
      <c r="AB52" s="65">
        <v>46.4</v>
      </c>
      <c r="AC52" s="65">
        <v>46.6</v>
      </c>
      <c r="AD52" s="65">
        <v>48.4</v>
      </c>
      <c r="AE52" s="65">
        <v>50.4</v>
      </c>
      <c r="AF52" s="65">
        <v>50.4</v>
      </c>
      <c r="AG52" s="54">
        <v>60</v>
      </c>
      <c r="AH52" s="47">
        <f t="shared" si="2"/>
        <v>51</v>
      </c>
      <c r="AI52" s="48">
        <f t="shared" si="3"/>
        <v>46.4</v>
      </c>
      <c r="AK52" s="49"/>
    </row>
    <row r="53" spans="1:41" x14ac:dyDescent="0.25">
      <c r="A53" s="53" t="s">
        <v>61</v>
      </c>
      <c r="B53" s="56">
        <v>0</v>
      </c>
      <c r="C53" s="56">
        <v>0</v>
      </c>
      <c r="D53" s="56">
        <v>0</v>
      </c>
      <c r="E53" s="56">
        <v>0</v>
      </c>
      <c r="F53" s="56">
        <v>10</v>
      </c>
      <c r="G53" s="56">
        <v>10</v>
      </c>
      <c r="H53" s="56">
        <v>10</v>
      </c>
      <c r="I53" s="56">
        <v>20.7</v>
      </c>
      <c r="J53" s="56">
        <v>20.7</v>
      </c>
      <c r="K53" s="56">
        <v>23.6</v>
      </c>
      <c r="L53" s="56">
        <v>23.6</v>
      </c>
      <c r="M53" s="65">
        <v>27</v>
      </c>
      <c r="N53" s="65">
        <v>27</v>
      </c>
      <c r="O53" s="65">
        <v>20</v>
      </c>
      <c r="P53" s="65">
        <v>9.1999999999999993</v>
      </c>
      <c r="Q53" s="65">
        <v>9.1999999999999993</v>
      </c>
      <c r="R53" s="65">
        <v>0</v>
      </c>
      <c r="S53" s="65">
        <v>0</v>
      </c>
      <c r="T53" s="65">
        <v>0</v>
      </c>
      <c r="U53" s="65">
        <v>0</v>
      </c>
      <c r="V53" s="45">
        <v>0</v>
      </c>
      <c r="W53" s="45">
        <v>0</v>
      </c>
      <c r="X53" s="65">
        <v>9.3000000000000007</v>
      </c>
      <c r="Y53" s="65">
        <v>25</v>
      </c>
      <c r="Z53" s="65">
        <v>22</v>
      </c>
      <c r="AA53" s="65">
        <v>14.8</v>
      </c>
      <c r="AB53" s="65">
        <v>10.1</v>
      </c>
      <c r="AC53" s="65">
        <v>10.8</v>
      </c>
      <c r="AD53" s="65">
        <v>10.6</v>
      </c>
      <c r="AE53" s="65">
        <v>8.9</v>
      </c>
      <c r="AF53" s="65">
        <v>0</v>
      </c>
      <c r="AG53" s="54">
        <v>30</v>
      </c>
      <c r="AH53" s="47">
        <f t="shared" si="2"/>
        <v>27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8</v>
      </c>
      <c r="T54" s="65">
        <v>8</v>
      </c>
      <c r="U54" s="65">
        <v>8</v>
      </c>
      <c r="V54" s="65">
        <v>8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8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17.100000000000001</v>
      </c>
      <c r="C55" s="65">
        <v>17.100000000000001</v>
      </c>
      <c r="D55" s="65">
        <v>17.100000000000001</v>
      </c>
      <c r="E55" s="65">
        <v>17.100000000000001</v>
      </c>
      <c r="F55" s="65">
        <v>17.100000000000001</v>
      </c>
      <c r="G55" s="65">
        <v>17.100000000000001</v>
      </c>
      <c r="H55" s="65">
        <v>17.100000000000001</v>
      </c>
      <c r="I55" s="65">
        <v>17.100000000000001</v>
      </c>
      <c r="J55" s="65">
        <v>17.100000000000001</v>
      </c>
      <c r="K55" s="65">
        <v>17.100000000000001</v>
      </c>
      <c r="L55" s="65">
        <v>17.100000000000001</v>
      </c>
      <c r="M55" s="65">
        <v>17.100000000000001</v>
      </c>
      <c r="N55" s="65">
        <v>17.100000000000001</v>
      </c>
      <c r="O55" s="65">
        <v>17.100000000000001</v>
      </c>
      <c r="P55" s="65">
        <v>17.100000000000001</v>
      </c>
      <c r="Q55" s="65">
        <v>17.100000000000001</v>
      </c>
      <c r="R55" s="65">
        <v>17.100000000000001</v>
      </c>
      <c r="S55" s="65">
        <v>17.100000000000001</v>
      </c>
      <c r="T55" s="65">
        <v>17.100000000000001</v>
      </c>
      <c r="U55" s="65">
        <v>17.100000000000001</v>
      </c>
      <c r="V55" s="65">
        <v>17.100000000000001</v>
      </c>
      <c r="W55" s="65">
        <v>17.100000000000001</v>
      </c>
      <c r="X55" s="65">
        <v>17.100000000000001</v>
      </c>
      <c r="Y55" s="65">
        <v>17.100000000000001</v>
      </c>
      <c r="Z55" s="65">
        <v>17.100000000000001</v>
      </c>
      <c r="AA55" s="65">
        <v>17.100000000000001</v>
      </c>
      <c r="AB55" s="65">
        <v>17.100000000000001</v>
      </c>
      <c r="AC55" s="65">
        <v>17.100000000000001</v>
      </c>
      <c r="AD55" s="65">
        <v>17.100000000000001</v>
      </c>
      <c r="AE55" s="65">
        <v>17.100000000000001</v>
      </c>
      <c r="AF55" s="65">
        <v>17.100000000000001</v>
      </c>
      <c r="AG55" s="54">
        <v>24</v>
      </c>
      <c r="AH55" s="47">
        <f t="shared" si="2"/>
        <v>17.100000000000001</v>
      </c>
      <c r="AI55" s="48">
        <f t="shared" si="3"/>
        <v>17.100000000000001</v>
      </c>
      <c r="AK55" s="49"/>
    </row>
    <row r="56" spans="1:41" x14ac:dyDescent="0.25">
      <c r="A56" s="53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4">
        <v>15</v>
      </c>
      <c r="AH56" s="47">
        <f t="shared" si="2"/>
        <v>3.2</v>
      </c>
      <c r="AI56" s="48">
        <f t="shared" si="3"/>
        <v>3.2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12.9</v>
      </c>
      <c r="C57" s="65">
        <v>12.9</v>
      </c>
      <c r="D57" s="65">
        <v>12.9</v>
      </c>
      <c r="E57" s="65">
        <v>12.9</v>
      </c>
      <c r="F57" s="65">
        <v>12.9</v>
      </c>
      <c r="G57" s="65">
        <v>12.9</v>
      </c>
      <c r="H57" s="65">
        <v>12.9</v>
      </c>
      <c r="I57" s="65">
        <v>12.9</v>
      </c>
      <c r="J57" s="65">
        <v>12.9</v>
      </c>
      <c r="K57" s="65">
        <v>12.9</v>
      </c>
      <c r="L57" s="65">
        <v>12.9</v>
      </c>
      <c r="M57" s="65">
        <v>12.9</v>
      </c>
      <c r="N57" s="65">
        <v>12.9</v>
      </c>
      <c r="O57" s="65">
        <v>12.9</v>
      </c>
      <c r="P57" s="65">
        <v>12.9</v>
      </c>
      <c r="Q57" s="65">
        <v>12.9</v>
      </c>
      <c r="R57" s="65">
        <v>12.9</v>
      </c>
      <c r="S57" s="65">
        <v>12.9</v>
      </c>
      <c r="T57" s="65">
        <v>12.9</v>
      </c>
      <c r="U57" s="65">
        <v>12.9</v>
      </c>
      <c r="V57" s="65">
        <v>12.9</v>
      </c>
      <c r="W57" s="65">
        <v>12.9</v>
      </c>
      <c r="X57" s="65">
        <v>12.9</v>
      </c>
      <c r="Y57" s="65">
        <v>12.9</v>
      </c>
      <c r="Z57" s="65">
        <v>12.9</v>
      </c>
      <c r="AA57" s="65">
        <v>12.9</v>
      </c>
      <c r="AB57" s="65">
        <v>12.9</v>
      </c>
      <c r="AC57" s="65">
        <v>12.9</v>
      </c>
      <c r="AD57" s="65">
        <v>12.1</v>
      </c>
      <c r="AE57" s="65">
        <v>12.1</v>
      </c>
      <c r="AF57" s="65">
        <v>12.1</v>
      </c>
      <c r="AG57" s="54">
        <v>14.1</v>
      </c>
      <c r="AH57" s="47">
        <f t="shared" si="2"/>
        <v>12.9</v>
      </c>
      <c r="AI57" s="48">
        <f t="shared" si="3"/>
        <v>12.1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5.0999999999999996</v>
      </c>
      <c r="C58" s="65">
        <v>5.0999999999999996</v>
      </c>
      <c r="D58" s="65">
        <v>5.0999999999999996</v>
      </c>
      <c r="E58" s="65">
        <v>5.0999999999999996</v>
      </c>
      <c r="F58" s="65">
        <v>5.0999999999999996</v>
      </c>
      <c r="G58" s="65">
        <v>5.0999999999999996</v>
      </c>
      <c r="H58" s="65">
        <v>5.0999999999999996</v>
      </c>
      <c r="I58" s="65">
        <v>5.0999999999999996</v>
      </c>
      <c r="J58" s="65">
        <v>5.0999999999999996</v>
      </c>
      <c r="K58" s="65">
        <v>5.0999999999999996</v>
      </c>
      <c r="L58" s="65">
        <v>5.0999999999999996</v>
      </c>
      <c r="M58" s="65">
        <v>5.0999999999999996</v>
      </c>
      <c r="N58" s="65">
        <v>5.0999999999999996</v>
      </c>
      <c r="O58" s="65">
        <v>5.0999999999999996</v>
      </c>
      <c r="P58" s="65">
        <v>5.0999999999999996</v>
      </c>
      <c r="Q58" s="65">
        <v>5.0999999999999996</v>
      </c>
      <c r="R58" s="65">
        <v>5.0999999999999996</v>
      </c>
      <c r="S58" s="65">
        <v>5.0999999999999996</v>
      </c>
      <c r="T58" s="65">
        <v>5.0999999999999996</v>
      </c>
      <c r="U58" s="65">
        <v>4.7</v>
      </c>
      <c r="V58" s="65">
        <v>4.7</v>
      </c>
      <c r="W58" s="65">
        <v>4.7</v>
      </c>
      <c r="X58" s="65">
        <v>4.7</v>
      </c>
      <c r="Y58" s="65">
        <v>3.3</v>
      </c>
      <c r="Z58" s="65">
        <v>3.3</v>
      </c>
      <c r="AA58" s="65">
        <v>3.3</v>
      </c>
      <c r="AB58" s="65">
        <v>3.3</v>
      </c>
      <c r="AC58" s="65">
        <v>3.3</v>
      </c>
      <c r="AD58" s="65">
        <v>4.7</v>
      </c>
      <c r="AE58" s="65">
        <v>4.7</v>
      </c>
      <c r="AF58" s="65">
        <v>4.7</v>
      </c>
      <c r="AG58" s="54">
        <v>14</v>
      </c>
      <c r="AH58" s="47">
        <f t="shared" si="2"/>
        <v>5.0999999999999996</v>
      </c>
      <c r="AI58" s="48">
        <f t="shared" si="3"/>
        <v>3.3</v>
      </c>
      <c r="AK58" s="49"/>
    </row>
    <row r="59" spans="1:41" x14ac:dyDescent="0.25">
      <c r="A59" s="53" t="s">
        <v>67</v>
      </c>
      <c r="B59" s="65">
        <v>5.2</v>
      </c>
      <c r="C59" s="65">
        <v>5.2</v>
      </c>
      <c r="D59" s="65">
        <v>5.2</v>
      </c>
      <c r="E59" s="65">
        <v>5.2</v>
      </c>
      <c r="F59" s="65">
        <v>5.2</v>
      </c>
      <c r="G59" s="65">
        <v>5.2</v>
      </c>
      <c r="H59" s="65">
        <v>5.2</v>
      </c>
      <c r="I59" s="65">
        <v>5.2</v>
      </c>
      <c r="J59" s="65">
        <v>5.2</v>
      </c>
      <c r="K59" s="65">
        <v>5.2</v>
      </c>
      <c r="L59" s="65">
        <v>5.2</v>
      </c>
      <c r="M59" s="65">
        <v>5.2</v>
      </c>
      <c r="N59" s="65">
        <v>5.2</v>
      </c>
      <c r="O59" s="65">
        <v>5.2</v>
      </c>
      <c r="P59" s="65">
        <v>5.2</v>
      </c>
      <c r="Q59" s="65">
        <v>5.2</v>
      </c>
      <c r="R59" s="65">
        <v>5.2</v>
      </c>
      <c r="S59" s="65">
        <v>5.2</v>
      </c>
      <c r="T59" s="65">
        <v>5.2</v>
      </c>
      <c r="U59" s="65">
        <v>5.2</v>
      </c>
      <c r="V59" s="65">
        <v>5.2</v>
      </c>
      <c r="W59" s="65">
        <v>5.2</v>
      </c>
      <c r="X59" s="65">
        <v>5.2</v>
      </c>
      <c r="Y59" s="65">
        <v>5.2</v>
      </c>
      <c r="Z59" s="65">
        <v>5.2</v>
      </c>
      <c r="AA59" s="65">
        <v>5.2</v>
      </c>
      <c r="AB59" s="65">
        <v>5.2</v>
      </c>
      <c r="AC59" s="65">
        <v>5.2</v>
      </c>
      <c r="AD59" s="65">
        <v>5.2</v>
      </c>
      <c r="AE59" s="65">
        <v>5.2</v>
      </c>
      <c r="AF59" s="65">
        <v>5.2</v>
      </c>
      <c r="AG59" s="54">
        <v>10.050000000000001</v>
      </c>
      <c r="AH59" s="47">
        <f t="shared" si="2"/>
        <v>5.2</v>
      </c>
      <c r="AI59" s="48">
        <f t="shared" si="3"/>
        <v>5.2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 t="shared" ref="B62:AG62" si="6">SUM(B49:B61)</f>
        <v>160.23999999999995</v>
      </c>
      <c r="C62" s="60">
        <f t="shared" si="6"/>
        <v>135.23999999999998</v>
      </c>
      <c r="D62" s="60">
        <f t="shared" si="6"/>
        <v>118.24000000000001</v>
      </c>
      <c r="E62" s="60">
        <f t="shared" si="6"/>
        <v>118.24000000000001</v>
      </c>
      <c r="F62" s="60">
        <f t="shared" si="6"/>
        <v>128.24</v>
      </c>
      <c r="G62" s="60">
        <f>SUM(G49:G61)</f>
        <v>150.23999999999995</v>
      </c>
      <c r="H62" s="60">
        <f>SUM(H49:H61)</f>
        <v>173.23999999999995</v>
      </c>
      <c r="I62" s="60">
        <f t="shared" si="6"/>
        <v>273.33999999999997</v>
      </c>
      <c r="J62" s="60">
        <f t="shared" si="6"/>
        <v>327.64</v>
      </c>
      <c r="K62" s="60">
        <f t="shared" si="6"/>
        <v>386.04</v>
      </c>
      <c r="L62" s="60">
        <f t="shared" si="6"/>
        <v>386.04</v>
      </c>
      <c r="M62" s="60">
        <f t="shared" si="6"/>
        <v>409.04</v>
      </c>
      <c r="N62" s="60">
        <f t="shared" si="6"/>
        <v>330.24</v>
      </c>
      <c r="O62" s="60">
        <f t="shared" si="6"/>
        <v>257.33999999999997</v>
      </c>
      <c r="P62" s="60">
        <f t="shared" si="6"/>
        <v>291.74</v>
      </c>
      <c r="Q62" s="60">
        <f t="shared" si="6"/>
        <v>274.14</v>
      </c>
      <c r="R62" s="60">
        <f t="shared" si="6"/>
        <v>208.83999999999995</v>
      </c>
      <c r="S62" s="60">
        <f t="shared" si="6"/>
        <v>196.93999999999997</v>
      </c>
      <c r="T62" s="60">
        <f t="shared" si="6"/>
        <v>205.73999999999995</v>
      </c>
      <c r="U62" s="60">
        <f t="shared" si="6"/>
        <v>206.33999999999995</v>
      </c>
      <c r="V62" s="60">
        <f t="shared" si="6"/>
        <v>227.23999999999995</v>
      </c>
      <c r="W62" s="60">
        <f t="shared" si="6"/>
        <v>233.03999999999996</v>
      </c>
      <c r="X62" s="60">
        <f t="shared" si="6"/>
        <v>334.73999999999995</v>
      </c>
      <c r="Y62" s="60">
        <f t="shared" si="6"/>
        <v>378.34</v>
      </c>
      <c r="Z62" s="60">
        <f t="shared" si="6"/>
        <v>325.33999999999997</v>
      </c>
      <c r="AA62" s="60">
        <f t="shared" si="6"/>
        <v>318.14</v>
      </c>
      <c r="AB62" s="60">
        <f t="shared" si="6"/>
        <v>308.83999999999997</v>
      </c>
      <c r="AC62" s="60">
        <f t="shared" si="6"/>
        <v>343.04</v>
      </c>
      <c r="AD62" s="60">
        <f t="shared" si="6"/>
        <v>359.74</v>
      </c>
      <c r="AE62" s="60">
        <f t="shared" si="6"/>
        <v>256.23999999999995</v>
      </c>
      <c r="AF62" s="60">
        <f t="shared" si="6"/>
        <v>156.93999999999994</v>
      </c>
      <c r="AG62" s="61">
        <f t="shared" si="6"/>
        <v>489.91</v>
      </c>
      <c r="AH62" s="47">
        <f t="shared" si="2"/>
        <v>409.04</v>
      </c>
      <c r="AI62" s="48">
        <f t="shared" si="3"/>
        <v>118.24000000000001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29</v>
      </c>
      <c r="N63" s="45">
        <v>29</v>
      </c>
      <c r="O63" s="45">
        <v>30</v>
      </c>
      <c r="P63" s="45">
        <v>30</v>
      </c>
      <c r="Q63" s="45">
        <v>60</v>
      </c>
      <c r="R63" s="45"/>
      <c r="S63" s="45">
        <v>60</v>
      </c>
      <c r="T63" s="45">
        <v>60</v>
      </c>
      <c r="U63" s="45">
        <v>45</v>
      </c>
      <c r="V63" s="45">
        <v>30</v>
      </c>
      <c r="W63" s="45">
        <v>34</v>
      </c>
      <c r="X63" s="45">
        <v>40</v>
      </c>
      <c r="Y63" s="45">
        <v>60</v>
      </c>
      <c r="Z63" s="45">
        <v>60</v>
      </c>
      <c r="AA63" s="45">
        <v>45</v>
      </c>
      <c r="AB63" s="45">
        <v>45</v>
      </c>
      <c r="AC63" s="45">
        <v>35</v>
      </c>
      <c r="AD63" s="45">
        <v>20</v>
      </c>
      <c r="AE63" s="45">
        <v>0</v>
      </c>
      <c r="AF63" s="45">
        <v>0</v>
      </c>
      <c r="AG63" s="51">
        <v>60</v>
      </c>
      <c r="AH63" s="47">
        <f t="shared" si="2"/>
        <v>60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13.6</v>
      </c>
      <c r="N64" s="65">
        <v>13.6</v>
      </c>
      <c r="O64" s="65">
        <v>15</v>
      </c>
      <c r="P64" s="65">
        <v>15</v>
      </c>
      <c r="Q64" s="45">
        <v>18</v>
      </c>
      <c r="R64" s="45"/>
      <c r="S64" s="65">
        <v>27</v>
      </c>
      <c r="T64" s="65">
        <v>27</v>
      </c>
      <c r="U64" s="65">
        <v>18.3</v>
      </c>
      <c r="V64" s="65">
        <v>14.2</v>
      </c>
      <c r="W64" s="65">
        <v>10.6</v>
      </c>
      <c r="X64" s="65">
        <v>15.9</v>
      </c>
      <c r="Y64" s="65">
        <v>27.2</v>
      </c>
      <c r="Z64" s="65">
        <v>28.2</v>
      </c>
      <c r="AA64" s="65">
        <v>19.100000000000001</v>
      </c>
      <c r="AB64" s="65">
        <v>16.5</v>
      </c>
      <c r="AC64" s="65">
        <v>16.600000000000001</v>
      </c>
      <c r="AD64" s="65">
        <v>8.6999999999999993</v>
      </c>
      <c r="AE64" s="65">
        <v>0</v>
      </c>
      <c r="AF64" s="65">
        <v>0</v>
      </c>
      <c r="AG64" s="54">
        <v>32</v>
      </c>
      <c r="AH64" s="47">
        <f t="shared" si="2"/>
        <v>28.2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5</v>
      </c>
      <c r="N65" s="67">
        <v>5</v>
      </c>
      <c r="O65" s="67">
        <v>5.5</v>
      </c>
      <c r="P65" s="67">
        <v>5.5</v>
      </c>
      <c r="Q65" s="45">
        <v>6.5</v>
      </c>
      <c r="R65" s="45"/>
      <c r="S65" s="67">
        <v>9.9</v>
      </c>
      <c r="T65" s="67">
        <v>9.9</v>
      </c>
      <c r="U65" s="67">
        <v>6.7</v>
      </c>
      <c r="V65" s="67">
        <v>5.2</v>
      </c>
      <c r="W65" s="67">
        <v>3.9</v>
      </c>
      <c r="X65" s="67">
        <v>5.8</v>
      </c>
      <c r="Y65" s="67">
        <v>9.9</v>
      </c>
      <c r="Z65" s="67">
        <v>10.3</v>
      </c>
      <c r="AA65" s="67">
        <v>6.9</v>
      </c>
      <c r="AB65" s="67">
        <v>6</v>
      </c>
      <c r="AC65" s="67">
        <v>6</v>
      </c>
      <c r="AD65" s="67">
        <v>3.2</v>
      </c>
      <c r="AE65" s="67">
        <v>0</v>
      </c>
      <c r="AF65" s="67">
        <v>0</v>
      </c>
      <c r="AG65" s="68">
        <v>14</v>
      </c>
      <c r="AH65" s="47">
        <f t="shared" si="2"/>
        <v>10.3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0</v>
      </c>
      <c r="M66" s="60">
        <f t="shared" ref="M66:AF66" si="7">M63+M64+M65</f>
        <v>47.6</v>
      </c>
      <c r="N66" s="60">
        <f t="shared" si="7"/>
        <v>47.6</v>
      </c>
      <c r="O66" s="60">
        <f t="shared" si="7"/>
        <v>50.5</v>
      </c>
      <c r="P66" s="60">
        <f t="shared" si="7"/>
        <v>50.5</v>
      </c>
      <c r="Q66" s="60">
        <f t="shared" si="7"/>
        <v>84.5</v>
      </c>
      <c r="R66" s="60">
        <f t="shared" si="7"/>
        <v>0</v>
      </c>
      <c r="S66" s="60">
        <f t="shared" si="7"/>
        <v>96.9</v>
      </c>
      <c r="T66" s="60">
        <f t="shared" si="7"/>
        <v>96.9</v>
      </c>
      <c r="U66" s="60">
        <f t="shared" si="7"/>
        <v>70</v>
      </c>
      <c r="V66" s="60">
        <f t="shared" si="7"/>
        <v>49.400000000000006</v>
      </c>
      <c r="W66" s="60">
        <f t="shared" si="7"/>
        <v>48.5</v>
      </c>
      <c r="X66" s="60">
        <f t="shared" si="7"/>
        <v>61.699999999999996</v>
      </c>
      <c r="Y66" s="60">
        <f t="shared" si="7"/>
        <v>97.100000000000009</v>
      </c>
      <c r="Z66" s="60">
        <f t="shared" si="7"/>
        <v>98.5</v>
      </c>
      <c r="AA66" s="60">
        <f t="shared" si="7"/>
        <v>71</v>
      </c>
      <c r="AB66" s="60">
        <f t="shared" si="7"/>
        <v>67.5</v>
      </c>
      <c r="AC66" s="60">
        <f t="shared" si="7"/>
        <v>57.6</v>
      </c>
      <c r="AD66" s="60">
        <f t="shared" si="7"/>
        <v>31.9</v>
      </c>
      <c r="AE66" s="60">
        <f t="shared" si="7"/>
        <v>0</v>
      </c>
      <c r="AF66" s="60">
        <f t="shared" si="7"/>
        <v>0</v>
      </c>
      <c r="AG66" s="61">
        <f>SUM(AG63:AG65)</f>
        <v>106</v>
      </c>
      <c r="AH66" s="47">
        <f t="shared" si="2"/>
        <v>98.5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64</v>
      </c>
      <c r="C67" s="45">
        <v>67</v>
      </c>
      <c r="D67" s="45">
        <v>65</v>
      </c>
      <c r="E67" s="45">
        <v>65</v>
      </c>
      <c r="F67" s="45">
        <v>50.5</v>
      </c>
      <c r="G67" s="45">
        <v>50.5</v>
      </c>
      <c r="H67" s="45">
        <v>60</v>
      </c>
      <c r="I67" s="45">
        <v>66.400000000000006</v>
      </c>
      <c r="J67" s="45">
        <v>63.6</v>
      </c>
      <c r="K67" s="45">
        <v>66.8</v>
      </c>
      <c r="L67" s="45">
        <v>72.3</v>
      </c>
      <c r="M67" s="45">
        <v>72.2</v>
      </c>
      <c r="N67" s="45">
        <v>63.2</v>
      </c>
      <c r="O67" s="45">
        <v>67</v>
      </c>
      <c r="P67" s="45">
        <v>61</v>
      </c>
      <c r="Q67" s="45">
        <v>72</v>
      </c>
      <c r="R67" s="45">
        <v>64</v>
      </c>
      <c r="S67" s="45">
        <v>64</v>
      </c>
      <c r="T67" s="45">
        <v>61</v>
      </c>
      <c r="U67" s="45">
        <v>64</v>
      </c>
      <c r="V67" s="45">
        <v>62.2</v>
      </c>
      <c r="W67" s="45">
        <v>58.5</v>
      </c>
      <c r="X67" s="45">
        <v>55</v>
      </c>
      <c r="Y67" s="45">
        <v>41</v>
      </c>
      <c r="Z67" s="45">
        <v>44.6</v>
      </c>
      <c r="AA67" s="45">
        <v>52</v>
      </c>
      <c r="AB67" s="45">
        <v>47</v>
      </c>
      <c r="AC67" s="45">
        <v>59</v>
      </c>
      <c r="AD67" s="45">
        <v>66.2</v>
      </c>
      <c r="AE67" s="45">
        <v>75.7</v>
      </c>
      <c r="AF67" s="45">
        <v>66.5</v>
      </c>
      <c r="AG67" s="51"/>
      <c r="AH67" s="47">
        <f t="shared" si="2"/>
        <v>75.7</v>
      </c>
      <c r="AI67" s="48">
        <f t="shared" si="3"/>
        <v>41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307</v>
      </c>
      <c r="C69" s="65">
        <v>305</v>
      </c>
      <c r="D69" s="65">
        <v>285</v>
      </c>
      <c r="E69" s="65">
        <v>285</v>
      </c>
      <c r="F69" s="65">
        <v>284</v>
      </c>
      <c r="G69" s="65">
        <v>284</v>
      </c>
      <c r="H69" s="65">
        <v>284</v>
      </c>
      <c r="I69" s="65">
        <v>280</v>
      </c>
      <c r="J69" s="65">
        <v>286</v>
      </c>
      <c r="K69" s="65">
        <v>250</v>
      </c>
      <c r="L69" s="65">
        <v>170</v>
      </c>
      <c r="M69" s="65">
        <v>116</v>
      </c>
      <c r="N69" s="65">
        <v>84.7</v>
      </c>
      <c r="O69" s="65">
        <v>212</v>
      </c>
      <c r="P69" s="65">
        <v>335</v>
      </c>
      <c r="Q69" s="65">
        <v>339</v>
      </c>
      <c r="R69" s="65">
        <v>320</v>
      </c>
      <c r="S69" s="65">
        <v>338</v>
      </c>
      <c r="T69" s="65">
        <v>331</v>
      </c>
      <c r="U69" s="65">
        <v>323</v>
      </c>
      <c r="V69" s="65">
        <v>315</v>
      </c>
      <c r="W69" s="65">
        <v>336</v>
      </c>
      <c r="X69" s="65">
        <v>251</v>
      </c>
      <c r="Y69" s="65">
        <v>145</v>
      </c>
      <c r="Z69" s="65">
        <v>156</v>
      </c>
      <c r="AA69" s="65">
        <v>186</v>
      </c>
      <c r="AB69" s="65">
        <v>243</v>
      </c>
      <c r="AC69" s="65">
        <v>295.10000000000002</v>
      </c>
      <c r="AD69" s="65">
        <v>295.10000000000002</v>
      </c>
      <c r="AE69" s="65">
        <v>344</v>
      </c>
      <c r="AF69" s="65">
        <v>335.9</v>
      </c>
      <c r="AG69" s="75"/>
      <c r="AH69" s="47">
        <f t="shared" si="2"/>
        <v>344</v>
      </c>
      <c r="AI69" s="48">
        <f t="shared" si="3"/>
        <v>84.7</v>
      </c>
      <c r="AK69" s="49"/>
    </row>
    <row r="70" spans="1:40" x14ac:dyDescent="0.25">
      <c r="A70" s="53" t="s">
        <v>78</v>
      </c>
      <c r="B70" s="76">
        <v>63</v>
      </c>
      <c r="C70" s="76">
        <v>62</v>
      </c>
      <c r="D70" s="76">
        <v>52</v>
      </c>
      <c r="E70" s="76">
        <v>52</v>
      </c>
      <c r="F70" s="76">
        <v>52</v>
      </c>
      <c r="G70" s="76">
        <v>52</v>
      </c>
      <c r="H70" s="76">
        <v>52</v>
      </c>
      <c r="I70" s="76">
        <v>52</v>
      </c>
      <c r="J70" s="76">
        <v>52</v>
      </c>
      <c r="K70" s="76">
        <v>66</v>
      </c>
      <c r="L70" s="76">
        <v>66</v>
      </c>
      <c r="M70" s="76">
        <v>70.8</v>
      </c>
      <c r="N70" s="76">
        <v>65.400000000000006</v>
      </c>
      <c r="O70" s="76">
        <v>66.8</v>
      </c>
      <c r="P70" s="76">
        <v>68.8</v>
      </c>
      <c r="Q70" s="76">
        <v>55.6</v>
      </c>
      <c r="R70" s="76">
        <v>60</v>
      </c>
      <c r="S70" s="76">
        <v>58.7</v>
      </c>
      <c r="T70" s="76">
        <v>58.7</v>
      </c>
      <c r="U70" s="76">
        <v>60</v>
      </c>
      <c r="V70" s="76">
        <v>54.4</v>
      </c>
      <c r="W70" s="76">
        <v>56.3</v>
      </c>
      <c r="X70" s="76">
        <v>48.7</v>
      </c>
      <c r="Y70" s="65">
        <v>47.3</v>
      </c>
      <c r="Z70" s="65">
        <v>48.4</v>
      </c>
      <c r="AA70" s="65">
        <v>49</v>
      </c>
      <c r="AB70" s="65">
        <v>46.5</v>
      </c>
      <c r="AC70" s="65">
        <v>46</v>
      </c>
      <c r="AD70" s="65">
        <v>57.3</v>
      </c>
      <c r="AE70" s="65">
        <v>56.2</v>
      </c>
      <c r="AF70" s="65">
        <v>58.4</v>
      </c>
      <c r="AG70" s="75"/>
      <c r="AH70" s="47">
        <f t="shared" si="2"/>
        <v>70.8</v>
      </c>
      <c r="AI70" s="48">
        <f t="shared" si="3"/>
        <v>46</v>
      </c>
      <c r="AK70" s="49"/>
    </row>
    <row r="71" spans="1:40" x14ac:dyDescent="0.25">
      <c r="A71" s="53" t="s">
        <v>79</v>
      </c>
      <c r="B71" s="45">
        <v>30</v>
      </c>
      <c r="C71" s="45">
        <v>30</v>
      </c>
      <c r="D71" s="45">
        <v>30</v>
      </c>
      <c r="E71" s="45">
        <v>30</v>
      </c>
      <c r="F71" s="45">
        <v>30</v>
      </c>
      <c r="G71" s="45">
        <v>30</v>
      </c>
      <c r="H71" s="45">
        <v>30</v>
      </c>
      <c r="I71" s="45">
        <v>30</v>
      </c>
      <c r="J71" s="45">
        <v>30</v>
      </c>
      <c r="K71" s="45">
        <v>24.8</v>
      </c>
      <c r="L71" s="45">
        <v>24.8</v>
      </c>
      <c r="M71" s="45">
        <v>31.1</v>
      </c>
      <c r="N71" s="45">
        <v>47.8</v>
      </c>
      <c r="O71" s="45">
        <v>41.8</v>
      </c>
      <c r="P71" s="45">
        <v>29</v>
      </c>
      <c r="Q71" s="45">
        <v>34.1</v>
      </c>
      <c r="R71" s="45">
        <v>34.6</v>
      </c>
      <c r="S71" s="45">
        <v>33.4</v>
      </c>
      <c r="T71" s="45">
        <v>33.4</v>
      </c>
      <c r="U71" s="45">
        <v>34</v>
      </c>
      <c r="V71" s="45">
        <v>30.4</v>
      </c>
      <c r="W71" s="45">
        <v>27</v>
      </c>
      <c r="X71" s="45">
        <v>28.4</v>
      </c>
      <c r="Y71" s="45">
        <v>41</v>
      </c>
      <c r="Z71" s="45">
        <v>41</v>
      </c>
      <c r="AA71" s="45">
        <v>40.700000000000003</v>
      </c>
      <c r="AB71" s="45">
        <v>41.3</v>
      </c>
      <c r="AC71" s="45">
        <v>16.3</v>
      </c>
      <c r="AD71" s="45">
        <v>18.3</v>
      </c>
      <c r="AE71" s="45">
        <v>21.9</v>
      </c>
      <c r="AF71" s="45">
        <v>21.1</v>
      </c>
      <c r="AG71" s="75"/>
      <c r="AH71" s="47">
        <f t="shared" si="2"/>
        <v>47.8</v>
      </c>
      <c r="AI71" s="48">
        <f t="shared" si="3"/>
        <v>16.3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5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8">MAX(B75:AF75)</f>
        <v>0</v>
      </c>
      <c r="AI75" s="48">
        <f t="shared" ref="AI75:AI113" si="9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8"/>
        <v>0</v>
      </c>
      <c r="AI76" s="48">
        <f t="shared" si="9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8"/>
        <v>0</v>
      </c>
      <c r="AI77" s="48">
        <f t="shared" si="9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F78" si="10">SUMIF(B67:B77,"&gt;0")</f>
        <v>469</v>
      </c>
      <c r="C78" s="60">
        <f t="shared" si="10"/>
        <v>469</v>
      </c>
      <c r="D78" s="60">
        <f t="shared" si="10"/>
        <v>437</v>
      </c>
      <c r="E78" s="60">
        <f t="shared" si="10"/>
        <v>437</v>
      </c>
      <c r="F78" s="60">
        <f t="shared" si="10"/>
        <v>421.5</v>
      </c>
      <c r="G78" s="60">
        <f>SUMIF(G67:G77,"&gt;0")</f>
        <v>421.5</v>
      </c>
      <c r="H78" s="60">
        <f>SUMIF(H67:H77,"&gt;0")</f>
        <v>431</v>
      </c>
      <c r="I78" s="60">
        <f t="shared" si="10"/>
        <v>433.4</v>
      </c>
      <c r="J78" s="60">
        <f t="shared" si="10"/>
        <v>436.6</v>
      </c>
      <c r="K78" s="60">
        <f t="shared" si="10"/>
        <v>412.6</v>
      </c>
      <c r="L78" s="60">
        <f t="shared" si="10"/>
        <v>338.1</v>
      </c>
      <c r="M78" s="60">
        <f t="shared" si="10"/>
        <v>295.10000000000002</v>
      </c>
      <c r="N78" s="60">
        <f t="shared" si="10"/>
        <v>266.10000000000002</v>
      </c>
      <c r="O78" s="60">
        <f t="shared" si="10"/>
        <v>392.6</v>
      </c>
      <c r="P78" s="60">
        <f t="shared" si="10"/>
        <v>498.8</v>
      </c>
      <c r="Q78" s="60">
        <f t="shared" si="10"/>
        <v>505.70000000000005</v>
      </c>
      <c r="R78" s="60">
        <f t="shared" si="10"/>
        <v>483.6</v>
      </c>
      <c r="S78" s="60">
        <f t="shared" si="10"/>
        <v>499.09999999999997</v>
      </c>
      <c r="T78" s="60">
        <f t="shared" si="10"/>
        <v>489.09999999999997</v>
      </c>
      <c r="U78" s="60">
        <f t="shared" si="10"/>
        <v>486</v>
      </c>
      <c r="V78" s="60">
        <f t="shared" si="10"/>
        <v>466.99999999999994</v>
      </c>
      <c r="W78" s="60">
        <f t="shared" si="10"/>
        <v>482.8</v>
      </c>
      <c r="X78" s="60">
        <f t="shared" si="10"/>
        <v>388.09999999999997</v>
      </c>
      <c r="Y78" s="60">
        <f t="shared" si="10"/>
        <v>279.3</v>
      </c>
      <c r="Z78" s="60">
        <f t="shared" si="10"/>
        <v>295</v>
      </c>
      <c r="AA78" s="60">
        <f t="shared" si="10"/>
        <v>332.7</v>
      </c>
      <c r="AB78" s="60">
        <f t="shared" si="10"/>
        <v>382.8</v>
      </c>
      <c r="AC78" s="60">
        <f t="shared" si="10"/>
        <v>421.40000000000003</v>
      </c>
      <c r="AD78" s="60">
        <f t="shared" si="10"/>
        <v>441.90000000000003</v>
      </c>
      <c r="AE78" s="60">
        <f t="shared" si="10"/>
        <v>502.79999999999995</v>
      </c>
      <c r="AF78" s="60">
        <f t="shared" si="10"/>
        <v>486.9</v>
      </c>
      <c r="AG78" s="88">
        <f>SUM(AG67:AG77)</f>
        <v>0</v>
      </c>
      <c r="AH78" s="47">
        <f t="shared" si="8"/>
        <v>505.70000000000005</v>
      </c>
      <c r="AI78" s="48">
        <f t="shared" si="9"/>
        <v>266.10000000000002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8"/>
        <v>0</v>
      </c>
      <c r="AI79" s="48">
        <f t="shared" si="9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8"/>
        <v>0</v>
      </c>
      <c r="AI80" s="48">
        <f t="shared" si="9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8"/>
        <v>0</v>
      </c>
      <c r="AI81" s="48">
        <f t="shared" si="9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8"/>
        <v>0</v>
      </c>
      <c r="AI82" s="48">
        <f t="shared" si="9"/>
        <v>0</v>
      </c>
    </row>
    <row r="83" spans="1:37" ht="15.75" thickBot="1" x14ac:dyDescent="0.3">
      <c r="A83" s="74" t="s">
        <v>94</v>
      </c>
      <c r="B83" s="95">
        <f>B44+B48+B66+B62+B78+B82</f>
        <v>1163.04</v>
      </c>
      <c r="C83" s="95">
        <f t="shared" ref="C83:AG83" si="11">C44+C48+C66+C62+C78+C82</f>
        <v>1138.04</v>
      </c>
      <c r="D83" s="95">
        <f t="shared" si="11"/>
        <v>1074.04</v>
      </c>
      <c r="E83" s="95">
        <f t="shared" si="11"/>
        <v>1104.04</v>
      </c>
      <c r="F83" s="95">
        <f t="shared" si="11"/>
        <v>1088.54</v>
      </c>
      <c r="G83" s="95">
        <f>G44+G48+G66+G62+G78+G82</f>
        <v>1075.54</v>
      </c>
      <c r="H83" s="95">
        <f>H44+H48+H66+H62+H78+H82</f>
        <v>1188.04</v>
      </c>
      <c r="I83" s="95">
        <f t="shared" si="11"/>
        <v>1330.6399999999999</v>
      </c>
      <c r="J83" s="95">
        <f t="shared" si="11"/>
        <v>1375.44</v>
      </c>
      <c r="K83" s="95">
        <f t="shared" si="11"/>
        <v>1444.6399999999999</v>
      </c>
      <c r="L83" s="95">
        <f t="shared" si="11"/>
        <v>1455.1399999999999</v>
      </c>
      <c r="M83" s="95">
        <f t="shared" si="11"/>
        <v>1544.7400000000002</v>
      </c>
      <c r="N83" s="95">
        <f t="shared" si="11"/>
        <v>1446.94</v>
      </c>
      <c r="O83" s="95">
        <f t="shared" si="11"/>
        <v>1407.44</v>
      </c>
      <c r="P83" s="95">
        <f t="shared" si="11"/>
        <v>1364.74</v>
      </c>
      <c r="Q83" s="95">
        <f t="shared" si="11"/>
        <v>1428.04</v>
      </c>
      <c r="R83" s="95">
        <f t="shared" si="11"/>
        <v>1236.1399999999999</v>
      </c>
      <c r="S83" s="95">
        <f t="shared" si="11"/>
        <v>1343.6399999999999</v>
      </c>
      <c r="T83" s="95">
        <f t="shared" si="11"/>
        <v>1342.4399999999998</v>
      </c>
      <c r="U83" s="95">
        <f t="shared" si="11"/>
        <v>1293.04</v>
      </c>
      <c r="V83" s="95">
        <f t="shared" si="11"/>
        <v>1274.3399999999999</v>
      </c>
      <c r="W83" s="95">
        <f t="shared" si="11"/>
        <v>1300.04</v>
      </c>
      <c r="X83" s="95">
        <f t="shared" si="11"/>
        <v>1434.6399999999999</v>
      </c>
      <c r="Y83" s="95">
        <f t="shared" si="11"/>
        <v>1514.84</v>
      </c>
      <c r="Z83" s="95">
        <f t="shared" si="11"/>
        <v>1488.9399999999998</v>
      </c>
      <c r="AA83" s="95">
        <f t="shared" si="11"/>
        <v>1481.9399999999998</v>
      </c>
      <c r="AB83" s="95">
        <f t="shared" si="11"/>
        <v>1470.34</v>
      </c>
      <c r="AC83" s="95">
        <f t="shared" si="11"/>
        <v>1467.5400000000002</v>
      </c>
      <c r="AD83" s="95">
        <f t="shared" si="11"/>
        <v>1478.44</v>
      </c>
      <c r="AE83" s="95">
        <f t="shared" si="11"/>
        <v>1315.4399999999998</v>
      </c>
      <c r="AF83" s="95">
        <f t="shared" si="11"/>
        <v>1170.04</v>
      </c>
      <c r="AG83" s="61">
        <f t="shared" si="11"/>
        <v>2004.1900000000003</v>
      </c>
      <c r="AH83" s="47">
        <f>MAX(B83:AF83)</f>
        <v>1544.7400000000002</v>
      </c>
      <c r="AI83" s="48">
        <f>MIN(B83:AF83)</f>
        <v>1074.04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>
        <v>250</v>
      </c>
      <c r="N84" s="97">
        <v>250</v>
      </c>
      <c r="O84" s="97">
        <v>250</v>
      </c>
      <c r="P84" s="97">
        <v>240</v>
      </c>
      <c r="Q84" s="97"/>
      <c r="R84" s="97"/>
      <c r="S84" s="97"/>
      <c r="T84" s="97"/>
      <c r="U84" s="97"/>
      <c r="V84" s="97"/>
      <c r="W84" s="97"/>
      <c r="X84" s="97">
        <v>200</v>
      </c>
      <c r="Y84" s="97">
        <v>200</v>
      </c>
      <c r="Z84" s="97">
        <v>180</v>
      </c>
      <c r="AA84" s="97">
        <v>140</v>
      </c>
      <c r="AB84" s="97">
        <v>80</v>
      </c>
      <c r="AC84" s="97"/>
      <c r="AD84" s="97">
        <v>0</v>
      </c>
      <c r="AE84" s="97"/>
      <c r="AF84" s="97"/>
      <c r="AG84" s="88"/>
      <c r="AH84" s="47">
        <f t="shared" si="8"/>
        <v>250</v>
      </c>
      <c r="AI84" s="48">
        <f t="shared" si="9"/>
        <v>0</v>
      </c>
    </row>
    <row r="85" spans="1:37" ht="15.75" thickBot="1" x14ac:dyDescent="0.3">
      <c r="A85" s="74" t="s">
        <v>96</v>
      </c>
      <c r="B85" s="95">
        <f>B83+B84</f>
        <v>1163.04</v>
      </c>
      <c r="C85" s="95">
        <f t="shared" ref="C85:AF85" si="12">C83+C84</f>
        <v>1138.04</v>
      </c>
      <c r="D85" s="95">
        <f t="shared" si="12"/>
        <v>1074.04</v>
      </c>
      <c r="E85" s="95">
        <f t="shared" si="12"/>
        <v>1104.04</v>
      </c>
      <c r="F85" s="95">
        <f t="shared" si="12"/>
        <v>1088.54</v>
      </c>
      <c r="G85" s="95">
        <f>G83+G84</f>
        <v>1075.54</v>
      </c>
      <c r="H85" s="95">
        <f>H83+H84</f>
        <v>1188.04</v>
      </c>
      <c r="I85" s="95">
        <f t="shared" si="12"/>
        <v>1330.6399999999999</v>
      </c>
      <c r="J85" s="95">
        <f t="shared" si="12"/>
        <v>1375.44</v>
      </c>
      <c r="K85" s="95">
        <f t="shared" si="12"/>
        <v>1444.6399999999999</v>
      </c>
      <c r="L85" s="95">
        <f t="shared" si="12"/>
        <v>1455.1399999999999</v>
      </c>
      <c r="M85" s="95">
        <f t="shared" si="12"/>
        <v>1794.7400000000002</v>
      </c>
      <c r="N85" s="95">
        <f t="shared" si="12"/>
        <v>1696.94</v>
      </c>
      <c r="O85" s="95">
        <f t="shared" si="12"/>
        <v>1657.44</v>
      </c>
      <c r="P85" s="95">
        <f t="shared" si="12"/>
        <v>1604.74</v>
      </c>
      <c r="Q85" s="95">
        <f t="shared" si="12"/>
        <v>1428.04</v>
      </c>
      <c r="R85" s="95">
        <f t="shared" si="12"/>
        <v>1236.1399999999999</v>
      </c>
      <c r="S85" s="95">
        <f t="shared" si="12"/>
        <v>1343.6399999999999</v>
      </c>
      <c r="T85" s="95">
        <f t="shared" si="12"/>
        <v>1342.4399999999998</v>
      </c>
      <c r="U85" s="95">
        <f t="shared" si="12"/>
        <v>1293.04</v>
      </c>
      <c r="V85" s="95">
        <f t="shared" si="12"/>
        <v>1274.3399999999999</v>
      </c>
      <c r="W85" s="95">
        <f t="shared" si="12"/>
        <v>1300.04</v>
      </c>
      <c r="X85" s="95">
        <f t="shared" si="12"/>
        <v>1634.6399999999999</v>
      </c>
      <c r="Y85" s="95">
        <f t="shared" si="12"/>
        <v>1714.84</v>
      </c>
      <c r="Z85" s="95">
        <f t="shared" si="12"/>
        <v>1668.9399999999998</v>
      </c>
      <c r="AA85" s="95">
        <f t="shared" si="12"/>
        <v>1621.9399999999998</v>
      </c>
      <c r="AB85" s="95">
        <f t="shared" si="12"/>
        <v>1550.34</v>
      </c>
      <c r="AC85" s="95">
        <f t="shared" si="12"/>
        <v>1467.5400000000002</v>
      </c>
      <c r="AD85" s="95">
        <f t="shared" si="12"/>
        <v>1478.44</v>
      </c>
      <c r="AE85" s="95">
        <f t="shared" si="12"/>
        <v>1315.4399999999998</v>
      </c>
      <c r="AF85" s="95">
        <f t="shared" si="12"/>
        <v>1170.04</v>
      </c>
      <c r="AG85" s="88">
        <f>AG82+AG78+AG66+AG62+AG44+AG84</f>
        <v>1466.0900000000001</v>
      </c>
      <c r="AH85" s="47">
        <f t="shared" si="8"/>
        <v>1794.7400000000002</v>
      </c>
      <c r="AI85" s="48">
        <f t="shared" si="9"/>
        <v>1074.04</v>
      </c>
    </row>
    <row r="86" spans="1:37" ht="15.75" thickBot="1" x14ac:dyDescent="0.3">
      <c r="A86" s="74" t="s">
        <v>97</v>
      </c>
      <c r="B86" s="95">
        <f t="shared" ref="B86:AF86" si="13">B85-B93</f>
        <v>1163.04</v>
      </c>
      <c r="C86" s="95">
        <f t="shared" si="13"/>
        <v>1138.04</v>
      </c>
      <c r="D86" s="95">
        <f t="shared" si="13"/>
        <v>1074.04</v>
      </c>
      <c r="E86" s="95">
        <f t="shared" si="13"/>
        <v>1104.04</v>
      </c>
      <c r="F86" s="95">
        <f t="shared" si="13"/>
        <v>1088.54</v>
      </c>
      <c r="G86" s="95">
        <f>G85-G93</f>
        <v>1075.54</v>
      </c>
      <c r="H86" s="95">
        <f>H85-H93</f>
        <v>1188.04</v>
      </c>
      <c r="I86" s="95">
        <f t="shared" si="13"/>
        <v>1330.6399999999999</v>
      </c>
      <c r="J86" s="95">
        <f t="shared" si="13"/>
        <v>1375.44</v>
      </c>
      <c r="K86" s="95">
        <f t="shared" si="13"/>
        <v>1444.6399999999999</v>
      </c>
      <c r="L86" s="95">
        <f t="shared" si="13"/>
        <v>1455.1399999999999</v>
      </c>
      <c r="M86" s="95">
        <f t="shared" si="13"/>
        <v>1794.7400000000002</v>
      </c>
      <c r="N86" s="95">
        <f t="shared" si="13"/>
        <v>1696.94</v>
      </c>
      <c r="O86" s="95">
        <f t="shared" si="13"/>
        <v>1657.44</v>
      </c>
      <c r="P86" s="95">
        <f t="shared" si="13"/>
        <v>1604.74</v>
      </c>
      <c r="Q86" s="95">
        <f t="shared" si="13"/>
        <v>1428.04</v>
      </c>
      <c r="R86" s="95">
        <f t="shared" si="13"/>
        <v>1236.1399999999999</v>
      </c>
      <c r="S86" s="95">
        <f t="shared" si="13"/>
        <v>1343.6399999999999</v>
      </c>
      <c r="T86" s="95">
        <f t="shared" si="13"/>
        <v>1342.4399999999998</v>
      </c>
      <c r="U86" s="95">
        <f t="shared" si="13"/>
        <v>1293.04</v>
      </c>
      <c r="V86" s="95">
        <f t="shared" si="13"/>
        <v>1274.3399999999999</v>
      </c>
      <c r="W86" s="95">
        <f t="shared" si="13"/>
        <v>1300.04</v>
      </c>
      <c r="X86" s="95">
        <f t="shared" si="13"/>
        <v>1634.6399999999999</v>
      </c>
      <c r="Y86" s="95">
        <f t="shared" si="13"/>
        <v>1714.84</v>
      </c>
      <c r="Z86" s="95">
        <f t="shared" si="13"/>
        <v>1668.9399999999998</v>
      </c>
      <c r="AA86" s="95">
        <f t="shared" si="13"/>
        <v>1621.9399999999998</v>
      </c>
      <c r="AB86" s="95">
        <f t="shared" si="13"/>
        <v>1550.34</v>
      </c>
      <c r="AC86" s="95">
        <f t="shared" si="13"/>
        <v>1467.5400000000002</v>
      </c>
      <c r="AD86" s="95">
        <f t="shared" si="13"/>
        <v>1478.44</v>
      </c>
      <c r="AE86" s="95">
        <f t="shared" si="13"/>
        <v>1315.4399999999998</v>
      </c>
      <c r="AF86" s="95">
        <f t="shared" si="13"/>
        <v>1170.04</v>
      </c>
      <c r="AG86" s="88"/>
      <c r="AH86" s="47">
        <f t="shared" si="8"/>
        <v>1794.7400000000002</v>
      </c>
      <c r="AI86" s="48">
        <f t="shared" si="9"/>
        <v>1074.04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8"/>
        <v>0</v>
      </c>
      <c r="AI87" s="48">
        <f t="shared" si="9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8"/>
        <v>0</v>
      </c>
      <c r="AI88" s="48">
        <f t="shared" si="9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8"/>
        <v>0</v>
      </c>
      <c r="AI89" s="48">
        <f t="shared" si="9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8"/>
        <v>0</v>
      </c>
      <c r="AI90" s="48">
        <f t="shared" si="9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8"/>
        <v>0</v>
      </c>
      <c r="AI91" s="48">
        <f t="shared" si="9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8"/>
        <v>0</v>
      </c>
      <c r="AI92" s="48">
        <f t="shared" si="9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88"/>
      <c r="AH93" s="47">
        <f t="shared" si="8"/>
        <v>0</v>
      </c>
      <c r="AI93" s="48">
        <f t="shared" si="9"/>
        <v>0</v>
      </c>
      <c r="AK93" s="49"/>
    </row>
    <row r="94" spans="1:37" ht="15.75" thickBot="1" x14ac:dyDescent="0.3">
      <c r="A94" s="74" t="s">
        <v>102</v>
      </c>
      <c r="B94" s="60">
        <f t="shared" ref="B94:AF94" si="14">B78-B93</f>
        <v>469</v>
      </c>
      <c r="C94" s="60">
        <f t="shared" si="14"/>
        <v>469</v>
      </c>
      <c r="D94" s="60">
        <f t="shared" si="14"/>
        <v>437</v>
      </c>
      <c r="E94" s="60">
        <f t="shared" si="14"/>
        <v>437</v>
      </c>
      <c r="F94" s="60">
        <f t="shared" si="14"/>
        <v>421.5</v>
      </c>
      <c r="G94" s="60">
        <f>G78-G93</f>
        <v>421.5</v>
      </c>
      <c r="H94" s="60">
        <f>H78-H93</f>
        <v>431</v>
      </c>
      <c r="I94" s="60">
        <f t="shared" si="14"/>
        <v>433.4</v>
      </c>
      <c r="J94" s="60">
        <f t="shared" si="14"/>
        <v>436.6</v>
      </c>
      <c r="K94" s="60">
        <f t="shared" si="14"/>
        <v>412.6</v>
      </c>
      <c r="L94" s="60">
        <f t="shared" si="14"/>
        <v>338.1</v>
      </c>
      <c r="M94" s="60">
        <f t="shared" si="14"/>
        <v>295.10000000000002</v>
      </c>
      <c r="N94" s="60">
        <f t="shared" si="14"/>
        <v>266.10000000000002</v>
      </c>
      <c r="O94" s="60">
        <f t="shared" si="14"/>
        <v>392.6</v>
      </c>
      <c r="P94" s="60">
        <f t="shared" si="14"/>
        <v>498.8</v>
      </c>
      <c r="Q94" s="60">
        <f t="shared" si="14"/>
        <v>505.70000000000005</v>
      </c>
      <c r="R94" s="60">
        <f t="shared" si="14"/>
        <v>483.6</v>
      </c>
      <c r="S94" s="60">
        <f t="shared" si="14"/>
        <v>499.09999999999997</v>
      </c>
      <c r="T94" s="60">
        <f t="shared" si="14"/>
        <v>489.09999999999997</v>
      </c>
      <c r="U94" s="60">
        <f t="shared" si="14"/>
        <v>486</v>
      </c>
      <c r="V94" s="60">
        <f t="shared" si="14"/>
        <v>466.99999999999994</v>
      </c>
      <c r="W94" s="60">
        <f t="shared" si="14"/>
        <v>482.8</v>
      </c>
      <c r="X94" s="60">
        <v>151.6</v>
      </c>
      <c r="Y94" s="60">
        <f t="shared" si="14"/>
        <v>279.3</v>
      </c>
      <c r="Z94" s="60">
        <f t="shared" si="14"/>
        <v>295</v>
      </c>
      <c r="AA94" s="60">
        <f t="shared" si="14"/>
        <v>332.7</v>
      </c>
      <c r="AB94" s="60">
        <f t="shared" si="14"/>
        <v>382.8</v>
      </c>
      <c r="AC94" s="60">
        <f t="shared" si="14"/>
        <v>421.40000000000003</v>
      </c>
      <c r="AD94" s="60">
        <f t="shared" si="14"/>
        <v>441.90000000000003</v>
      </c>
      <c r="AE94" s="60">
        <f t="shared" si="14"/>
        <v>502.79999999999995</v>
      </c>
      <c r="AF94" s="60">
        <f t="shared" si="14"/>
        <v>486.9</v>
      </c>
      <c r="AG94" s="88"/>
      <c r="AH94" s="47">
        <f t="shared" si="8"/>
        <v>505.70000000000005</v>
      </c>
      <c r="AI94" s="48">
        <f t="shared" si="9"/>
        <v>151.6</v>
      </c>
    </row>
    <row r="95" spans="1:37" x14ac:dyDescent="0.25">
      <c r="A95" s="100" t="s">
        <v>103</v>
      </c>
      <c r="B95" s="101">
        <v>49.93</v>
      </c>
      <c r="C95" s="101">
        <v>49.89</v>
      </c>
      <c r="D95" s="101">
        <v>50.03</v>
      </c>
      <c r="E95" s="101">
        <v>49.96</v>
      </c>
      <c r="F95" s="101">
        <v>50.02</v>
      </c>
      <c r="G95" s="101">
        <v>50.02</v>
      </c>
      <c r="H95" s="101">
        <v>50.02</v>
      </c>
      <c r="I95" s="101">
        <v>50.06</v>
      </c>
      <c r="J95" s="101">
        <v>49.92</v>
      </c>
      <c r="K95" s="101">
        <v>49.91</v>
      </c>
      <c r="L95" s="101">
        <v>49.73</v>
      </c>
      <c r="M95" s="101">
        <v>49.725999999999999</v>
      </c>
      <c r="N95" s="101">
        <v>49.58</v>
      </c>
      <c r="O95" s="101">
        <v>49.936999999999998</v>
      </c>
      <c r="P95" s="101">
        <v>50</v>
      </c>
      <c r="Q95" s="101">
        <v>49.820999999999998</v>
      </c>
      <c r="R95" s="101">
        <v>49.99</v>
      </c>
      <c r="S95" s="101">
        <v>50.308</v>
      </c>
      <c r="T95" s="101">
        <v>50.026000000000003</v>
      </c>
      <c r="U95" s="101">
        <v>49.899000000000001</v>
      </c>
      <c r="V95" s="101">
        <v>49.841999999999999</v>
      </c>
      <c r="W95" s="101">
        <v>50.005000000000003</v>
      </c>
      <c r="X95" s="101">
        <v>49.875</v>
      </c>
      <c r="Y95" s="101">
        <v>49.731999999999999</v>
      </c>
      <c r="Z95" s="101">
        <v>49.881999999999998</v>
      </c>
      <c r="AA95" s="101">
        <v>49.901000000000003</v>
      </c>
      <c r="AB95" s="101">
        <v>50.165999999999997</v>
      </c>
      <c r="AC95" s="101">
        <v>50.002000000000002</v>
      </c>
      <c r="AD95" s="101">
        <v>50.15</v>
      </c>
      <c r="AE95" s="101">
        <v>50.018000000000001</v>
      </c>
      <c r="AF95" s="101">
        <v>49.99</v>
      </c>
      <c r="AG95" s="102"/>
      <c r="AH95" s="47">
        <f t="shared" si="8"/>
        <v>50.308</v>
      </c>
      <c r="AI95" s="48">
        <f t="shared" si="9"/>
        <v>49.58</v>
      </c>
    </row>
    <row r="96" spans="1:37" x14ac:dyDescent="0.25">
      <c r="A96" s="103" t="s">
        <v>104</v>
      </c>
      <c r="B96" s="65">
        <v>128</v>
      </c>
      <c r="C96" s="65">
        <v>128</v>
      </c>
      <c r="D96" s="65">
        <v>128</v>
      </c>
      <c r="E96" s="65">
        <v>126.4</v>
      </c>
      <c r="F96" s="65">
        <v>126.4</v>
      </c>
      <c r="G96" s="65">
        <v>126.4</v>
      </c>
      <c r="H96" s="65">
        <v>126.4</v>
      </c>
      <c r="I96" s="65">
        <v>125.2</v>
      </c>
      <c r="J96" s="65">
        <v>125.9</v>
      </c>
      <c r="K96" s="65">
        <v>125.3</v>
      </c>
      <c r="L96" s="65">
        <v>124.9</v>
      </c>
      <c r="M96" s="65">
        <v>126</v>
      </c>
      <c r="N96" s="65">
        <v>128.1</v>
      </c>
      <c r="O96" s="65">
        <v>128.19999999999999</v>
      </c>
      <c r="P96" s="65">
        <v>126.9</v>
      </c>
      <c r="Q96" s="65">
        <v>124.9</v>
      </c>
      <c r="R96" s="65">
        <v>126.6</v>
      </c>
      <c r="S96" s="65">
        <v>126</v>
      </c>
      <c r="T96" s="65">
        <v>124.9</v>
      </c>
      <c r="U96" s="65">
        <v>128.4</v>
      </c>
      <c r="V96" s="65">
        <v>127.9</v>
      </c>
      <c r="W96" s="65">
        <v>128.19999999999999</v>
      </c>
      <c r="X96" s="65">
        <v>127.6</v>
      </c>
      <c r="Y96" s="65">
        <v>128.4</v>
      </c>
      <c r="Z96" s="65">
        <v>129.6</v>
      </c>
      <c r="AA96" s="65">
        <v>128.5</v>
      </c>
      <c r="AB96" s="65">
        <v>129.19999999999999</v>
      </c>
      <c r="AC96" s="65">
        <v>127.5</v>
      </c>
      <c r="AD96" s="65">
        <v>126.5</v>
      </c>
      <c r="AE96" s="65">
        <v>125.7</v>
      </c>
      <c r="AF96" s="65">
        <v>126.3</v>
      </c>
      <c r="AG96" s="104"/>
      <c r="AH96" s="47">
        <f t="shared" si="8"/>
        <v>129.6</v>
      </c>
      <c r="AI96" s="48">
        <f t="shared" si="9"/>
        <v>124.9</v>
      </c>
    </row>
    <row r="97" spans="1:35" x14ac:dyDescent="0.25">
      <c r="A97" s="103" t="s">
        <v>105</v>
      </c>
      <c r="B97" s="65">
        <v>132</v>
      </c>
      <c r="C97" s="65">
        <v>132</v>
      </c>
      <c r="D97" s="65">
        <v>132</v>
      </c>
      <c r="E97" s="65">
        <v>131.1</v>
      </c>
      <c r="F97" s="65">
        <v>131.1</v>
      </c>
      <c r="G97" s="65">
        <v>131.1</v>
      </c>
      <c r="H97" s="65">
        <v>131.1</v>
      </c>
      <c r="I97" s="65">
        <v>129.4</v>
      </c>
      <c r="J97" s="65">
        <v>128.69999999999999</v>
      </c>
      <c r="K97" s="65">
        <v>127</v>
      </c>
      <c r="L97" s="65">
        <v>126.4</v>
      </c>
      <c r="M97" s="65">
        <v>127</v>
      </c>
      <c r="N97" s="65">
        <v>128.69999999999999</v>
      </c>
      <c r="O97" s="65">
        <v>128.69999999999999</v>
      </c>
      <c r="P97" s="65">
        <v>128</v>
      </c>
      <c r="Q97" s="65">
        <v>128.19999999999999</v>
      </c>
      <c r="R97" s="65">
        <v>129.5</v>
      </c>
      <c r="S97" s="65">
        <v>128.69999999999999</v>
      </c>
      <c r="T97" s="65">
        <v>128.30000000000001</v>
      </c>
      <c r="U97" s="65">
        <v>130.19999999999999</v>
      </c>
      <c r="V97" s="65">
        <v>129.69999999999999</v>
      </c>
      <c r="W97" s="65">
        <v>129.80000000000001</v>
      </c>
      <c r="X97" s="65">
        <v>128.69999999999999</v>
      </c>
      <c r="Y97" s="65">
        <v>128.69999999999999</v>
      </c>
      <c r="Z97" s="65">
        <v>129.69999999999999</v>
      </c>
      <c r="AA97" s="65">
        <v>129.30000000000001</v>
      </c>
      <c r="AB97" s="65">
        <v>129.6</v>
      </c>
      <c r="AC97" s="65">
        <v>128.9</v>
      </c>
      <c r="AD97" s="65">
        <v>128.4</v>
      </c>
      <c r="AE97" s="65">
        <v>129.1</v>
      </c>
      <c r="AF97" s="65">
        <v>130.4</v>
      </c>
      <c r="AG97" s="104"/>
      <c r="AH97" s="47">
        <f t="shared" si="8"/>
        <v>132</v>
      </c>
      <c r="AI97" s="48">
        <f t="shared" si="9"/>
        <v>126.4</v>
      </c>
    </row>
    <row r="98" spans="1:35" x14ac:dyDescent="0.25">
      <c r="A98" s="103" t="s">
        <v>106</v>
      </c>
      <c r="B98" s="65">
        <v>133</v>
      </c>
      <c r="C98" s="65">
        <v>133</v>
      </c>
      <c r="D98" s="65">
        <v>133</v>
      </c>
      <c r="E98" s="65">
        <v>133.6</v>
      </c>
      <c r="F98" s="65">
        <v>132.9</v>
      </c>
      <c r="G98" s="65">
        <v>132.9</v>
      </c>
      <c r="H98" s="65">
        <v>132.9</v>
      </c>
      <c r="I98" s="65">
        <v>131.4</v>
      </c>
      <c r="J98" s="65">
        <v>126.3</v>
      </c>
      <c r="K98" s="65">
        <v>128.69999999999999</v>
      </c>
      <c r="L98" s="65">
        <v>127</v>
      </c>
      <c r="M98" s="65">
        <v>126</v>
      </c>
      <c r="N98" s="65">
        <v>127.7</v>
      </c>
      <c r="O98" s="65">
        <v>129.4</v>
      </c>
      <c r="P98" s="65">
        <v>127</v>
      </c>
      <c r="Q98" s="65">
        <v>131</v>
      </c>
      <c r="R98" s="65">
        <v>131.69999999999999</v>
      </c>
      <c r="S98" s="65">
        <v>128.19999999999999</v>
      </c>
      <c r="T98" s="65">
        <v>129.5</v>
      </c>
      <c r="U98" s="65">
        <v>130</v>
      </c>
      <c r="V98" s="65">
        <v>128.69999999999999</v>
      </c>
      <c r="W98" s="65">
        <v>129.30000000000001</v>
      </c>
      <c r="X98" s="65">
        <v>132</v>
      </c>
      <c r="Y98" s="65">
        <v>131.69999999999999</v>
      </c>
      <c r="Z98" s="65">
        <v>130.5</v>
      </c>
      <c r="AA98" s="65">
        <v>129.30000000000001</v>
      </c>
      <c r="AB98" s="65">
        <v>131</v>
      </c>
      <c r="AC98" s="65">
        <v>131.80000000000001</v>
      </c>
      <c r="AD98" s="65">
        <v>132.30000000000001</v>
      </c>
      <c r="AE98" s="65">
        <v>130.30000000000001</v>
      </c>
      <c r="AF98" s="65">
        <v>132.1</v>
      </c>
      <c r="AG98" s="104"/>
      <c r="AH98" s="47">
        <f t="shared" si="8"/>
        <v>133.6</v>
      </c>
      <c r="AI98" s="48">
        <f t="shared" si="9"/>
        <v>126</v>
      </c>
    </row>
    <row r="99" spans="1:35" x14ac:dyDescent="0.25">
      <c r="A99" s="105" t="s">
        <v>107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>
        <v>134.30000000000001</v>
      </c>
      <c r="AE99" s="65">
        <v>131.5</v>
      </c>
      <c r="AF99" s="65">
        <v>133.30000000000001</v>
      </c>
      <c r="AG99" s="104"/>
      <c r="AH99" s="47">
        <f t="shared" si="8"/>
        <v>134.30000000000001</v>
      </c>
      <c r="AI99" s="48">
        <f t="shared" si="9"/>
        <v>131.5</v>
      </c>
    </row>
    <row r="100" spans="1:35" x14ac:dyDescent="0.25">
      <c r="A100" s="105" t="s">
        <v>108</v>
      </c>
      <c r="B100" s="106">
        <v>135</v>
      </c>
      <c r="C100" s="106">
        <v>135</v>
      </c>
      <c r="D100" s="106">
        <v>135</v>
      </c>
      <c r="E100" s="106">
        <v>132.6</v>
      </c>
      <c r="F100" s="106">
        <v>130.80000000000001</v>
      </c>
      <c r="G100" s="106">
        <v>130.80000000000001</v>
      </c>
      <c r="H100" s="106">
        <v>130.80000000000001</v>
      </c>
      <c r="I100" s="106">
        <v>132.4</v>
      </c>
      <c r="J100" s="106">
        <v>131.4</v>
      </c>
      <c r="K100" s="106">
        <v>131.6</v>
      </c>
      <c r="L100" s="106">
        <v>131.19999999999999</v>
      </c>
      <c r="M100" s="106">
        <v>134.5</v>
      </c>
      <c r="N100" s="106">
        <v>134.19999999999999</v>
      </c>
      <c r="O100" s="106">
        <v>134</v>
      </c>
      <c r="P100" s="106">
        <v>134</v>
      </c>
      <c r="Q100" s="106">
        <v>130.6</v>
      </c>
      <c r="R100" s="106">
        <v>134.69999999999999</v>
      </c>
      <c r="S100" s="106">
        <v>132.4</v>
      </c>
      <c r="T100" s="106">
        <v>133.5</v>
      </c>
      <c r="U100" s="106">
        <v>134.4</v>
      </c>
      <c r="V100" s="106">
        <v>133.69999999999999</v>
      </c>
      <c r="W100" s="106">
        <v>135.4</v>
      </c>
      <c r="X100" s="106">
        <v>134.69999999999999</v>
      </c>
      <c r="Y100" s="106">
        <v>131.19999999999999</v>
      </c>
      <c r="Z100" s="106">
        <v>134.80000000000001</v>
      </c>
      <c r="AA100" s="106">
        <v>135</v>
      </c>
      <c r="AB100" s="106">
        <v>136.30000000000001</v>
      </c>
      <c r="AC100" s="106">
        <v>132.1</v>
      </c>
      <c r="AD100" s="106">
        <v>131.80000000000001</v>
      </c>
      <c r="AE100" s="106">
        <v>134.9</v>
      </c>
      <c r="AF100" s="106">
        <v>133.30000000000001</v>
      </c>
      <c r="AG100" s="107"/>
      <c r="AH100" s="47">
        <f t="shared" si="8"/>
        <v>136.30000000000001</v>
      </c>
      <c r="AI100" s="48">
        <f t="shared" si="9"/>
        <v>130.6</v>
      </c>
    </row>
    <row r="101" spans="1:35" x14ac:dyDescent="0.25">
      <c r="A101" s="103" t="s">
        <v>109</v>
      </c>
      <c r="B101" s="65">
        <v>131.5</v>
      </c>
      <c r="C101" s="65">
        <v>130</v>
      </c>
      <c r="D101" s="65">
        <v>130</v>
      </c>
      <c r="E101" s="65">
        <v>133.30000000000001</v>
      </c>
      <c r="F101" s="65">
        <v>131.19999999999999</v>
      </c>
      <c r="G101" s="65">
        <v>131.19999999999999</v>
      </c>
      <c r="H101" s="65">
        <v>131.19999999999999</v>
      </c>
      <c r="I101" s="65">
        <v>124.9</v>
      </c>
      <c r="J101" s="65">
        <v>128.80000000000001</v>
      </c>
      <c r="K101" s="65">
        <v>129.5</v>
      </c>
      <c r="L101" s="65">
        <v>124.7</v>
      </c>
      <c r="M101" s="65">
        <v>130</v>
      </c>
      <c r="N101" s="65">
        <v>127.4</v>
      </c>
      <c r="O101" s="65">
        <v>133.6</v>
      </c>
      <c r="P101" s="65">
        <v>132</v>
      </c>
      <c r="Q101" s="65">
        <v>131.30000000000001</v>
      </c>
      <c r="R101" s="65">
        <v>135.80000000000001</v>
      </c>
      <c r="S101" s="65">
        <v>139.1</v>
      </c>
      <c r="T101" s="65">
        <v>133.69999999999999</v>
      </c>
      <c r="U101" s="65">
        <v>130</v>
      </c>
      <c r="V101" s="65">
        <v>135.1</v>
      </c>
      <c r="W101" s="65">
        <v>132.1</v>
      </c>
      <c r="X101" s="65">
        <v>132.4</v>
      </c>
      <c r="Y101" s="65">
        <v>125.7</v>
      </c>
      <c r="Z101" s="65">
        <v>131.80000000000001</v>
      </c>
      <c r="AA101" s="65">
        <v>131.4</v>
      </c>
      <c r="AB101" s="65">
        <v>135.19999999999999</v>
      </c>
      <c r="AC101" s="65">
        <v>132.5</v>
      </c>
      <c r="AD101" s="65">
        <v>130.9</v>
      </c>
      <c r="AE101" s="65">
        <v>130.5</v>
      </c>
      <c r="AF101" s="65">
        <v>133.9</v>
      </c>
      <c r="AG101" s="104"/>
      <c r="AH101" s="47">
        <f t="shared" si="8"/>
        <v>139.1</v>
      </c>
      <c r="AI101" s="48">
        <f t="shared" si="9"/>
        <v>124.7</v>
      </c>
    </row>
    <row r="102" spans="1:35" ht="15.75" thickBot="1" x14ac:dyDescent="0.3">
      <c r="A102" s="103" t="s">
        <v>110</v>
      </c>
      <c r="B102" s="92">
        <v>66.3</v>
      </c>
      <c r="C102" s="92">
        <v>66.400000000000006</v>
      </c>
      <c r="D102" s="92">
        <v>66.400000000000006</v>
      </c>
      <c r="E102" s="92">
        <v>65.8</v>
      </c>
      <c r="F102" s="92">
        <v>65.5</v>
      </c>
      <c r="G102" s="92">
        <v>65.5</v>
      </c>
      <c r="H102" s="92">
        <v>65.5</v>
      </c>
      <c r="I102" s="92">
        <v>63.3</v>
      </c>
      <c r="J102" s="92">
        <v>64.599999999999994</v>
      </c>
      <c r="K102" s="92">
        <v>63.4</v>
      </c>
      <c r="L102" s="92">
        <v>63.5</v>
      </c>
      <c r="M102" s="92">
        <v>63.6</v>
      </c>
      <c r="N102" s="92">
        <v>64.099999999999994</v>
      </c>
      <c r="O102" s="92">
        <v>63.9</v>
      </c>
      <c r="P102" s="92">
        <v>63.9</v>
      </c>
      <c r="Q102" s="92">
        <v>64</v>
      </c>
      <c r="R102" s="92">
        <v>64</v>
      </c>
      <c r="S102" s="92">
        <v>64.400000000000006</v>
      </c>
      <c r="T102" s="92">
        <v>64.3</v>
      </c>
      <c r="U102" s="92">
        <v>65.3</v>
      </c>
      <c r="V102" s="92">
        <v>65</v>
      </c>
      <c r="W102" s="92">
        <v>65</v>
      </c>
      <c r="X102" s="92">
        <v>64.5</v>
      </c>
      <c r="Y102" s="92">
        <v>64.2</v>
      </c>
      <c r="Z102" s="92">
        <v>64.5</v>
      </c>
      <c r="AA102" s="92">
        <v>64.5</v>
      </c>
      <c r="AB102" s="92">
        <v>64.8</v>
      </c>
      <c r="AC102" s="92">
        <v>64.599999999999994</v>
      </c>
      <c r="AD102" s="92">
        <v>64.599999999999994</v>
      </c>
      <c r="AE102" s="92">
        <v>65.099999999999994</v>
      </c>
      <c r="AF102" s="92">
        <v>65.8</v>
      </c>
      <c r="AG102" s="108"/>
      <c r="AH102" s="47">
        <f t="shared" si="8"/>
        <v>66.400000000000006</v>
      </c>
      <c r="AI102" s="48">
        <f t="shared" si="9"/>
        <v>63.3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8"/>
        <v>0</v>
      </c>
      <c r="AI103" s="48">
        <f t="shared" si="9"/>
        <v>0</v>
      </c>
    </row>
    <row r="104" spans="1:35" ht="15.75" thickBot="1" x14ac:dyDescent="0.3">
      <c r="A104" s="110" t="s">
        <v>112</v>
      </c>
      <c r="B104" s="111">
        <f t="shared" ref="B104:AF104" si="15">SUM(B16,B22,B25:B26,B52,B54:B55,B57,B59,B105:B109,B131,B137,B143,B152,B154,B166,B173,B176:B177,B184,B186,B188,B192:B194,B196:B198,B203,B209:B210,B212:B214,B222,B227)</f>
        <v>176.60000000000002</v>
      </c>
      <c r="C104" s="111">
        <f t="shared" si="15"/>
        <v>158.54000000000002</v>
      </c>
      <c r="D104" s="111">
        <f t="shared" si="15"/>
        <v>140.54000000000002</v>
      </c>
      <c r="E104" s="111">
        <f t="shared" si="15"/>
        <v>144.34000000000003</v>
      </c>
      <c r="F104" s="111">
        <f t="shared" si="15"/>
        <v>142.44</v>
      </c>
      <c r="G104" s="111">
        <f>SUM(G16,G22,G25:G26,G52,G54:G55,G57,G59,G105:G109,G131,G137,G143,G152,G154,G166,G173,G176:G177,G184,G186,G188,G192:G194,G196:G198,G203,G209:G210,G212:G214,G222,G227)</f>
        <v>142.44</v>
      </c>
      <c r="H104" s="111">
        <f>SUM(H16,H22,H25:H26,H52,H54:H55,H57,H59,H105:H109,H131,H137,H143,H152,H154,H166,H173,H176:H177,H184,H186,H188,H192:H194,H196:H198,H203,H209:H210,H212:H214,H222,H227)</f>
        <v>162.84000000000003</v>
      </c>
      <c r="I104" s="111">
        <f t="shared" si="15"/>
        <v>247.84</v>
      </c>
      <c r="J104" s="111">
        <f t="shared" si="15"/>
        <v>243.24</v>
      </c>
      <c r="K104" s="111">
        <f t="shared" si="15"/>
        <v>365.03999999999996</v>
      </c>
      <c r="L104" s="111">
        <f t="shared" si="15"/>
        <v>389.44</v>
      </c>
      <c r="M104" s="111">
        <f t="shared" si="15"/>
        <v>422.74</v>
      </c>
      <c r="N104" s="111">
        <f t="shared" si="15"/>
        <v>402.74</v>
      </c>
      <c r="O104" s="111">
        <f t="shared" si="15"/>
        <v>396.24</v>
      </c>
      <c r="P104" s="111">
        <v>42</v>
      </c>
      <c r="Q104" s="111">
        <f t="shared" si="15"/>
        <v>336.09999999999997</v>
      </c>
      <c r="R104" s="111">
        <f t="shared" si="15"/>
        <v>311.89999999999998</v>
      </c>
      <c r="S104" s="111">
        <f t="shared" si="15"/>
        <v>306.5</v>
      </c>
      <c r="T104" s="111">
        <f t="shared" si="15"/>
        <v>302.8</v>
      </c>
      <c r="U104" s="111">
        <f t="shared" si="15"/>
        <v>317.5</v>
      </c>
      <c r="V104" s="111">
        <f t="shared" si="15"/>
        <v>348.40000000000003</v>
      </c>
      <c r="W104" s="111">
        <f t="shared" si="15"/>
        <v>367.90000000000003</v>
      </c>
      <c r="X104" s="111">
        <v>390.59708333333339</v>
      </c>
      <c r="Y104" s="111">
        <f t="shared" si="15"/>
        <v>467.70000000000005</v>
      </c>
      <c r="Z104" s="111">
        <f t="shared" si="15"/>
        <v>463</v>
      </c>
      <c r="AA104" s="111">
        <f t="shared" si="15"/>
        <v>456.6</v>
      </c>
      <c r="AB104" s="111">
        <f t="shared" si="15"/>
        <v>445.9</v>
      </c>
      <c r="AC104" s="111">
        <f t="shared" si="15"/>
        <v>420.6</v>
      </c>
      <c r="AD104" s="111">
        <f t="shared" si="15"/>
        <v>388.79999999999995</v>
      </c>
      <c r="AE104" s="111">
        <f t="shared" si="15"/>
        <v>298.10000000000002</v>
      </c>
      <c r="AF104" s="111">
        <f t="shared" si="15"/>
        <v>212.2</v>
      </c>
      <c r="AG104" s="112"/>
      <c r="AH104" s="47">
        <f t="shared" si="8"/>
        <v>467.70000000000005</v>
      </c>
      <c r="AI104" s="48">
        <f t="shared" si="9"/>
        <v>42</v>
      </c>
    </row>
    <row r="105" spans="1:35" x14ac:dyDescent="0.25">
      <c r="A105" s="100" t="s">
        <v>113</v>
      </c>
      <c r="B105" s="113">
        <v>1</v>
      </c>
      <c r="C105" s="113">
        <v>-3.5</v>
      </c>
      <c r="D105" s="113">
        <v>-12</v>
      </c>
      <c r="E105" s="113">
        <v>-8.6</v>
      </c>
      <c r="F105" s="113">
        <v>-10.5</v>
      </c>
      <c r="G105" s="113">
        <v>-10.5</v>
      </c>
      <c r="H105" s="113">
        <v>-8.5</v>
      </c>
      <c r="I105" s="113">
        <v>13.7</v>
      </c>
      <c r="J105" s="113">
        <v>33.4</v>
      </c>
      <c r="K105" s="113">
        <v>47.9</v>
      </c>
      <c r="L105" s="113">
        <v>49.9</v>
      </c>
      <c r="M105" s="113">
        <v>48.2</v>
      </c>
      <c r="N105" s="113">
        <v>33.9</v>
      </c>
      <c r="O105" s="113">
        <v>23.9</v>
      </c>
      <c r="P105" s="113">
        <v>31</v>
      </c>
      <c r="Q105" s="113">
        <v>23.8</v>
      </c>
      <c r="R105" s="113">
        <v>11.5</v>
      </c>
      <c r="S105" s="113">
        <v>-2.5</v>
      </c>
      <c r="T105" s="113">
        <v>5.6</v>
      </c>
      <c r="U105" s="113">
        <v>13.6</v>
      </c>
      <c r="V105" s="113">
        <v>21.8</v>
      </c>
      <c r="W105" s="113">
        <v>31.6</v>
      </c>
      <c r="X105" s="113">
        <v>45</v>
      </c>
      <c r="Y105" s="113">
        <v>31.7</v>
      </c>
      <c r="Z105" s="113">
        <v>31</v>
      </c>
      <c r="AA105" s="113">
        <v>32.4</v>
      </c>
      <c r="AB105" s="113">
        <v>35.1</v>
      </c>
      <c r="AC105" s="113">
        <v>40.200000000000003</v>
      </c>
      <c r="AD105" s="113">
        <v>40.700000000000003</v>
      </c>
      <c r="AE105" s="113">
        <v>26</v>
      </c>
      <c r="AF105" s="113">
        <v>6.1</v>
      </c>
      <c r="AG105" s="114">
        <v>75</v>
      </c>
      <c r="AH105" s="47">
        <f t="shared" si="8"/>
        <v>49.9</v>
      </c>
      <c r="AI105" s="48">
        <f t="shared" si="9"/>
        <v>-12</v>
      </c>
    </row>
    <row r="106" spans="1:35" x14ac:dyDescent="0.25">
      <c r="A106" s="103" t="s">
        <v>114</v>
      </c>
      <c r="B106" s="115">
        <v>1</v>
      </c>
      <c r="C106" s="115">
        <v>-4.5</v>
      </c>
      <c r="D106" s="115">
        <v>-11</v>
      </c>
      <c r="E106" s="115">
        <v>-6.5</v>
      </c>
      <c r="F106" s="115">
        <v>-9.4</v>
      </c>
      <c r="G106" s="115">
        <v>-9.4</v>
      </c>
      <c r="H106" s="115">
        <v>-4.5</v>
      </c>
      <c r="I106" s="115">
        <v>24.1</v>
      </c>
      <c r="J106" s="115" t="s">
        <v>690</v>
      </c>
      <c r="K106" s="115">
        <v>61.7</v>
      </c>
      <c r="L106" s="115">
        <v>64.400000000000006</v>
      </c>
      <c r="M106" s="115">
        <v>61.7</v>
      </c>
      <c r="N106" s="115">
        <v>42.1</v>
      </c>
      <c r="O106" s="115">
        <v>27.1</v>
      </c>
      <c r="P106" s="115">
        <v>40.9</v>
      </c>
      <c r="Q106" s="115">
        <v>33.299999999999997</v>
      </c>
      <c r="R106" s="115">
        <v>13.8</v>
      </c>
      <c r="S106" s="115">
        <v>-2.2000000000000002</v>
      </c>
      <c r="T106" s="115">
        <v>5.9</v>
      </c>
      <c r="U106" s="115">
        <v>16.8</v>
      </c>
      <c r="V106" s="115">
        <v>26.1</v>
      </c>
      <c r="W106" s="115">
        <v>37.799999999999997</v>
      </c>
      <c r="X106" s="115">
        <v>55.3</v>
      </c>
      <c r="Y106" s="115">
        <v>37</v>
      </c>
      <c r="Z106" s="115">
        <v>36</v>
      </c>
      <c r="AA106" s="115">
        <v>37.5</v>
      </c>
      <c r="AB106" s="115">
        <v>41.2</v>
      </c>
      <c r="AC106" s="115">
        <v>49.7</v>
      </c>
      <c r="AD106" s="115">
        <v>52.7</v>
      </c>
      <c r="AE106" s="115">
        <v>33.5</v>
      </c>
      <c r="AF106" s="115">
        <v>8</v>
      </c>
      <c r="AG106" s="114">
        <v>240</v>
      </c>
      <c r="AH106" s="47">
        <f t="shared" si="8"/>
        <v>64.400000000000006</v>
      </c>
      <c r="AI106" s="48">
        <f t="shared" si="9"/>
        <v>-11</v>
      </c>
    </row>
    <row r="107" spans="1:35" x14ac:dyDescent="0.25">
      <c r="A107" s="103" t="s">
        <v>115</v>
      </c>
      <c r="B107" s="115">
        <v>-33</v>
      </c>
      <c r="C107" s="115">
        <v>-40</v>
      </c>
      <c r="D107" s="115">
        <v>-30</v>
      </c>
      <c r="E107" s="115">
        <f>-20.9-22.2</f>
        <v>-43.099999999999994</v>
      </c>
      <c r="F107" s="115">
        <f>-20.9-22.2</f>
        <v>-43.099999999999994</v>
      </c>
      <c r="G107" s="115">
        <f>-20.9-22.2</f>
        <v>-43.099999999999994</v>
      </c>
      <c r="H107" s="115">
        <f>-20.9-22.2</f>
        <v>-43.099999999999994</v>
      </c>
      <c r="I107" s="115">
        <f>-7.9-8.4</f>
        <v>-16.3</v>
      </c>
      <c r="J107" s="115">
        <f>-8.8-4.4</f>
        <v>-13.200000000000001</v>
      </c>
      <c r="K107" s="115">
        <f>8.7+9.3</f>
        <v>18</v>
      </c>
      <c r="L107" s="115">
        <v>16.899999999999999</v>
      </c>
      <c r="M107" s="115">
        <v>40</v>
      </c>
      <c r="N107" s="115">
        <f>28.6+26.9</f>
        <v>55.5</v>
      </c>
      <c r="O107" s="115">
        <f>37+35</f>
        <v>72</v>
      </c>
      <c r="P107" s="115">
        <v>38</v>
      </c>
      <c r="Q107" s="115">
        <v>12</v>
      </c>
      <c r="R107" s="115">
        <v>16</v>
      </c>
      <c r="S107" s="115">
        <v>32</v>
      </c>
      <c r="T107" s="115">
        <v>15</v>
      </c>
      <c r="U107" s="115">
        <v>20</v>
      </c>
      <c r="V107" s="115">
        <v>37.700000000000003</v>
      </c>
      <c r="W107" s="115">
        <v>38</v>
      </c>
      <c r="X107" s="115">
        <v>55</v>
      </c>
      <c r="Y107" s="115">
        <v>101</v>
      </c>
      <c r="Z107" s="115">
        <v>98</v>
      </c>
      <c r="AA107" s="115">
        <v>98</v>
      </c>
      <c r="AB107" s="115">
        <v>92.2</v>
      </c>
      <c r="AC107" s="115">
        <v>68.400000000000006</v>
      </c>
      <c r="AD107" s="115">
        <v>27.5</v>
      </c>
      <c r="AE107" s="115">
        <f>-0.7-1.5</f>
        <v>-2.2000000000000002</v>
      </c>
      <c r="AF107" s="115">
        <f>-10.7-12.1</f>
        <v>-22.799999999999997</v>
      </c>
      <c r="AG107" s="114">
        <v>240</v>
      </c>
      <c r="AH107" s="47">
        <f t="shared" si="8"/>
        <v>101</v>
      </c>
      <c r="AI107" s="48">
        <f t="shared" si="9"/>
        <v>-43.099999999999994</v>
      </c>
    </row>
    <row r="108" spans="1:35" x14ac:dyDescent="0.25">
      <c r="A108" s="103" t="s">
        <v>116</v>
      </c>
      <c r="B108" s="115">
        <v>-2</v>
      </c>
      <c r="C108" s="115">
        <v>-3</v>
      </c>
      <c r="D108" s="115">
        <v>-4</v>
      </c>
      <c r="E108" s="115">
        <v>-6</v>
      </c>
      <c r="F108" s="115">
        <v>-6.7</v>
      </c>
      <c r="G108" s="115">
        <v>-6.7</v>
      </c>
      <c r="H108" s="115">
        <v>-1.5</v>
      </c>
      <c r="I108" s="115">
        <v>-2.7</v>
      </c>
      <c r="J108" s="115">
        <v>8.1999999999999993</v>
      </c>
      <c r="K108" s="115">
        <v>9.6999999999999993</v>
      </c>
      <c r="L108" s="115">
        <v>19.5</v>
      </c>
      <c r="M108" s="115">
        <v>38</v>
      </c>
      <c r="N108" s="115">
        <v>39.1</v>
      </c>
      <c r="O108" s="115">
        <v>37.799999999999997</v>
      </c>
      <c r="P108" s="115">
        <v>37.799999999999997</v>
      </c>
      <c r="Q108" s="115">
        <v>49.1</v>
      </c>
      <c r="R108" s="115">
        <v>49.1</v>
      </c>
      <c r="S108" s="115">
        <v>47.3</v>
      </c>
      <c r="T108" s="115">
        <v>44.3</v>
      </c>
      <c r="U108" s="115">
        <v>41</v>
      </c>
      <c r="V108" s="115">
        <v>38.799999999999997</v>
      </c>
      <c r="W108" s="115">
        <v>45</v>
      </c>
      <c r="X108" s="115">
        <v>55</v>
      </c>
      <c r="Y108" s="115">
        <v>66</v>
      </c>
      <c r="Z108" s="115">
        <v>67</v>
      </c>
      <c r="AA108" s="115">
        <v>60.3</v>
      </c>
      <c r="AB108" s="115">
        <v>55.5</v>
      </c>
      <c r="AC108" s="115">
        <v>48.1</v>
      </c>
      <c r="AD108" s="115">
        <v>31.7</v>
      </c>
      <c r="AE108" s="115">
        <v>11.3</v>
      </c>
      <c r="AF108" s="115">
        <v>3.9</v>
      </c>
      <c r="AG108" s="114">
        <v>60</v>
      </c>
      <c r="AH108" s="47">
        <f t="shared" si="8"/>
        <v>67</v>
      </c>
      <c r="AI108" s="48">
        <f t="shared" si="9"/>
        <v>-6.7</v>
      </c>
    </row>
    <row r="109" spans="1:35" x14ac:dyDescent="0.25">
      <c r="A109" s="116" t="s">
        <v>117</v>
      </c>
      <c r="B109" s="117">
        <v>90</v>
      </c>
      <c r="C109" s="117">
        <v>89</v>
      </c>
      <c r="D109" s="117">
        <v>77</v>
      </c>
      <c r="E109" s="117">
        <v>88</v>
      </c>
      <c r="F109" s="117">
        <v>91.6</v>
      </c>
      <c r="G109" s="117">
        <v>91.6</v>
      </c>
      <c r="H109" s="117">
        <v>99.9</v>
      </c>
      <c r="I109" s="117">
        <v>108.5</v>
      </c>
      <c r="J109" s="117">
        <v>94.3</v>
      </c>
      <c r="K109" s="117">
        <v>107.2</v>
      </c>
      <c r="L109" s="117">
        <v>118.2</v>
      </c>
      <c r="M109" s="117">
        <v>115.2</v>
      </c>
      <c r="N109" s="117">
        <v>112.5</v>
      </c>
      <c r="O109" s="117">
        <v>115.8</v>
      </c>
      <c r="P109" s="117">
        <v>95.6</v>
      </c>
      <c r="Q109" s="117">
        <v>97.8</v>
      </c>
      <c r="R109" s="117">
        <v>101.5</v>
      </c>
      <c r="S109" s="117">
        <v>105.9</v>
      </c>
      <c r="T109" s="117">
        <v>106</v>
      </c>
      <c r="U109" s="117">
        <v>102</v>
      </c>
      <c r="V109" s="117">
        <v>100</v>
      </c>
      <c r="W109" s="117">
        <v>99.5</v>
      </c>
      <c r="X109" s="117">
        <v>108.3</v>
      </c>
      <c r="Y109" s="117">
        <v>116</v>
      </c>
      <c r="Z109" s="117">
        <v>115</v>
      </c>
      <c r="AA109" s="117">
        <v>112.4</v>
      </c>
      <c r="AB109" s="117">
        <v>106.4</v>
      </c>
      <c r="AC109" s="117">
        <v>98.5</v>
      </c>
      <c r="AD109" s="117">
        <v>119.1</v>
      </c>
      <c r="AE109" s="117">
        <v>110.5</v>
      </c>
      <c r="AF109" s="117">
        <v>97.7</v>
      </c>
      <c r="AG109" s="118">
        <v>120</v>
      </c>
      <c r="AH109" s="47">
        <f t="shared" si="8"/>
        <v>119.1</v>
      </c>
      <c r="AI109" s="48">
        <f t="shared" si="9"/>
        <v>77</v>
      </c>
    </row>
    <row r="110" spans="1:35" x14ac:dyDescent="0.25">
      <c r="A110" s="116" t="s">
        <v>118</v>
      </c>
      <c r="B110" s="117">
        <v>91</v>
      </c>
      <c r="C110" s="117">
        <v>95</v>
      </c>
      <c r="D110" s="117">
        <v>80</v>
      </c>
      <c r="E110" s="117">
        <v>93.2</v>
      </c>
      <c r="F110" s="117">
        <v>97.1</v>
      </c>
      <c r="G110" s="117">
        <v>97.1</v>
      </c>
      <c r="H110" s="117">
        <v>97.1</v>
      </c>
      <c r="I110" s="117">
        <v>97</v>
      </c>
      <c r="J110" s="117">
        <v>82</v>
      </c>
      <c r="K110" s="117">
        <v>79.099999999999994</v>
      </c>
      <c r="L110" s="117">
        <v>73.2</v>
      </c>
      <c r="M110" s="117">
        <v>67.599999999999994</v>
      </c>
      <c r="N110" s="117">
        <v>58.4</v>
      </c>
      <c r="O110" s="117">
        <v>70.2</v>
      </c>
      <c r="P110" s="117">
        <v>70.8</v>
      </c>
      <c r="Q110" s="117">
        <v>101</v>
      </c>
      <c r="R110" s="117">
        <v>91.8</v>
      </c>
      <c r="S110" s="117">
        <v>94.3</v>
      </c>
      <c r="T110" s="117">
        <v>97</v>
      </c>
      <c r="U110" s="117">
        <v>89</v>
      </c>
      <c r="V110" s="117">
        <v>76</v>
      </c>
      <c r="W110" s="117">
        <v>73.2</v>
      </c>
      <c r="X110" s="117">
        <v>72.099999999999994</v>
      </c>
      <c r="Y110" s="117">
        <v>80</v>
      </c>
      <c r="Z110" s="117">
        <v>77</v>
      </c>
      <c r="AA110" s="117">
        <v>92</v>
      </c>
      <c r="AB110" s="117">
        <v>100.5</v>
      </c>
      <c r="AC110" s="117">
        <v>101</v>
      </c>
      <c r="AD110" s="117">
        <v>90.4</v>
      </c>
      <c r="AE110" s="117">
        <v>100.4</v>
      </c>
      <c r="AF110" s="117">
        <v>98.7</v>
      </c>
      <c r="AG110" s="118"/>
      <c r="AH110" s="47">
        <f t="shared" si="8"/>
        <v>101</v>
      </c>
      <c r="AI110" s="48">
        <f t="shared" si="9"/>
        <v>58.4</v>
      </c>
    </row>
    <row r="111" spans="1:35" x14ac:dyDescent="0.25">
      <c r="A111" s="116" t="s">
        <v>119</v>
      </c>
      <c r="B111" s="117">
        <v>92</v>
      </c>
      <c r="C111" s="117">
        <v>96</v>
      </c>
      <c r="D111" s="117">
        <v>82</v>
      </c>
      <c r="E111" s="117">
        <v>34.9</v>
      </c>
      <c r="F111" s="117">
        <v>35.1</v>
      </c>
      <c r="G111" s="117">
        <v>35.1</v>
      </c>
      <c r="H111" s="117">
        <v>35.1</v>
      </c>
      <c r="I111" s="117">
        <v>15.5</v>
      </c>
      <c r="J111" s="117">
        <v>5.4</v>
      </c>
      <c r="K111" s="117">
        <v>4.9000000000000004</v>
      </c>
      <c r="L111" s="117">
        <v>0.4</v>
      </c>
      <c r="M111" s="117">
        <v>0.8</v>
      </c>
      <c r="N111" s="117">
        <v>7.4</v>
      </c>
      <c r="O111" s="117">
        <v>21.8</v>
      </c>
      <c r="P111" s="117">
        <v>14.74</v>
      </c>
      <c r="Q111" s="117">
        <v>15</v>
      </c>
      <c r="R111" s="117">
        <v>18.399999999999999</v>
      </c>
      <c r="S111" s="117">
        <v>18.600000000000001</v>
      </c>
      <c r="T111" s="117">
        <v>19.2</v>
      </c>
      <c r="U111" s="117">
        <v>20.2</v>
      </c>
      <c r="V111" s="117">
        <v>11.5</v>
      </c>
      <c r="W111" s="117">
        <v>11.4</v>
      </c>
      <c r="X111" s="117">
        <v>0.8</v>
      </c>
      <c r="Y111" s="117">
        <v>18</v>
      </c>
      <c r="Z111" s="117">
        <v>19</v>
      </c>
      <c r="AA111" s="117">
        <v>18</v>
      </c>
      <c r="AB111" s="117">
        <v>13.6</v>
      </c>
      <c r="AC111" s="117">
        <v>21.1</v>
      </c>
      <c r="AD111" s="117">
        <v>16.5</v>
      </c>
      <c r="AE111" s="117">
        <v>22</v>
      </c>
      <c r="AF111" s="117">
        <v>32.6</v>
      </c>
      <c r="AG111" s="119"/>
      <c r="AH111" s="47">
        <f t="shared" si="8"/>
        <v>96</v>
      </c>
      <c r="AI111" s="48">
        <f t="shared" si="9"/>
        <v>0.4</v>
      </c>
    </row>
    <row r="112" spans="1:35" x14ac:dyDescent="0.25">
      <c r="A112" s="120" t="s">
        <v>120</v>
      </c>
      <c r="B112" s="106">
        <v>20</v>
      </c>
      <c r="C112" s="106">
        <v>19</v>
      </c>
      <c r="D112" s="106">
        <v>19</v>
      </c>
      <c r="E112" s="106">
        <v>-22.8</v>
      </c>
      <c r="F112" s="106">
        <v>-22.4</v>
      </c>
      <c r="G112" s="106">
        <v>-22.4</v>
      </c>
      <c r="H112" s="106">
        <v>-22.4</v>
      </c>
      <c r="I112" s="106">
        <v>3</v>
      </c>
      <c r="J112" s="106">
        <v>-16.600000000000001</v>
      </c>
      <c r="K112" s="106">
        <v>-22.3</v>
      </c>
      <c r="L112" s="106">
        <v>27.9</v>
      </c>
      <c r="M112" s="106">
        <v>-34</v>
      </c>
      <c r="N112" s="106">
        <v>24.6</v>
      </c>
      <c r="O112" s="106">
        <v>-5.8</v>
      </c>
      <c r="P112" s="106">
        <v>-1.3</v>
      </c>
      <c r="Q112" s="106">
        <v>1.8</v>
      </c>
      <c r="R112" s="106">
        <v>21.5</v>
      </c>
      <c r="S112" s="106">
        <v>11</v>
      </c>
      <c r="T112" s="106">
        <v>18</v>
      </c>
      <c r="U112" s="106">
        <v>-5.2</v>
      </c>
      <c r="V112" s="106">
        <v>-9.8000000000000007</v>
      </c>
      <c r="W112" s="106">
        <v>-31.3</v>
      </c>
      <c r="X112" s="106">
        <v>-65</v>
      </c>
      <c r="Y112" s="106">
        <v>-47</v>
      </c>
      <c r="Z112" s="106">
        <v>-36</v>
      </c>
      <c r="AA112" s="106">
        <v>-28</v>
      </c>
      <c r="AB112" s="106">
        <v>-15.8</v>
      </c>
      <c r="AC112" s="106">
        <v>-7.3</v>
      </c>
      <c r="AD112" s="106">
        <v>1.6</v>
      </c>
      <c r="AE112" s="106">
        <v>23.2</v>
      </c>
      <c r="AF112" s="106">
        <v>28.4</v>
      </c>
      <c r="AG112" s="119"/>
      <c r="AH112" s="47">
        <f t="shared" si="8"/>
        <v>28.4</v>
      </c>
      <c r="AI112" s="48">
        <f t="shared" si="9"/>
        <v>-65</v>
      </c>
    </row>
    <row r="113" spans="1:37" ht="15.75" thickBot="1" x14ac:dyDescent="0.3">
      <c r="A113" s="120" t="s">
        <v>121</v>
      </c>
      <c r="B113" s="106">
        <v>12</v>
      </c>
      <c r="C113" s="106">
        <v>16</v>
      </c>
      <c r="D113" s="106">
        <v>5</v>
      </c>
      <c r="E113" s="106">
        <v>-16.600000000000001</v>
      </c>
      <c r="F113" s="106">
        <v>15.6</v>
      </c>
      <c r="G113" s="106">
        <v>15.6</v>
      </c>
      <c r="H113" s="106">
        <v>7.8</v>
      </c>
      <c r="I113" s="106">
        <v>6.5</v>
      </c>
      <c r="J113" s="106">
        <v>10.3</v>
      </c>
      <c r="K113" s="106">
        <v>-9.4</v>
      </c>
      <c r="L113" s="106">
        <v>-16.600000000000001</v>
      </c>
      <c r="M113" s="106">
        <v>-11.3</v>
      </c>
      <c r="N113" s="106">
        <v>-26.7</v>
      </c>
      <c r="O113" s="106">
        <v>-40.4</v>
      </c>
      <c r="P113" s="106">
        <v>-13.9</v>
      </c>
      <c r="Q113" s="106">
        <v>9.3000000000000007</v>
      </c>
      <c r="R113" s="106">
        <v>11.7</v>
      </c>
      <c r="S113" s="106">
        <v>8.4</v>
      </c>
      <c r="T113" s="106">
        <v>13.5</v>
      </c>
      <c r="U113" s="106">
        <v>2.2000000000000002</v>
      </c>
      <c r="V113" s="106">
        <v>-19</v>
      </c>
      <c r="W113" s="106">
        <v>-14.7</v>
      </c>
      <c r="X113" s="106">
        <v>-18</v>
      </c>
      <c r="Y113" s="106">
        <v>-42</v>
      </c>
      <c r="Z113" s="106">
        <v>-40</v>
      </c>
      <c r="AA113" s="106">
        <v>-53</v>
      </c>
      <c r="AB113" s="106">
        <v>-45.6</v>
      </c>
      <c r="AC113" s="106">
        <v>-30.3</v>
      </c>
      <c r="AD113" s="106">
        <v>-10.3</v>
      </c>
      <c r="AE113" s="106">
        <v>0</v>
      </c>
      <c r="AF113" s="106">
        <v>8.9</v>
      </c>
      <c r="AG113" s="119"/>
      <c r="AH113" s="47">
        <f t="shared" si="8"/>
        <v>16</v>
      </c>
      <c r="AI113" s="48">
        <f t="shared" si="9"/>
        <v>-53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6">SUM(B115:B219)</f>
        <v>0</v>
      </c>
      <c r="C220" s="136">
        <f t="shared" si="16"/>
        <v>0</v>
      </c>
      <c r="D220" s="136">
        <f t="shared" si="16"/>
        <v>0</v>
      </c>
      <c r="E220" s="136">
        <f t="shared" si="16"/>
        <v>0</v>
      </c>
      <c r="F220" s="136">
        <f t="shared" si="16"/>
        <v>0</v>
      </c>
      <c r="G220" s="136">
        <f t="shared" si="16"/>
        <v>0</v>
      </c>
      <c r="H220" s="136">
        <f t="shared" si="16"/>
        <v>0</v>
      </c>
      <c r="I220" s="136">
        <f t="shared" si="16"/>
        <v>0</v>
      </c>
      <c r="J220" s="136">
        <f t="shared" si="16"/>
        <v>0</v>
      </c>
      <c r="K220" s="136">
        <f t="shared" si="16"/>
        <v>0</v>
      </c>
      <c r="L220" s="136">
        <f t="shared" si="16"/>
        <v>0</v>
      </c>
      <c r="M220" s="136">
        <f t="shared" si="16"/>
        <v>0</v>
      </c>
      <c r="N220" s="136">
        <f t="shared" si="16"/>
        <v>0</v>
      </c>
      <c r="O220" s="136">
        <f t="shared" si="16"/>
        <v>0</v>
      </c>
      <c r="P220" s="136">
        <f t="shared" si="16"/>
        <v>0</v>
      </c>
      <c r="Q220" s="136">
        <f t="shared" si="16"/>
        <v>0</v>
      </c>
      <c r="R220" s="136">
        <f t="shared" si="16"/>
        <v>0</v>
      </c>
      <c r="S220" s="136">
        <f t="shared" si="16"/>
        <v>0</v>
      </c>
      <c r="T220" s="136">
        <f t="shared" si="16"/>
        <v>0</v>
      </c>
      <c r="U220" s="136">
        <f t="shared" si="16"/>
        <v>0</v>
      </c>
      <c r="V220" s="136">
        <f t="shared" si="16"/>
        <v>0</v>
      </c>
      <c r="W220" s="136">
        <f t="shared" si="16"/>
        <v>0</v>
      </c>
      <c r="X220" s="136">
        <f t="shared" si="16"/>
        <v>0</v>
      </c>
      <c r="Y220" s="136">
        <f t="shared" si="16"/>
        <v>0</v>
      </c>
      <c r="Z220" s="136">
        <f t="shared" si="16"/>
        <v>0</v>
      </c>
      <c r="AA220" s="136">
        <f t="shared" si="16"/>
        <v>0</v>
      </c>
      <c r="AB220" s="136">
        <f t="shared" si="16"/>
        <v>0</v>
      </c>
      <c r="AC220" s="136">
        <f t="shared" si="16"/>
        <v>0</v>
      </c>
      <c r="AD220" s="136">
        <f t="shared" si="16"/>
        <v>0</v>
      </c>
      <c r="AE220" s="136">
        <f t="shared" si="16"/>
        <v>0</v>
      </c>
      <c r="AF220" s="137">
        <f t="shared" si="16"/>
        <v>0</v>
      </c>
      <c r="AG220" s="138">
        <f t="shared" si="16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7">AF222</f>
        <v>0</v>
      </c>
      <c r="C222" s="140">
        <v>0.3</v>
      </c>
      <c r="D222" s="140">
        <f t="shared" ref="D222:P227" si="18">C222</f>
        <v>0.3</v>
      </c>
      <c r="E222" s="140">
        <f t="shared" si="18"/>
        <v>0.3</v>
      </c>
      <c r="F222" s="140">
        <f t="shared" si="18"/>
        <v>0.3</v>
      </c>
      <c r="G222" s="140">
        <f t="shared" si="18"/>
        <v>0.3</v>
      </c>
      <c r="H222" s="140">
        <f t="shared" si="18"/>
        <v>0.3</v>
      </c>
      <c r="I222" s="140">
        <f t="shared" si="18"/>
        <v>0.3</v>
      </c>
      <c r="J222" s="140">
        <f t="shared" si="18"/>
        <v>0.3</v>
      </c>
      <c r="K222" s="140">
        <f t="shared" si="18"/>
        <v>0.3</v>
      </c>
      <c r="L222" s="140">
        <f t="shared" si="18"/>
        <v>0.3</v>
      </c>
      <c r="M222" s="140">
        <f t="shared" si="18"/>
        <v>0.3</v>
      </c>
      <c r="N222" s="140">
        <f t="shared" si="18"/>
        <v>0.3</v>
      </c>
      <c r="O222" s="140">
        <f t="shared" si="18"/>
        <v>0.3</v>
      </c>
      <c r="P222" s="140">
        <f t="shared" si="18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7"/>
        <v>0</v>
      </c>
      <c r="C223" s="128">
        <v>0.4</v>
      </c>
      <c r="D223" s="128">
        <f t="shared" si="18"/>
        <v>0.4</v>
      </c>
      <c r="E223" s="128">
        <f t="shared" si="18"/>
        <v>0.4</v>
      </c>
      <c r="F223" s="128">
        <f t="shared" si="18"/>
        <v>0.4</v>
      </c>
      <c r="G223" s="128">
        <f t="shared" si="18"/>
        <v>0.4</v>
      </c>
      <c r="H223" s="128">
        <f t="shared" si="18"/>
        <v>0.4</v>
      </c>
      <c r="I223" s="128">
        <f t="shared" si="18"/>
        <v>0.4</v>
      </c>
      <c r="J223" s="128">
        <f t="shared" si="18"/>
        <v>0.4</v>
      </c>
      <c r="K223" s="128">
        <f t="shared" si="18"/>
        <v>0.4</v>
      </c>
      <c r="L223" s="128">
        <f t="shared" si="18"/>
        <v>0.4</v>
      </c>
      <c r="M223" s="128">
        <f t="shared" si="18"/>
        <v>0.4</v>
      </c>
      <c r="N223" s="128">
        <f t="shared" si="18"/>
        <v>0.4</v>
      </c>
      <c r="O223" s="128">
        <f t="shared" si="18"/>
        <v>0.4</v>
      </c>
      <c r="P223" s="128">
        <f t="shared" si="18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7"/>
        <v>0</v>
      </c>
      <c r="C224" s="128">
        <v>1.5</v>
      </c>
      <c r="D224" s="128">
        <f t="shared" si="18"/>
        <v>1.5</v>
      </c>
      <c r="E224" s="128">
        <f t="shared" si="18"/>
        <v>1.5</v>
      </c>
      <c r="F224" s="128">
        <f t="shared" si="18"/>
        <v>1.5</v>
      </c>
      <c r="G224" s="128">
        <f t="shared" si="18"/>
        <v>1.5</v>
      </c>
      <c r="H224" s="128">
        <f t="shared" si="18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18"/>
        <v>1.5</v>
      </c>
      <c r="K224" s="128">
        <f t="shared" ca="1" si="18"/>
        <v>1.5</v>
      </c>
      <c r="L224" s="128">
        <f t="shared" ca="1" si="18"/>
        <v>1.5</v>
      </c>
      <c r="M224" s="128">
        <f t="shared" ca="1" si="18"/>
        <v>1.5</v>
      </c>
      <c r="N224" s="128">
        <f t="shared" ca="1" si="18"/>
        <v>1.5</v>
      </c>
      <c r="O224" s="128">
        <f t="shared" ca="1" si="18"/>
        <v>1.5</v>
      </c>
      <c r="P224" s="128">
        <f t="shared" ca="1" si="18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7"/>
        <v>0</v>
      </c>
      <c r="C225" s="128">
        <v>0.3</v>
      </c>
      <c r="D225" s="128">
        <f t="shared" si="18"/>
        <v>0.3</v>
      </c>
      <c r="E225" s="128">
        <f t="shared" si="18"/>
        <v>0.3</v>
      </c>
      <c r="F225" s="128">
        <f t="shared" si="18"/>
        <v>0.3</v>
      </c>
      <c r="G225" s="128">
        <f t="shared" si="18"/>
        <v>0.3</v>
      </c>
      <c r="H225" s="128">
        <f t="shared" si="18"/>
        <v>0.3</v>
      </c>
      <c r="I225" s="128">
        <f t="shared" si="18"/>
        <v>0.3</v>
      </c>
      <c r="J225" s="128">
        <f t="shared" si="18"/>
        <v>0.3</v>
      </c>
      <c r="K225" s="128">
        <f t="shared" si="18"/>
        <v>0.3</v>
      </c>
      <c r="L225" s="128">
        <f t="shared" si="18"/>
        <v>0.3</v>
      </c>
      <c r="M225" s="128">
        <f t="shared" si="18"/>
        <v>0.3</v>
      </c>
      <c r="N225" s="128">
        <f t="shared" si="18"/>
        <v>0.3</v>
      </c>
      <c r="O225" s="128">
        <f t="shared" si="18"/>
        <v>0.3</v>
      </c>
      <c r="P225" s="128">
        <f t="shared" si="18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7"/>
        <v>0</v>
      </c>
      <c r="C226" s="128">
        <v>0.4</v>
      </c>
      <c r="D226" s="128">
        <f t="shared" si="18"/>
        <v>0.4</v>
      </c>
      <c r="E226" s="128">
        <f t="shared" si="18"/>
        <v>0.4</v>
      </c>
      <c r="F226" s="128">
        <f t="shared" si="18"/>
        <v>0.4</v>
      </c>
      <c r="G226" s="128">
        <f t="shared" si="18"/>
        <v>0.4</v>
      </c>
      <c r="H226" s="128">
        <f t="shared" si="18"/>
        <v>0.4</v>
      </c>
      <c r="I226" s="128">
        <f t="shared" si="18"/>
        <v>0.4</v>
      </c>
      <c r="J226" s="128">
        <f t="shared" si="18"/>
        <v>0.4</v>
      </c>
      <c r="K226" s="128">
        <f t="shared" si="18"/>
        <v>0.4</v>
      </c>
      <c r="L226" s="128">
        <f t="shared" si="18"/>
        <v>0.4</v>
      </c>
      <c r="M226" s="128">
        <f t="shared" si="18"/>
        <v>0.4</v>
      </c>
      <c r="N226" s="128">
        <f t="shared" si="18"/>
        <v>0.4</v>
      </c>
      <c r="O226" s="128">
        <f t="shared" si="18"/>
        <v>0.4</v>
      </c>
      <c r="P226" s="128">
        <f t="shared" si="18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7"/>
        <v>0</v>
      </c>
      <c r="C227" s="132">
        <v>0.64</v>
      </c>
      <c r="D227" s="132">
        <f t="shared" si="18"/>
        <v>0.64</v>
      </c>
      <c r="E227" s="132">
        <f t="shared" si="18"/>
        <v>0.64</v>
      </c>
      <c r="F227" s="132">
        <f t="shared" si="18"/>
        <v>0.64</v>
      </c>
      <c r="G227" s="132">
        <f t="shared" si="18"/>
        <v>0.64</v>
      </c>
      <c r="H227" s="132">
        <f t="shared" si="18"/>
        <v>0.64</v>
      </c>
      <c r="I227" s="132">
        <f t="shared" si="18"/>
        <v>0.64</v>
      </c>
      <c r="J227" s="132">
        <f t="shared" si="18"/>
        <v>0.64</v>
      </c>
      <c r="K227" s="132">
        <f t="shared" si="18"/>
        <v>0.64</v>
      </c>
      <c r="L227" s="132">
        <f t="shared" si="18"/>
        <v>0.64</v>
      </c>
      <c r="M227" s="132">
        <f t="shared" si="18"/>
        <v>0.64</v>
      </c>
      <c r="N227" s="132">
        <f t="shared" si="18"/>
        <v>0.64</v>
      </c>
      <c r="O227" s="132">
        <f t="shared" si="18"/>
        <v>0.64</v>
      </c>
      <c r="P227" s="132">
        <f t="shared" si="18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19">SUM(B222:B227)</f>
        <v>0</v>
      </c>
      <c r="C228" s="136">
        <f t="shared" si="19"/>
        <v>3.54</v>
      </c>
      <c r="D228" s="136">
        <f t="shared" si="19"/>
        <v>3.54</v>
      </c>
      <c r="E228" s="136">
        <f t="shared" si="19"/>
        <v>3.54</v>
      </c>
      <c r="F228" s="136">
        <f t="shared" si="19"/>
        <v>3.54</v>
      </c>
      <c r="G228" s="136">
        <f t="shared" si="19"/>
        <v>3.54</v>
      </c>
      <c r="H228" s="136">
        <f t="shared" si="19"/>
        <v>3.54</v>
      </c>
      <c r="I228" s="136">
        <f t="shared" ca="1" si="19"/>
        <v>3.54</v>
      </c>
      <c r="J228" s="136">
        <f t="shared" ca="1" si="19"/>
        <v>3.54</v>
      </c>
      <c r="K228" s="136">
        <f t="shared" ca="1" si="19"/>
        <v>3.54</v>
      </c>
      <c r="L228" s="136">
        <f t="shared" ca="1" si="19"/>
        <v>3.54</v>
      </c>
      <c r="M228" s="136">
        <f t="shared" ca="1" si="19"/>
        <v>3.54</v>
      </c>
      <c r="N228" s="136">
        <f t="shared" ca="1" si="19"/>
        <v>3.54</v>
      </c>
      <c r="O228" s="136">
        <f t="shared" ca="1" si="19"/>
        <v>3.54</v>
      </c>
      <c r="P228" s="136">
        <f t="shared" ca="1" si="19"/>
        <v>3.54</v>
      </c>
      <c r="Q228" s="136">
        <f t="shared" si="19"/>
        <v>0</v>
      </c>
      <c r="R228" s="136">
        <f t="shared" si="19"/>
        <v>0</v>
      </c>
      <c r="S228" s="136">
        <f t="shared" si="19"/>
        <v>0</v>
      </c>
      <c r="T228" s="136">
        <f t="shared" si="19"/>
        <v>0</v>
      </c>
      <c r="U228" s="136">
        <f t="shared" si="19"/>
        <v>0</v>
      </c>
      <c r="V228" s="136">
        <f t="shared" si="19"/>
        <v>0</v>
      </c>
      <c r="W228" s="136">
        <f t="shared" si="19"/>
        <v>0</v>
      </c>
      <c r="X228" s="136">
        <f t="shared" si="19"/>
        <v>0</v>
      </c>
      <c r="Y228" s="136">
        <f t="shared" si="19"/>
        <v>0</v>
      </c>
      <c r="Z228" s="136">
        <f t="shared" si="19"/>
        <v>0</v>
      </c>
      <c r="AA228" s="136">
        <f t="shared" si="19"/>
        <v>0</v>
      </c>
      <c r="AB228" s="136">
        <f t="shared" si="19"/>
        <v>0</v>
      </c>
      <c r="AC228" s="136">
        <f t="shared" si="19"/>
        <v>0</v>
      </c>
      <c r="AD228" s="136">
        <f t="shared" si="19"/>
        <v>0</v>
      </c>
      <c r="AE228" s="136">
        <f t="shared" si="19"/>
        <v>0</v>
      </c>
      <c r="AF228" s="136">
        <f t="shared" si="19"/>
        <v>0</v>
      </c>
      <c r="AG228" s="145">
        <f t="shared" si="19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1794.7400000000002</v>
      </c>
      <c r="C237" s="161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6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str">
        <f ca="1">"Pie Chart of Daily Peak Demand(Inclusive of Export) of Nepal ("&amp;A4&amp;" "&amp;B4&amp;")"</f>
        <v>Pie Chart of Daily Peak Demand(Inclusive of Export) of Nepal (Nepali Date: 2079/09/6)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2079/09/6)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0">B85</f>
        <v>1163.04</v>
      </c>
      <c r="U242" s="170">
        <f t="shared" si="20"/>
        <v>1138.04</v>
      </c>
      <c r="V242" s="170">
        <f t="shared" si="20"/>
        <v>1074.04</v>
      </c>
      <c r="W242" s="170">
        <f t="shared" si="20"/>
        <v>1104.04</v>
      </c>
      <c r="X242" s="170">
        <f t="shared" si="20"/>
        <v>1088.54</v>
      </c>
      <c r="Y242" s="170">
        <f t="shared" si="20"/>
        <v>1075.54</v>
      </c>
      <c r="Z242" s="170">
        <f t="shared" si="20"/>
        <v>1188.04</v>
      </c>
      <c r="AA242" s="170">
        <f t="shared" si="20"/>
        <v>1330.6399999999999</v>
      </c>
      <c r="AB242" s="170">
        <f t="shared" si="20"/>
        <v>1375.44</v>
      </c>
      <c r="AC242" s="170">
        <f t="shared" si="20"/>
        <v>1444.6399999999999</v>
      </c>
      <c r="AD242" s="170">
        <f t="shared" si="20"/>
        <v>1455.1399999999999</v>
      </c>
      <c r="AE242" s="170">
        <f t="shared" si="20"/>
        <v>1794.7400000000002</v>
      </c>
      <c r="AF242" s="170">
        <f t="shared" si="20"/>
        <v>1696.94</v>
      </c>
      <c r="AG242" s="170">
        <f t="shared" si="20"/>
        <v>1657.44</v>
      </c>
      <c r="AH242" s="170">
        <f t="shared" si="20"/>
        <v>1604.74</v>
      </c>
      <c r="AI242" s="170">
        <f t="shared" si="20"/>
        <v>1428.04</v>
      </c>
      <c r="AJ242" s="170">
        <f t="shared" si="20"/>
        <v>1236.1399999999999</v>
      </c>
      <c r="AK242" s="170">
        <f t="shared" si="20"/>
        <v>1343.6399999999999</v>
      </c>
      <c r="AL242" s="170">
        <f t="shared" si="20"/>
        <v>1342.4399999999998</v>
      </c>
      <c r="AM242" s="170">
        <f t="shared" si="20"/>
        <v>1293.04</v>
      </c>
      <c r="AN242" s="170">
        <f t="shared" si="20"/>
        <v>1274.3399999999999</v>
      </c>
      <c r="AO242" s="170">
        <f t="shared" si="20"/>
        <v>1300.04</v>
      </c>
      <c r="AP242" s="170">
        <f t="shared" si="20"/>
        <v>1634.6399999999999</v>
      </c>
      <c r="AQ242" s="170">
        <f t="shared" si="20"/>
        <v>1714.84</v>
      </c>
      <c r="AR242" s="170">
        <f t="shared" si="20"/>
        <v>1668.9399999999998</v>
      </c>
      <c r="AS242" s="170">
        <f t="shared" si="20"/>
        <v>1621.9399999999998</v>
      </c>
      <c r="AT242" s="170">
        <f t="shared" si="20"/>
        <v>1550.34</v>
      </c>
      <c r="AU242" s="170">
        <f t="shared" si="20"/>
        <v>1467.5400000000002</v>
      </c>
      <c r="AV242" s="170">
        <f t="shared" si="20"/>
        <v>1478.44</v>
      </c>
      <c r="AW242" s="170">
        <f t="shared" si="20"/>
        <v>1315.4399999999998</v>
      </c>
      <c r="AX242" s="170">
        <f t="shared" si="20"/>
        <v>1170.04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1">C227</f>
        <v>0.64</v>
      </c>
      <c r="C263" s="173">
        <f t="shared" si="21"/>
        <v>0.64</v>
      </c>
      <c r="D263" s="173">
        <f t="shared" si="21"/>
        <v>0.64</v>
      </c>
      <c r="E263" s="173">
        <f t="shared" si="21"/>
        <v>0.64</v>
      </c>
      <c r="F263" s="173">
        <f t="shared" si="21"/>
        <v>0.64</v>
      </c>
      <c r="G263" s="173">
        <f t="shared" si="21"/>
        <v>0.64</v>
      </c>
      <c r="H263" s="173">
        <f t="shared" si="21"/>
        <v>0.64</v>
      </c>
      <c r="I263" s="173">
        <f t="shared" si="21"/>
        <v>0.64</v>
      </c>
      <c r="J263" s="173">
        <f t="shared" si="21"/>
        <v>0.64</v>
      </c>
      <c r="K263" s="173">
        <f t="shared" si="21"/>
        <v>0.64</v>
      </c>
      <c r="L263" s="173">
        <f t="shared" si="21"/>
        <v>0.64</v>
      </c>
      <c r="M263" s="173">
        <f t="shared" si="21"/>
        <v>0.64</v>
      </c>
      <c r="N263" s="173">
        <f t="shared" si="21"/>
        <v>0.64</v>
      </c>
      <c r="O263" s="173">
        <f t="shared" si="21"/>
        <v>0.64</v>
      </c>
      <c r="P263" s="173">
        <f t="shared" si="21"/>
        <v>0</v>
      </c>
      <c r="Q263" s="173">
        <f t="shared" si="21"/>
        <v>0</v>
      </c>
      <c r="R263" s="173">
        <f t="shared" si="21"/>
        <v>0</v>
      </c>
      <c r="S263" s="173">
        <f t="shared" si="21"/>
        <v>0</v>
      </c>
      <c r="T263" s="173">
        <f t="shared" si="21"/>
        <v>0</v>
      </c>
      <c r="U263" s="173">
        <f t="shared" si="21"/>
        <v>0</v>
      </c>
      <c r="V263" s="173">
        <f t="shared" si="21"/>
        <v>0</v>
      </c>
      <c r="W263" s="173">
        <f t="shared" si="21"/>
        <v>0</v>
      </c>
      <c r="X263" s="173">
        <f t="shared" si="21"/>
        <v>0</v>
      </c>
      <c r="Y263" s="173">
        <f t="shared" si="21"/>
        <v>0</v>
      </c>
      <c r="Z263" s="173">
        <f t="shared" si="21"/>
        <v>0</v>
      </c>
      <c r="AA263" s="173">
        <f t="shared" si="21"/>
        <v>0</v>
      </c>
      <c r="AB263" s="173">
        <f t="shared" si="21"/>
        <v>0</v>
      </c>
      <c r="AC263" s="173">
        <f t="shared" si="21"/>
        <v>0</v>
      </c>
      <c r="AD263" s="173">
        <f t="shared" si="21"/>
        <v>0</v>
      </c>
      <c r="AE263" s="173">
        <f t="shared" si="21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2">IF(B231&lt;100,"",B231-520)</f>
        <v/>
      </c>
      <c r="C264" s="174" t="str">
        <f t="shared" si="22"/>
        <v/>
      </c>
      <c r="D264" s="174" t="str">
        <f t="shared" si="22"/>
        <v/>
      </c>
      <c r="E264" s="174" t="str">
        <f t="shared" si="22"/>
        <v/>
      </c>
      <c r="F264" s="174" t="str">
        <f t="shared" si="22"/>
        <v/>
      </c>
      <c r="G264" s="174" t="str">
        <f t="shared" si="22"/>
        <v/>
      </c>
      <c r="H264" s="174" t="str">
        <f t="shared" si="22"/>
        <v/>
      </c>
      <c r="I264" s="174" t="str">
        <f t="shared" si="22"/>
        <v/>
      </c>
      <c r="J264" s="174" t="str">
        <f t="shared" si="22"/>
        <v/>
      </c>
      <c r="K264" s="174" t="str">
        <f t="shared" si="22"/>
        <v/>
      </c>
      <c r="L264" s="174" t="str">
        <f t="shared" si="22"/>
        <v/>
      </c>
      <c r="M264" s="174" t="str">
        <f t="shared" si="22"/>
        <v/>
      </c>
      <c r="N264" s="174" t="str">
        <f t="shared" si="22"/>
        <v/>
      </c>
      <c r="O264" s="174" t="str">
        <f t="shared" si="22"/>
        <v/>
      </c>
      <c r="P264" s="174" t="str">
        <f t="shared" si="22"/>
        <v/>
      </c>
      <c r="Q264" s="174" t="str">
        <f t="shared" si="22"/>
        <v/>
      </c>
      <c r="R264" s="174" t="str">
        <f t="shared" si="22"/>
        <v/>
      </c>
      <c r="S264" s="174" t="str">
        <f t="shared" si="22"/>
        <v/>
      </c>
      <c r="T264" s="174" t="str">
        <f t="shared" si="22"/>
        <v/>
      </c>
      <c r="U264" s="174" t="str">
        <f t="shared" si="22"/>
        <v/>
      </c>
      <c r="V264" s="174" t="str">
        <f t="shared" si="22"/>
        <v/>
      </c>
      <c r="W264" s="174" t="str">
        <f t="shared" si="22"/>
        <v/>
      </c>
      <c r="X264" s="174" t="str">
        <f t="shared" si="22"/>
        <v/>
      </c>
      <c r="Y264" s="174" t="str">
        <f t="shared" si="22"/>
        <v/>
      </c>
      <c r="Z264" s="174" t="str">
        <f t="shared" si="22"/>
        <v/>
      </c>
      <c r="AA264" s="174" t="str">
        <f t="shared" si="22"/>
        <v/>
      </c>
      <c r="AB264" s="174" t="str">
        <f t="shared" si="22"/>
        <v/>
      </c>
      <c r="AC264" s="174" t="str">
        <f t="shared" si="22"/>
        <v/>
      </c>
      <c r="AD264" s="174" t="str">
        <f t="shared" si="22"/>
        <v/>
      </c>
      <c r="AE264" s="174" t="str">
        <f t="shared" si="22"/>
        <v/>
      </c>
      <c r="AF264" s="174" t="str">
        <f t="shared" si="22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3">IF(B232&lt;100,"",B232-620)</f>
        <v/>
      </c>
      <c r="C265" s="174" t="str">
        <f t="shared" si="23"/>
        <v/>
      </c>
      <c r="D265" s="174" t="str">
        <f t="shared" si="23"/>
        <v/>
      </c>
      <c r="E265" s="174" t="str">
        <f t="shared" si="23"/>
        <v/>
      </c>
      <c r="F265" s="174" t="str">
        <f t="shared" si="23"/>
        <v/>
      </c>
      <c r="G265" s="174" t="str">
        <f t="shared" si="23"/>
        <v/>
      </c>
      <c r="H265" s="174" t="str">
        <f t="shared" si="23"/>
        <v/>
      </c>
      <c r="I265" s="174" t="str">
        <f t="shared" si="23"/>
        <v/>
      </c>
      <c r="J265" s="174" t="str">
        <f t="shared" si="23"/>
        <v/>
      </c>
      <c r="K265" s="174" t="str">
        <f t="shared" si="23"/>
        <v/>
      </c>
      <c r="L265" s="174" t="str">
        <f t="shared" si="23"/>
        <v/>
      </c>
      <c r="M265" s="174" t="str">
        <f t="shared" si="23"/>
        <v/>
      </c>
      <c r="N265" s="174" t="str">
        <f t="shared" si="23"/>
        <v/>
      </c>
      <c r="O265" s="174" t="str">
        <f t="shared" si="23"/>
        <v/>
      </c>
      <c r="P265" s="174" t="str">
        <f t="shared" si="23"/>
        <v/>
      </c>
      <c r="Q265" s="174" t="str">
        <f t="shared" si="23"/>
        <v/>
      </c>
      <c r="R265" s="174" t="str">
        <f t="shared" si="23"/>
        <v/>
      </c>
      <c r="S265" s="174" t="str">
        <f t="shared" si="23"/>
        <v/>
      </c>
      <c r="T265" s="174" t="str">
        <f t="shared" si="23"/>
        <v/>
      </c>
      <c r="U265" s="174" t="str">
        <f t="shared" si="23"/>
        <v/>
      </c>
      <c r="V265" s="174" t="str">
        <f t="shared" si="23"/>
        <v/>
      </c>
      <c r="W265" s="174" t="str">
        <f t="shared" si="23"/>
        <v/>
      </c>
      <c r="X265" s="174" t="str">
        <f t="shared" si="23"/>
        <v/>
      </c>
      <c r="Y265" s="174" t="str">
        <f t="shared" si="23"/>
        <v/>
      </c>
      <c r="Z265" s="174" t="str">
        <f t="shared" si="23"/>
        <v/>
      </c>
      <c r="AA265" s="174" t="str">
        <f t="shared" si="23"/>
        <v/>
      </c>
      <c r="AB265" s="174" t="str">
        <f t="shared" si="23"/>
        <v/>
      </c>
      <c r="AC265" s="174" t="str">
        <f t="shared" si="23"/>
        <v/>
      </c>
      <c r="AD265" s="174" t="str">
        <f t="shared" si="23"/>
        <v/>
      </c>
      <c r="AE265" s="174" t="str">
        <f t="shared" si="23"/>
        <v/>
      </c>
      <c r="AF265" s="174" t="str">
        <f t="shared" si="23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4">IF(B233&lt;100,"",B233-330)</f>
        <v/>
      </c>
      <c r="C266" s="174" t="str">
        <f t="shared" si="24"/>
        <v/>
      </c>
      <c r="D266" s="174" t="str">
        <f t="shared" si="24"/>
        <v/>
      </c>
      <c r="E266" s="174" t="str">
        <f t="shared" si="24"/>
        <v/>
      </c>
      <c r="F266" s="174" t="str">
        <f t="shared" si="24"/>
        <v/>
      </c>
      <c r="G266" s="174" t="str">
        <f t="shared" si="24"/>
        <v/>
      </c>
      <c r="H266" s="174" t="str">
        <f t="shared" si="24"/>
        <v/>
      </c>
      <c r="I266" s="174" t="str">
        <f t="shared" si="24"/>
        <v/>
      </c>
      <c r="J266" s="174" t="str">
        <f t="shared" si="24"/>
        <v/>
      </c>
      <c r="K266" s="174" t="str">
        <f t="shared" si="24"/>
        <v/>
      </c>
      <c r="L266" s="174" t="str">
        <f t="shared" si="24"/>
        <v/>
      </c>
      <c r="M266" s="174" t="str">
        <f t="shared" si="24"/>
        <v/>
      </c>
      <c r="N266" s="174" t="str">
        <f t="shared" si="24"/>
        <v/>
      </c>
      <c r="O266" s="174" t="str">
        <f t="shared" si="24"/>
        <v/>
      </c>
      <c r="P266" s="174" t="str">
        <f t="shared" si="24"/>
        <v/>
      </c>
      <c r="Q266" s="174" t="str">
        <f t="shared" si="24"/>
        <v/>
      </c>
      <c r="R266" s="174" t="str">
        <f t="shared" si="24"/>
        <v/>
      </c>
      <c r="S266" s="174" t="str">
        <f t="shared" si="24"/>
        <v/>
      </c>
      <c r="T266" s="174" t="str">
        <f t="shared" si="24"/>
        <v/>
      </c>
      <c r="U266" s="174" t="str">
        <f t="shared" si="24"/>
        <v/>
      </c>
      <c r="V266" s="174" t="str">
        <f t="shared" si="24"/>
        <v/>
      </c>
      <c r="W266" s="174" t="str">
        <f t="shared" si="24"/>
        <v/>
      </c>
      <c r="X266" s="174" t="str">
        <f t="shared" si="24"/>
        <v/>
      </c>
      <c r="Y266" s="174" t="str">
        <f t="shared" si="24"/>
        <v/>
      </c>
      <c r="Z266" s="174" t="str">
        <f t="shared" si="24"/>
        <v/>
      </c>
      <c r="AA266" s="174" t="str">
        <f t="shared" si="24"/>
        <v/>
      </c>
      <c r="AB266" s="174" t="str">
        <f t="shared" si="24"/>
        <v/>
      </c>
      <c r="AC266" s="174" t="str">
        <f t="shared" si="24"/>
        <v/>
      </c>
      <c r="AD266" s="174" t="str">
        <f t="shared" si="24"/>
        <v/>
      </c>
      <c r="AE266" s="174" t="str">
        <f t="shared" si="24"/>
        <v/>
      </c>
      <c r="AF266" s="174" t="str">
        <f t="shared" si="24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5">IF(B234&lt;100,"",B234-1500)</f>
        <v/>
      </c>
      <c r="C267" s="174" t="str">
        <f t="shared" si="25"/>
        <v/>
      </c>
      <c r="D267" s="174" t="str">
        <f t="shared" si="25"/>
        <v/>
      </c>
      <c r="E267" s="174" t="str">
        <f t="shared" si="25"/>
        <v/>
      </c>
      <c r="F267" s="174" t="str">
        <f t="shared" si="25"/>
        <v/>
      </c>
      <c r="G267" s="174" t="str">
        <f t="shared" si="25"/>
        <v/>
      </c>
      <c r="H267" s="174" t="str">
        <f t="shared" si="25"/>
        <v/>
      </c>
      <c r="I267" s="174" t="str">
        <f t="shared" si="25"/>
        <v/>
      </c>
      <c r="J267" s="174" t="str">
        <f t="shared" si="25"/>
        <v/>
      </c>
      <c r="K267" s="174" t="str">
        <f t="shared" si="25"/>
        <v/>
      </c>
      <c r="L267" s="174" t="str">
        <f t="shared" si="25"/>
        <v/>
      </c>
      <c r="M267" s="174" t="str">
        <f t="shared" si="25"/>
        <v/>
      </c>
      <c r="N267" s="174" t="str">
        <f t="shared" si="25"/>
        <v/>
      </c>
      <c r="O267" s="174" t="str">
        <f t="shared" si="25"/>
        <v/>
      </c>
      <c r="P267" s="174" t="str">
        <f t="shared" si="25"/>
        <v/>
      </c>
      <c r="Q267" s="174" t="str">
        <f t="shared" si="25"/>
        <v/>
      </c>
      <c r="R267" s="174" t="str">
        <f t="shared" si="25"/>
        <v/>
      </c>
      <c r="S267" s="174" t="str">
        <f t="shared" si="25"/>
        <v/>
      </c>
      <c r="T267" s="174" t="str">
        <f t="shared" si="25"/>
        <v/>
      </c>
      <c r="U267" s="174" t="str">
        <f t="shared" si="25"/>
        <v/>
      </c>
      <c r="V267" s="174" t="str">
        <f t="shared" si="25"/>
        <v/>
      </c>
      <c r="W267" s="174" t="str">
        <f t="shared" si="25"/>
        <v/>
      </c>
      <c r="X267" s="174" t="str">
        <f t="shared" si="25"/>
        <v/>
      </c>
      <c r="Y267" s="174" t="str">
        <f t="shared" si="25"/>
        <v/>
      </c>
      <c r="Z267" s="174" t="str">
        <f t="shared" si="25"/>
        <v/>
      </c>
      <c r="AA267" s="174" t="str">
        <f t="shared" si="25"/>
        <v/>
      </c>
      <c r="AB267" s="174" t="str">
        <f t="shared" si="25"/>
        <v/>
      </c>
      <c r="AC267" s="174" t="str">
        <f t="shared" si="25"/>
        <v/>
      </c>
      <c r="AD267" s="174" t="str">
        <f t="shared" si="25"/>
        <v/>
      </c>
      <c r="AE267" s="174" t="str">
        <f t="shared" si="25"/>
        <v/>
      </c>
      <c r="AF267" s="174" t="str">
        <f t="shared" si="25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29">
    <cfRule type="expression" dxfId="426" priority="120">
      <formula>$AH11=0</formula>
    </cfRule>
  </conditionalFormatting>
  <conditionalFormatting sqref="B8 M8 S8 AB8">
    <cfRule type="expression" dxfId="425" priority="241">
      <formula>AND(C$9&gt;=14/24,C$9&lt;20/24)</formula>
    </cfRule>
    <cfRule type="expression" dxfId="424" priority="243">
      <formula>C$9&lt;8/24</formula>
    </cfRule>
    <cfRule type="expression" dxfId="423" priority="242">
      <formula>AND(C$9&gt;=8/24,C$9&lt;14/24)</formula>
    </cfRule>
  </conditionalFormatting>
  <conditionalFormatting sqref="B49:L51">
    <cfRule type="expression" dxfId="418" priority="93">
      <formula>AND(B$9&gt;=8/24,B$9&lt;14/24)</formula>
    </cfRule>
    <cfRule type="expression" dxfId="417" priority="94">
      <formula>B$9&lt;8/24</formula>
    </cfRule>
    <cfRule type="expression" dxfId="416" priority="92">
      <formula>AND(B$9&gt;=14/24,B$9&lt;20/24)</formula>
    </cfRule>
    <cfRule type="expression" dxfId="415" priority="91">
      <formula>B$9&gt;=20/24</formula>
    </cfRule>
  </conditionalFormatting>
  <conditionalFormatting sqref="B54:L54">
    <cfRule type="expression" dxfId="414" priority="82">
      <formula>AND(B$9&gt;=14/24,B$9&lt;20/24)</formula>
    </cfRule>
    <cfRule type="expression" dxfId="413" priority="81">
      <formula>B$9&gt;=20/24</formula>
    </cfRule>
    <cfRule type="expression" dxfId="412" priority="84">
      <formula>B$9&lt;8/24</formula>
    </cfRule>
    <cfRule type="expression" dxfId="411" priority="83">
      <formula>AND(B$9&gt;=8/24,B$9&lt;14/24)</formula>
    </cfRule>
  </conditionalFormatting>
  <conditionalFormatting sqref="B11:X11">
    <cfRule type="expression" dxfId="410" priority="23">
      <formula>AND(B$9&gt;=14/24,B$9&lt;20/24)</formula>
    </cfRule>
    <cfRule type="expression" dxfId="409" priority="25">
      <formula>B$9&lt;8/24</formula>
    </cfRule>
    <cfRule type="expression" dxfId="408" priority="24">
      <formula>AND(B$9&gt;=8/24,B$9&lt;14/24)</formula>
    </cfRule>
    <cfRule type="expression" dxfId="407" priority="22">
      <formula>B$9&gt;=20/24</formula>
    </cfRule>
  </conditionalFormatting>
  <conditionalFormatting sqref="B12:X14">
    <cfRule type="expression" dxfId="406" priority="19">
      <formula>AND(B$9&gt;=8/24,B$9&lt;14/24)</formula>
    </cfRule>
    <cfRule type="expression" dxfId="405" priority="20">
      <formula>B$9&lt;8/24</formula>
    </cfRule>
    <cfRule type="expression" dxfId="404" priority="17">
      <formula>B$9&gt;=20/24</formula>
    </cfRule>
    <cfRule type="expression" dxfId="403" priority="18">
      <formula>AND(B$9&gt;=14/24,B$9&lt;20/24)</formula>
    </cfRule>
  </conditionalFormatting>
  <conditionalFormatting sqref="B15:X40">
    <cfRule type="expression" dxfId="402" priority="108">
      <formula>B$9&gt;=20/24</formula>
    </cfRule>
    <cfRule type="expression" dxfId="401" priority="109">
      <formula>AND(B$9&gt;=14/24,B$9&lt;20/24)</formula>
    </cfRule>
    <cfRule type="expression" dxfId="400" priority="110">
      <formula>AND(B$9&gt;=8/24,B$9&lt;14/24)</formula>
    </cfRule>
    <cfRule type="expression" dxfId="399" priority="111">
      <formula>B$9&lt;8/24</formula>
    </cfRule>
  </conditionalFormatting>
  <conditionalFormatting sqref="B41:X41">
    <cfRule type="expression" dxfId="398" priority="16">
      <formula>B$9&lt;8/24</formula>
    </cfRule>
    <cfRule type="expression" dxfId="397" priority="15">
      <formula>AND(B$9&gt;=8/24,B$9&lt;14/24)</formula>
    </cfRule>
    <cfRule type="expression" dxfId="396" priority="14">
      <formula>AND(B$9&gt;=14/24,B$9&lt;20/24)</formula>
    </cfRule>
    <cfRule type="expression" dxfId="395" priority="13">
      <formula>B$9&gt;=20/24</formula>
    </cfRule>
  </conditionalFormatting>
  <conditionalFormatting sqref="B42:X42">
    <cfRule type="expression" dxfId="394" priority="75">
      <formula>B$9&lt;8/24</formula>
    </cfRule>
    <cfRule type="expression" dxfId="393" priority="74">
      <formula>AND(B$9&gt;=8/24,B$9&lt;14/24)</formula>
    </cfRule>
    <cfRule type="expression" dxfId="392" priority="73">
      <formula>AND(B$9&gt;=14/24,B$9&lt;20/24)</formula>
    </cfRule>
    <cfRule type="expression" dxfId="391" priority="72">
      <formula>B$9&gt;=20/24</formula>
    </cfRule>
  </conditionalFormatting>
  <conditionalFormatting sqref="B9:AF10 B220:AF220 D222:AF223 B222:B228 D224:H224 J224:AF224 D225:AF228 U241:AF241">
    <cfRule type="expression" dxfId="390" priority="237">
      <formula>B$9&lt;8/24</formula>
    </cfRule>
    <cfRule type="expression" dxfId="389" priority="235">
      <formula>AND(B$9&gt;=14/24,B$9&lt;20/24)</formula>
    </cfRule>
    <cfRule type="expression" dxfId="388" priority="236">
      <formula>AND(B$9&gt;=8/24,B$9&lt;14/24)</formula>
    </cfRule>
    <cfRule type="expression" dxfId="387" priority="234">
      <formula>B$9&gt;=20/24</formula>
    </cfRule>
  </conditionalFormatting>
  <conditionalFormatting sqref="B11:AF66">
    <cfRule type="expression" dxfId="386" priority="21">
      <formula>B11&gt;$AG11</formula>
    </cfRule>
  </conditionalFormatting>
  <conditionalFormatting sqref="B43:AF43">
    <cfRule type="expression" dxfId="385" priority="104">
      <formula>B$9&gt;=20/24</formula>
    </cfRule>
    <cfRule type="expression" dxfId="384" priority="105">
      <formula>AND(B$9&gt;=14/24,B$9&lt;20/24)</formula>
    </cfRule>
    <cfRule type="expression" dxfId="383" priority="106">
      <formula>AND(B$9&gt;=8/24,B$9&lt;14/24)</formula>
    </cfRule>
    <cfRule type="expression" dxfId="382" priority="107">
      <formula>B$9&lt;8/24</formula>
    </cfRule>
  </conditionalFormatting>
  <conditionalFormatting sqref="B45:AF48">
    <cfRule type="expression" dxfId="381" priority="52">
      <formula>B$9&lt;8/24</formula>
    </cfRule>
    <cfRule type="expression" dxfId="380" priority="51">
      <formula>AND(B$9&gt;=8/24,B$9&lt;14/24)</formula>
    </cfRule>
    <cfRule type="expression" dxfId="379" priority="49">
      <formula>B$9&gt;=20/24</formula>
    </cfRule>
    <cfRule type="expression" dxfId="378" priority="50">
      <formula>AND(B$9&gt;=14/24,B$9&lt;20/24)</formula>
    </cfRule>
  </conditionalFormatting>
  <conditionalFormatting sqref="B55:AF60">
    <cfRule type="expression" dxfId="377" priority="28">
      <formula>B$9&gt;=20/24</formula>
    </cfRule>
    <cfRule type="expression" dxfId="376" priority="31">
      <formula>B$9&lt;8/24</formula>
    </cfRule>
    <cfRule type="expression" dxfId="375" priority="30">
      <formula>AND(B$9&gt;=8/24,B$9&lt;14/24)</formula>
    </cfRule>
    <cfRule type="expression" dxfId="374" priority="29">
      <formula>AND(B$9&gt;=14/24,B$9&lt;20/24)</formula>
    </cfRule>
  </conditionalFormatting>
  <conditionalFormatting sqref="B63:AF72">
    <cfRule type="expression" dxfId="373" priority="69">
      <formula>AND(B$9&gt;=8/24,B$9&lt;14/24)</formula>
    </cfRule>
    <cfRule type="expression" dxfId="372" priority="67">
      <formula>B$9&gt;=20/24</formula>
    </cfRule>
    <cfRule type="expression" dxfId="371" priority="70">
      <formula>B$9&lt;8/24</formula>
    </cfRule>
    <cfRule type="expression" dxfId="370" priority="68">
      <formula>AND(B$9&gt;=14/24,B$9&lt;20/24)</formula>
    </cfRule>
  </conditionalFormatting>
  <conditionalFormatting sqref="B73:AF85">
    <cfRule type="expression" dxfId="369" priority="9">
      <formula>B$9&gt;=20/24</formula>
    </cfRule>
    <cfRule type="expression" dxfId="368" priority="12">
      <formula>B$9&lt;8/24</formula>
    </cfRule>
    <cfRule type="expression" dxfId="367" priority="11">
      <formula>AND(B$9&gt;=8/24,B$9&lt;14/24)</formula>
    </cfRule>
    <cfRule type="expression" dxfId="366" priority="10">
      <formula>AND(B$9&gt;=14/24,B$9&lt;20/24)</formula>
    </cfRule>
  </conditionalFormatting>
  <conditionalFormatting sqref="B87:AF103">
    <cfRule type="expression" dxfId="361" priority="44">
      <formula>B$9&gt;=20/24</formula>
    </cfRule>
    <cfRule type="expression" dxfId="360" priority="45">
      <formula>AND(B$9&gt;=14/24,B$9&lt;20/24)</formula>
    </cfRule>
    <cfRule type="expression" dxfId="359" priority="46">
      <formula>AND(B$9&gt;=8/24,B$9&lt;14/24)</formula>
    </cfRule>
    <cfRule type="expression" dxfId="358" priority="47">
      <formula>B$9&lt;8/24</formula>
    </cfRule>
  </conditionalFormatting>
  <conditionalFormatting sqref="B105:AF112">
    <cfRule type="expression" dxfId="357" priority="35">
      <formula>B$9&lt;8/24</formula>
    </cfRule>
    <cfRule type="expression" dxfId="356" priority="33">
      <formula>AND(B$9&gt;=14/24,B$9&lt;20/24)</formula>
    </cfRule>
    <cfRule type="expression" dxfId="355" priority="32">
      <formula>B$9&gt;=20/24</formula>
    </cfRule>
    <cfRule type="expression" dxfId="354" priority="34">
      <formula>AND(B$9&gt;=8/24,B$9&lt;14/24)</formula>
    </cfRule>
  </conditionalFormatting>
  <conditionalFormatting sqref="M49:AF54">
    <cfRule type="expression" dxfId="349" priority="164">
      <formula>AND(M$9&gt;=8/24,M$9&lt;14/24)</formula>
    </cfRule>
    <cfRule type="expression" dxfId="348" priority="165">
      <formula>M$9&lt;8/24</formula>
    </cfRule>
    <cfRule type="expression" dxfId="347" priority="162">
      <formula>M$9&gt;=20/24</formula>
    </cfRule>
    <cfRule type="expression" dxfId="346" priority="163">
      <formula>AND(M$9&gt;=14/24,M$9&lt;20/24)</formula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345" priority="240">
      <formula>C$9&gt;=20/24</formula>
    </cfRule>
  </conditionalFormatting>
  <conditionalFormatting sqref="S8">
    <cfRule type="expression" dxfId="344" priority="216">
      <formula>U$9&lt;8/24</formula>
    </cfRule>
    <cfRule type="expression" dxfId="343" priority="215">
      <formula>AND(U$9&gt;=8/24,U$9&lt;14/24)</formula>
    </cfRule>
    <cfRule type="expression" dxfId="342" priority="214">
      <formula>AND(U$9&gt;=14/24,U$9&lt;20/24)</formula>
    </cfRule>
    <cfRule type="expression" dxfId="341" priority="213">
      <formula>U$9&gt;=20/24</formula>
    </cfRule>
  </conditionalFormatting>
  <conditionalFormatting sqref="T241">
    <cfRule type="expression" dxfId="340" priority="256">
      <formula>AX$9&lt;8/24</formula>
    </cfRule>
    <cfRule type="expression" dxfId="339" priority="255">
      <formula>AND(AX$9&gt;=8/24,AX$9&lt;14/24)</formula>
    </cfRule>
    <cfRule type="expression" dxfId="338" priority="253">
      <formula>AX$9&gt;=20/24</formula>
    </cfRule>
    <cfRule type="expression" dxfId="337" priority="254">
      <formula>AND(AX$9&gt;=14/24,AX$9&lt;20/24)</formula>
    </cfRule>
  </conditionalFormatting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Y11:AF42">
    <cfRule type="expression" dxfId="336" priority="178">
      <formula>AND(Y$9&gt;=8/24,Y$9&lt;14/24)</formula>
    </cfRule>
    <cfRule type="expression" dxfId="335" priority="179">
      <formula>Y$9&lt;8/24</formula>
    </cfRule>
    <cfRule type="expression" dxfId="334" priority="177">
      <formula>AND(Y$9&gt;=14/24,Y$9&lt;20/24)</formula>
    </cfRule>
    <cfRule type="expression" dxfId="333" priority="176">
      <formula>Y$9&gt;=20/24</formula>
    </cfRule>
  </conditionalFormatting>
  <conditionalFormatting sqref="AB8">
    <cfRule type="expression" dxfId="332" priority="210">
      <formula>AND(AD$9&gt;=14/24,AD$9&lt;20/24)</formula>
    </cfRule>
    <cfRule type="expression" dxfId="331" priority="211">
      <formula>AND(AD$9&gt;=8/24,AD$9&lt;14/24)</formula>
    </cfRule>
    <cfRule type="expression" dxfId="330" priority="209">
      <formula>AD$9&gt;=20/24</formula>
    </cfRule>
    <cfRule type="expression" dxfId="329" priority="212">
      <formula>AD$9&lt;8/24</formula>
    </cfRule>
  </conditionalFormatting>
  <conditionalFormatting sqref="AG44 AG61:AG62 AG66">
    <cfRule type="expression" dxfId="328" priority="166">
      <formula>AG44&gt;$AG44</formula>
    </cfRule>
  </conditionalFormatting>
  <conditionalFormatting sqref="AG48">
    <cfRule type="expression" dxfId="327" priority="149">
      <formula>AND(AG$9&gt;=8/24,AG$9&lt;14/24)</formula>
    </cfRule>
    <cfRule type="expression" dxfId="326" priority="148">
      <formula>AND(AG$9&gt;=14/24,AG$9&lt;20/24)</formula>
    </cfRule>
    <cfRule type="expression" dxfId="325" priority="147">
      <formula>AG$9&gt;=20/24</formula>
    </cfRule>
    <cfRule type="expression" dxfId="324" priority="146">
      <formula>AG48&gt;$AG48</formula>
    </cfRule>
    <cfRule type="expression" dxfId="323" priority="150">
      <formula>AG$9&lt;8/24</formula>
    </cfRule>
  </conditionalFormatting>
  <conditionalFormatting sqref="AG66 AG83">
    <cfRule type="expression" dxfId="322" priority="168">
      <formula>AND(AG$9&gt;=14/24,AG$9&lt;20/24)</formula>
    </cfRule>
    <cfRule type="expression" dxfId="321" priority="167">
      <formula>AG$9&gt;=20/24</formula>
    </cfRule>
    <cfRule type="expression" dxfId="320" priority="170">
      <formula>AG$9&lt;8/24</formula>
    </cfRule>
    <cfRule type="expression" dxfId="319" priority="169">
      <formula>AND(AG$9&gt;=8/24,AG$9&lt;14/24)</formula>
    </cfRule>
  </conditionalFormatting>
  <conditionalFormatting sqref="AG241">
    <cfRule type="expression" dxfId="318" priority="248">
      <formula>B$9&lt;8/24</formula>
    </cfRule>
    <cfRule type="expression" dxfId="317" priority="247">
      <formula>AND(B$9&gt;=8/24,B$9&lt;14/24)</formula>
    </cfRule>
    <cfRule type="expression" dxfId="316" priority="245">
      <formula>B$9&gt;=20/24</formula>
    </cfRule>
    <cfRule type="expression" dxfId="315" priority="246">
      <formula>AND(B$9&gt;=14/24,B$9&lt;20/24)</formula>
    </cfRule>
  </conditionalFormatting>
  <conditionalFormatting sqref="AH241:AX241">
    <cfRule type="expression" dxfId="314" priority="251">
      <formula>AND(AG$9&gt;=8/24,AG$9&lt;14/24)</formula>
    </cfRule>
    <cfRule type="expression" dxfId="313" priority="250">
      <formula>AND(AG$9&gt;=14/24,AG$9&lt;20/24)</formula>
    </cfRule>
    <cfRule type="expression" dxfId="312" priority="249">
      <formula>AG$9&gt;=20/24</formula>
    </cfRule>
    <cfRule type="expression" dxfId="311" priority="252">
      <formula>AG$9&lt;8/24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AL75:AM79">
    <cfRule type="expression" dxfId="310" priority="261">
      <formula>AJ$9&lt;8/24</formula>
    </cfRule>
    <cfRule type="expression" dxfId="309" priority="258">
      <formula>AJ$9&gt;=20/24</formula>
    </cfRule>
    <cfRule type="expression" dxfId="308" priority="259">
      <formula>AND(AJ$9&gt;=14/24,AJ$9&lt;20/24)</formula>
    </cfRule>
    <cfRule type="expression" dxfId="307" priority="260">
      <formula>AND(AJ$9&gt;=8/24,AJ$9&lt;14/24)</formula>
    </cfRule>
  </conditionalFormatting>
  <conditionalFormatting sqref="AL74:AN74 AL80:AN80">
    <cfRule type="expression" dxfId="306" priority="6">
      <formula>AND(AL$9&gt;=14/24,AL$9&lt;20/24)</formula>
    </cfRule>
    <cfRule type="expression" dxfId="305" priority="7">
      <formula>AND(AL$9&gt;=8/24,AL$9&lt;14/24)</formula>
    </cfRule>
    <cfRule type="expression" dxfId="304" priority="8">
      <formula>AL$9&lt;8/24</formula>
    </cfRule>
    <cfRule type="expression" dxfId="303" priority="5">
      <formula>AL$9&gt;=20/24</formula>
    </cfRule>
  </conditionalFormatting>
  <conditionalFormatting sqref="AN75:AN78">
    <cfRule type="expression" dxfId="302" priority="4">
      <formula>AN$9&lt;8/24</formula>
    </cfRule>
    <cfRule type="expression" dxfId="301" priority="1">
      <formula>AN$9&gt;=20/24</formula>
    </cfRule>
    <cfRule type="expression" dxfId="300" priority="2">
      <formula>AND(AN$9&gt;=14/24,AN$9&lt;20/24)</formula>
    </cfRule>
    <cfRule type="expression" dxfId="299" priority="3">
      <formula>AND(AN$9&gt;=8/24,AN$9&lt;14/24)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id="{17E8A45D-AE28-40F6-97E9-FB06EDCC24A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98958843-981B-4504-ABBF-2F2F8B0637C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060CB9B0-5B54-45EC-B03D-397BEF454812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C1A5E810-636F-4D89-AC56-9303E963186E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B113:C113</xm:sqref>
        </x14:conditionalFormatting>
        <x14:conditionalFormatting xmlns:xm="http://schemas.microsoft.com/office/excel/2006/main">
          <x14:cfRule type="expression" priority="40" id="{0C2854D4-F3FF-4DEB-B9F7-5CF3738640C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69D8C294-FFF0-4A06-BCEC-1322722E685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" id="{C4566C47-579D-47BC-B872-BFC285A6A93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" id="{FC097204-B965-48EE-98DD-3A92C51F82C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137" id="{1B89DD4B-F99F-4769-98EC-F805FD2AAABD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4" id="{5C2990C6-8FF0-45E0-BF5E-6720C120C128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42F8446E-9A75-43E9-9FBB-320EF6394D09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5B29F15E-978C-4CE4-9F59-A79A0F9EA9B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m:sqref>D113:AF113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274"/>
  <sheetViews>
    <sheetView tabSelected="1" workbookViewId="0">
      <pane ySplit="10" topLeftCell="A97" activePane="bottomLeft" state="frozen"/>
      <selection activeCell="U80" sqref="U80"/>
      <selection pane="bottomLeft" activeCell="AA81" sqref="AA81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/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str">
        <f ca="1">"2079/"&amp;"09/"&amp;INT(MID(CELL("filename",D6),FIND("]",CELL("filename",D6))+1,200))</f>
        <v>2079/09/7</v>
      </c>
      <c r="C4" s="771"/>
      <c r="D4" s="771"/>
      <c r="E4" s="772" t="str">
        <f ca="1">"2079/"&amp;"09/"&amp;INT(MID(CELL("filename",G6),FIND("]",CELL("filename",G6))+1,200))</f>
        <v>2079/09/7</v>
      </c>
      <c r="F4" s="772"/>
      <c r="G4" s="772"/>
      <c r="H4" s="772" t="str">
        <f ca="1">TEXT(E4,"dddd")</f>
        <v>Thursday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427.3</v>
      </c>
      <c r="C5" s="30">
        <f t="shared" si="0"/>
        <v>399.00000000000006</v>
      </c>
      <c r="D5" s="30">
        <f t="shared" si="0"/>
        <v>410.8</v>
      </c>
      <c r="E5" s="30">
        <f t="shared" si="0"/>
        <v>394.6</v>
      </c>
      <c r="F5" s="30">
        <f t="shared" si="0"/>
        <v>383.4</v>
      </c>
      <c r="G5" s="30">
        <f t="shared" si="0"/>
        <v>381.6</v>
      </c>
      <c r="H5" s="30">
        <f t="shared" si="0"/>
        <v>389</v>
      </c>
      <c r="I5" s="30">
        <f t="shared" si="0"/>
        <v>394.40000000000003</v>
      </c>
      <c r="J5" s="30">
        <f t="shared" si="0"/>
        <v>335</v>
      </c>
      <c r="K5" s="30">
        <f t="shared" si="0"/>
        <v>346.8</v>
      </c>
      <c r="L5" s="30">
        <f t="shared" si="0"/>
        <v>320.8</v>
      </c>
      <c r="M5" s="30">
        <f t="shared" si="0"/>
        <v>236.8</v>
      </c>
      <c r="N5" s="30">
        <f t="shared" si="0"/>
        <v>231.8</v>
      </c>
      <c r="O5" s="30">
        <f t="shared" si="0"/>
        <v>446</v>
      </c>
      <c r="P5" s="30">
        <f t="shared" si="0"/>
        <v>369</v>
      </c>
      <c r="Q5" s="30">
        <f t="shared" si="0"/>
        <v>374.3</v>
      </c>
      <c r="R5" s="30">
        <f t="shared" si="0"/>
        <v>357.6</v>
      </c>
      <c r="S5" s="30">
        <f t="shared" si="0"/>
        <v>447.3</v>
      </c>
      <c r="T5" s="30">
        <f t="shared" si="0"/>
        <v>433.40000000000003</v>
      </c>
      <c r="U5" s="30">
        <f t="shared" si="0"/>
        <v>438.6</v>
      </c>
      <c r="V5" s="30">
        <f t="shared" si="0"/>
        <v>463.5</v>
      </c>
      <c r="W5" s="30">
        <f t="shared" si="0"/>
        <v>358</v>
      </c>
      <c r="X5" s="30">
        <f t="shared" si="0"/>
        <v>308</v>
      </c>
      <c r="Y5" s="30">
        <f t="shared" si="0"/>
        <v>308</v>
      </c>
      <c r="Z5" s="30">
        <f t="shared" si="0"/>
        <v>289</v>
      </c>
      <c r="AA5" s="30">
        <f t="shared" si="0"/>
        <v>326.60000000000002</v>
      </c>
      <c r="AB5" s="30">
        <f t="shared" si="0"/>
        <v>391.70000000000005</v>
      </c>
      <c r="AC5" s="30">
        <f t="shared" si="0"/>
        <v>383.50000000000006</v>
      </c>
      <c r="AD5" s="30">
        <f t="shared" si="0"/>
        <v>390.9</v>
      </c>
      <c r="AE5" s="30">
        <f t="shared" si="0"/>
        <v>401.2</v>
      </c>
      <c r="AF5" s="30">
        <f>B78</f>
        <v>449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1696MW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Load=539</v>
      </c>
      <c r="B7" s="35">
        <f t="shared" ref="B7:AF7" si="1">B85</f>
        <v>1149.1399999999999</v>
      </c>
      <c r="C7" s="35">
        <f t="shared" si="1"/>
        <v>1122.3400000000001</v>
      </c>
      <c r="D7" s="35">
        <f t="shared" si="1"/>
        <v>1086.24</v>
      </c>
      <c r="E7" s="35">
        <f t="shared" si="1"/>
        <v>1104.44</v>
      </c>
      <c r="F7" s="35">
        <f t="shared" si="1"/>
        <v>1063.24</v>
      </c>
      <c r="G7" s="35">
        <f t="shared" si="1"/>
        <v>1110.24</v>
      </c>
      <c r="H7" s="35">
        <f t="shared" si="1"/>
        <v>1181.04</v>
      </c>
      <c r="I7" s="35">
        <f t="shared" si="1"/>
        <v>1250.7399999999998</v>
      </c>
      <c r="J7" s="35">
        <f t="shared" si="1"/>
        <v>1308.3399999999999</v>
      </c>
      <c r="K7" s="35">
        <f t="shared" si="1"/>
        <v>538.54</v>
      </c>
      <c r="L7" s="35">
        <f t="shared" si="1"/>
        <v>1636.04</v>
      </c>
      <c r="M7" s="35">
        <f t="shared" si="1"/>
        <v>1651.34</v>
      </c>
      <c r="N7" s="35">
        <f>N85</f>
        <v>1695.7399999999998</v>
      </c>
      <c r="O7" s="35">
        <f t="shared" si="1"/>
        <v>1540.54</v>
      </c>
      <c r="P7" s="35">
        <f t="shared" si="1"/>
        <v>1288.8399999999999</v>
      </c>
      <c r="Q7" s="35">
        <f t="shared" si="1"/>
        <v>1298.24</v>
      </c>
      <c r="R7" s="35">
        <f t="shared" si="1"/>
        <v>1215.8399999999999</v>
      </c>
      <c r="S7" s="35">
        <f t="shared" si="1"/>
        <v>1146.94</v>
      </c>
      <c r="T7" s="35">
        <f t="shared" si="1"/>
        <v>1181.44</v>
      </c>
      <c r="U7" s="35">
        <f t="shared" si="1"/>
        <v>1170.54</v>
      </c>
      <c r="V7" s="35">
        <f t="shared" si="1"/>
        <v>1181.8400000000001</v>
      </c>
      <c r="W7" s="35">
        <f t="shared" si="1"/>
        <v>1251.74</v>
      </c>
      <c r="X7" s="35">
        <f t="shared" si="1"/>
        <v>1453.94</v>
      </c>
      <c r="Y7" s="35">
        <f t="shared" si="1"/>
        <v>1682.14</v>
      </c>
      <c r="Z7" s="35">
        <f t="shared" si="1"/>
        <v>1542.14</v>
      </c>
      <c r="AA7" s="35">
        <f t="shared" si="1"/>
        <v>1520.1399999999999</v>
      </c>
      <c r="AB7" s="35">
        <f t="shared" si="1"/>
        <v>1509.94</v>
      </c>
      <c r="AC7" s="35">
        <f t="shared" si="1"/>
        <v>1478.54</v>
      </c>
      <c r="AD7" s="35">
        <f t="shared" si="1"/>
        <v>1409.8400000000001</v>
      </c>
      <c r="AE7" s="35">
        <f t="shared" si="1"/>
        <v>1227.3399999999999</v>
      </c>
      <c r="AF7" s="35">
        <f t="shared" si="1"/>
        <v>1116.4399999999998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19.399999999999999</v>
      </c>
      <c r="C11" s="45">
        <v>19.5</v>
      </c>
      <c r="D11" s="45">
        <v>19.5</v>
      </c>
      <c r="E11" s="45">
        <v>19.5</v>
      </c>
      <c r="F11" s="45">
        <v>19.5</v>
      </c>
      <c r="G11" s="45">
        <v>19.399999999999999</v>
      </c>
      <c r="H11" s="45">
        <v>19.5</v>
      </c>
      <c r="I11" s="45">
        <v>19.5</v>
      </c>
      <c r="J11" s="45">
        <v>19.899999999999999</v>
      </c>
      <c r="K11" s="45" t="s">
        <v>694</v>
      </c>
      <c r="L11" s="45">
        <v>19.899999999999999</v>
      </c>
      <c r="M11" s="45">
        <v>19.899999999999999</v>
      </c>
      <c r="N11" s="45">
        <v>19.899999999999999</v>
      </c>
      <c r="O11" s="45">
        <v>19.899999999999999</v>
      </c>
      <c r="P11" s="45">
        <v>19.899999999999999</v>
      </c>
      <c r="Q11" s="45">
        <v>19.899999999999999</v>
      </c>
      <c r="R11" s="45">
        <v>19.899999999999999</v>
      </c>
      <c r="S11" s="45">
        <v>19.899999999999999</v>
      </c>
      <c r="T11" s="45">
        <v>18.5</v>
      </c>
      <c r="U11" s="45">
        <v>18.5</v>
      </c>
      <c r="V11" s="45">
        <v>18.5</v>
      </c>
      <c r="W11" s="45">
        <v>18.5</v>
      </c>
      <c r="X11" s="45">
        <v>19.100000000000001</v>
      </c>
      <c r="Y11" s="45">
        <v>19</v>
      </c>
      <c r="Z11" s="45">
        <v>19</v>
      </c>
      <c r="AA11" s="45">
        <v>19</v>
      </c>
      <c r="AB11" s="45">
        <v>19.100000000000001</v>
      </c>
      <c r="AC11" s="45">
        <v>19</v>
      </c>
      <c r="AD11" s="45">
        <v>19</v>
      </c>
      <c r="AE11" s="45">
        <v>19</v>
      </c>
      <c r="AF11" s="45" t="s">
        <v>691</v>
      </c>
      <c r="AG11" s="46">
        <v>52.4</v>
      </c>
      <c r="AH11" s="47">
        <f t="shared" ref="AH11:AH74" si="2">MAX(B11:AF11)</f>
        <v>19.899999999999999</v>
      </c>
      <c r="AI11" s="48">
        <f t="shared" ref="AI11:AI74" si="3">MIN(B11:AF11)</f>
        <v>18.5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35.5</v>
      </c>
      <c r="C12" s="45">
        <v>37</v>
      </c>
      <c r="D12" s="45">
        <v>36.700000000000003</v>
      </c>
      <c r="E12" s="45">
        <v>36.5</v>
      </c>
      <c r="F12" s="45">
        <v>36.5</v>
      </c>
      <c r="G12" s="45">
        <v>37</v>
      </c>
      <c r="H12" s="45">
        <v>36.299999999999997</v>
      </c>
      <c r="I12" s="45">
        <v>36.299999999999997</v>
      </c>
      <c r="J12" s="45">
        <v>36.299999999999997</v>
      </c>
      <c r="K12" s="45" t="s">
        <v>695</v>
      </c>
      <c r="L12" s="45">
        <v>36.299999999999997</v>
      </c>
      <c r="M12" s="45">
        <v>36.299999999999997</v>
      </c>
      <c r="N12" s="45">
        <v>36.299999999999997</v>
      </c>
      <c r="O12" s="45">
        <v>36.299999999999997</v>
      </c>
      <c r="P12" s="45">
        <v>36.299999999999997</v>
      </c>
      <c r="Q12" s="45">
        <v>36.299999999999997</v>
      </c>
      <c r="R12" s="45">
        <v>36.299999999999997</v>
      </c>
      <c r="S12" s="45">
        <v>36.299999999999997</v>
      </c>
      <c r="T12" s="45">
        <v>36.700000000000003</v>
      </c>
      <c r="U12" s="45">
        <v>36.700000000000003</v>
      </c>
      <c r="V12" s="45">
        <v>36.700000000000003</v>
      </c>
      <c r="W12" s="45">
        <v>36.700000000000003</v>
      </c>
      <c r="X12" s="45">
        <v>36.700000000000003</v>
      </c>
      <c r="Y12" s="45">
        <v>36.4</v>
      </c>
      <c r="Z12" s="45">
        <v>36.4</v>
      </c>
      <c r="AA12" s="45">
        <v>35.200000000000003</v>
      </c>
      <c r="AB12" s="45">
        <v>36.9</v>
      </c>
      <c r="AC12" s="45">
        <v>35</v>
      </c>
      <c r="AD12" s="45">
        <v>35</v>
      </c>
      <c r="AE12" s="45">
        <v>35</v>
      </c>
      <c r="AF12" s="45">
        <v>34.9</v>
      </c>
      <c r="AG12" s="50">
        <v>50</v>
      </c>
      <c r="AH12" s="47">
        <f t="shared" si="2"/>
        <v>37</v>
      </c>
      <c r="AI12" s="48">
        <f t="shared" si="3"/>
        <v>34.9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19.8</v>
      </c>
      <c r="C13" s="45">
        <v>19.8</v>
      </c>
      <c r="D13" s="45">
        <v>19.8</v>
      </c>
      <c r="E13" s="45">
        <v>16.100000000000001</v>
      </c>
      <c r="F13" s="45">
        <v>16.100000000000001</v>
      </c>
      <c r="G13" s="45">
        <v>19.100000000000001</v>
      </c>
      <c r="H13" s="45">
        <v>19.100000000000001</v>
      </c>
      <c r="I13" s="45">
        <v>19.100000000000001</v>
      </c>
      <c r="J13" s="45">
        <v>19.100000000000001</v>
      </c>
      <c r="K13" s="45" t="s">
        <v>694</v>
      </c>
      <c r="L13" s="45">
        <v>19.100000000000001</v>
      </c>
      <c r="M13" s="45">
        <v>19.100000000000001</v>
      </c>
      <c r="N13" s="45">
        <v>19.100000000000001</v>
      </c>
      <c r="O13" s="45">
        <v>19.100000000000001</v>
      </c>
      <c r="P13" s="45">
        <v>19.100000000000001</v>
      </c>
      <c r="Q13" s="45">
        <v>19.100000000000001</v>
      </c>
      <c r="R13" s="45">
        <v>19.100000000000001</v>
      </c>
      <c r="S13" s="45">
        <v>19.100000000000001</v>
      </c>
      <c r="T13" s="45">
        <v>19.2</v>
      </c>
      <c r="U13" s="45">
        <v>19.2</v>
      </c>
      <c r="V13" s="45">
        <v>19.2</v>
      </c>
      <c r="W13" s="45">
        <v>19.2</v>
      </c>
      <c r="X13" s="45">
        <v>20.6</v>
      </c>
      <c r="Y13" s="45">
        <v>20.6</v>
      </c>
      <c r="Z13" s="45">
        <v>20.6</v>
      </c>
      <c r="AA13" s="45">
        <v>21.9</v>
      </c>
      <c r="AB13" s="45">
        <v>21.9</v>
      </c>
      <c r="AC13" s="45">
        <v>21.9</v>
      </c>
      <c r="AD13" s="45">
        <v>21.9</v>
      </c>
      <c r="AE13" s="45">
        <v>21.9</v>
      </c>
      <c r="AF13" s="45">
        <v>21.9</v>
      </c>
      <c r="AG13" s="50">
        <v>45</v>
      </c>
      <c r="AH13" s="47">
        <f t="shared" si="2"/>
        <v>21.9</v>
      </c>
      <c r="AI13" s="48">
        <f t="shared" si="3"/>
        <v>16.100000000000001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9.8000000000000007</v>
      </c>
      <c r="C14" s="45">
        <v>9.8000000000000007</v>
      </c>
      <c r="D14" s="45">
        <v>9.5</v>
      </c>
      <c r="E14" s="45">
        <v>9.5</v>
      </c>
      <c r="F14" s="45">
        <v>9.5</v>
      </c>
      <c r="G14" s="45">
        <v>9.5</v>
      </c>
      <c r="H14" s="45">
        <v>9.5</v>
      </c>
      <c r="I14" s="45">
        <v>9.5</v>
      </c>
      <c r="J14" s="45">
        <v>9.5</v>
      </c>
      <c r="K14" s="663" t="s">
        <v>696</v>
      </c>
      <c r="L14" s="45">
        <v>9.5</v>
      </c>
      <c r="M14" s="45">
        <v>9.5</v>
      </c>
      <c r="N14" s="45">
        <v>9.5</v>
      </c>
      <c r="O14" s="45">
        <v>9.5</v>
      </c>
      <c r="P14" s="45">
        <v>9.5</v>
      </c>
      <c r="Q14" s="45">
        <v>9.5</v>
      </c>
      <c r="R14" s="45">
        <v>9.5</v>
      </c>
      <c r="S14" s="45">
        <v>9.5</v>
      </c>
      <c r="T14" s="45">
        <v>8</v>
      </c>
      <c r="U14" s="45">
        <v>8</v>
      </c>
      <c r="V14" s="45">
        <v>8</v>
      </c>
      <c r="W14" s="45">
        <v>8</v>
      </c>
      <c r="X14" s="45">
        <v>8</v>
      </c>
      <c r="Y14" s="45">
        <v>8</v>
      </c>
      <c r="Z14" s="45">
        <v>8</v>
      </c>
      <c r="AA14" s="45">
        <v>8</v>
      </c>
      <c r="AB14" s="45">
        <v>9</v>
      </c>
      <c r="AC14" s="45">
        <v>9</v>
      </c>
      <c r="AD14" s="45">
        <v>9</v>
      </c>
      <c r="AE14" s="45">
        <v>9</v>
      </c>
      <c r="AF14" s="45">
        <v>9.5</v>
      </c>
      <c r="AG14" s="50">
        <v>42</v>
      </c>
      <c r="AH14" s="47">
        <f t="shared" si="2"/>
        <v>9.8000000000000007</v>
      </c>
      <c r="AI14" s="48">
        <f t="shared" si="3"/>
        <v>8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13</v>
      </c>
      <c r="C15" s="45">
        <v>13</v>
      </c>
      <c r="D15" s="45">
        <v>13</v>
      </c>
      <c r="E15" s="45">
        <v>13</v>
      </c>
      <c r="F15" s="45">
        <v>13</v>
      </c>
      <c r="G15" s="45">
        <v>13</v>
      </c>
      <c r="H15" s="45">
        <v>13</v>
      </c>
      <c r="I15" s="45">
        <v>13</v>
      </c>
      <c r="J15" s="45">
        <v>13</v>
      </c>
      <c r="K15" s="663" t="s">
        <v>697</v>
      </c>
      <c r="L15" s="45">
        <v>13</v>
      </c>
      <c r="M15" s="45">
        <v>13</v>
      </c>
      <c r="N15" s="45">
        <v>13</v>
      </c>
      <c r="O15" s="45">
        <v>13</v>
      </c>
      <c r="P15" s="45">
        <v>13</v>
      </c>
      <c r="Q15" s="45">
        <v>13</v>
      </c>
      <c r="R15" s="45">
        <v>13</v>
      </c>
      <c r="S15" s="45">
        <v>13</v>
      </c>
      <c r="T15" s="45">
        <v>13</v>
      </c>
      <c r="U15" s="45">
        <v>13</v>
      </c>
      <c r="V15" s="45">
        <v>13</v>
      </c>
      <c r="W15" s="45">
        <v>13</v>
      </c>
      <c r="X15" s="45">
        <v>13</v>
      </c>
      <c r="Y15" s="45">
        <v>13</v>
      </c>
      <c r="Z15" s="45">
        <v>13</v>
      </c>
      <c r="AA15" s="45">
        <v>13</v>
      </c>
      <c r="AB15" s="45">
        <v>13</v>
      </c>
      <c r="AC15" s="45">
        <v>13</v>
      </c>
      <c r="AD15" s="45">
        <v>13</v>
      </c>
      <c r="AE15" s="45">
        <v>13</v>
      </c>
      <c r="AF15" s="45">
        <v>13</v>
      </c>
      <c r="AG15" s="50">
        <v>36</v>
      </c>
      <c r="AH15" s="47">
        <f t="shared" si="2"/>
        <v>13</v>
      </c>
      <c r="AI15" s="48">
        <f t="shared" si="3"/>
        <v>13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9.3000000000000007</v>
      </c>
      <c r="C16" s="45">
        <v>9</v>
      </c>
      <c r="D16" s="45">
        <v>9.1</v>
      </c>
      <c r="E16" s="45">
        <v>9.4</v>
      </c>
      <c r="F16" s="45">
        <v>9.4</v>
      </c>
      <c r="G16" s="45">
        <v>9.1</v>
      </c>
      <c r="H16" s="45">
        <v>9.1</v>
      </c>
      <c r="I16" s="45">
        <v>9.1</v>
      </c>
      <c r="J16" s="45">
        <v>9.1</v>
      </c>
      <c r="K16" s="45" t="s">
        <v>698</v>
      </c>
      <c r="L16" s="45">
        <v>9.1</v>
      </c>
      <c r="M16" s="45">
        <v>9.1</v>
      </c>
      <c r="N16" s="45">
        <v>9.1</v>
      </c>
      <c r="O16" s="45">
        <v>9.1</v>
      </c>
      <c r="P16" s="45">
        <v>9.1</v>
      </c>
      <c r="Q16" s="45">
        <v>9.1</v>
      </c>
      <c r="R16" s="45">
        <v>9.1</v>
      </c>
      <c r="S16" s="45">
        <v>9.1</v>
      </c>
      <c r="T16" s="45">
        <v>8.4</v>
      </c>
      <c r="U16" s="45">
        <v>8.4</v>
      </c>
      <c r="V16" s="45">
        <v>8.4</v>
      </c>
      <c r="W16" s="45">
        <v>8.4</v>
      </c>
      <c r="X16" s="45">
        <v>8.4</v>
      </c>
      <c r="Y16" s="45">
        <v>8.4</v>
      </c>
      <c r="Z16" s="45">
        <v>8.4</v>
      </c>
      <c r="AA16" s="45">
        <v>8.4</v>
      </c>
      <c r="AB16" s="45">
        <v>8.4</v>
      </c>
      <c r="AC16" s="45">
        <v>8.4</v>
      </c>
      <c r="AD16" s="45">
        <v>8.4</v>
      </c>
      <c r="AE16" s="45">
        <v>8.4</v>
      </c>
      <c r="AF16" s="45">
        <v>8.4</v>
      </c>
      <c r="AG16" s="51">
        <v>30</v>
      </c>
      <c r="AH16" s="47">
        <f t="shared" si="2"/>
        <v>9.4</v>
      </c>
      <c r="AI16" s="48">
        <f t="shared" si="3"/>
        <v>8.4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8.6999999999999993</v>
      </c>
      <c r="C17" s="45">
        <v>8.6999999999999993</v>
      </c>
      <c r="D17" s="45">
        <v>8.5</v>
      </c>
      <c r="E17" s="45">
        <v>8.5</v>
      </c>
      <c r="F17" s="45">
        <v>8.5</v>
      </c>
      <c r="G17" s="45">
        <v>8.5</v>
      </c>
      <c r="H17" s="45">
        <v>8.5</v>
      </c>
      <c r="I17" s="45">
        <v>8.5</v>
      </c>
      <c r="J17" s="45">
        <v>8.5</v>
      </c>
      <c r="K17" s="45"/>
      <c r="L17" s="45">
        <v>8.5</v>
      </c>
      <c r="M17" s="45">
        <v>8.5</v>
      </c>
      <c r="N17" s="45">
        <v>8.5</v>
      </c>
      <c r="O17" s="45">
        <v>8.5</v>
      </c>
      <c r="P17" s="45">
        <v>8.5</v>
      </c>
      <c r="Q17" s="45">
        <v>8.5</v>
      </c>
      <c r="R17" s="45">
        <v>8.5</v>
      </c>
      <c r="S17" s="45">
        <v>8.5</v>
      </c>
      <c r="T17" s="45">
        <v>8.5</v>
      </c>
      <c r="U17" s="45">
        <v>8.5</v>
      </c>
      <c r="V17" s="45">
        <v>8.5</v>
      </c>
      <c r="W17" s="45">
        <v>8.5</v>
      </c>
      <c r="X17" s="45">
        <v>8.5</v>
      </c>
      <c r="Y17" s="45">
        <v>8.5</v>
      </c>
      <c r="Z17" s="45">
        <v>8.5</v>
      </c>
      <c r="AA17" s="45">
        <v>8.5</v>
      </c>
      <c r="AB17" s="45">
        <v>8.5</v>
      </c>
      <c r="AC17" s="45">
        <v>8.5</v>
      </c>
      <c r="AD17" s="45">
        <v>8.5</v>
      </c>
      <c r="AE17" s="45">
        <v>8.5</v>
      </c>
      <c r="AF17" s="45">
        <v>8.5</v>
      </c>
      <c r="AG17" s="50">
        <v>24.2</v>
      </c>
      <c r="AH17" s="47">
        <f t="shared" si="2"/>
        <v>8.6999999999999993</v>
      </c>
      <c r="AI17" s="48">
        <f t="shared" si="3"/>
        <v>8.5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 t="s">
        <v>699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0">
        <v>28</v>
      </c>
      <c r="AH18" s="47">
        <f t="shared" si="2"/>
        <v>13</v>
      </c>
      <c r="AI18" s="48">
        <f t="shared" si="3"/>
        <v>13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 t="s">
        <v>693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</v>
      </c>
      <c r="C20" s="45">
        <v>10</v>
      </c>
      <c r="D20" s="45">
        <v>10</v>
      </c>
      <c r="E20" s="45">
        <v>10</v>
      </c>
      <c r="F20" s="45">
        <v>10</v>
      </c>
      <c r="G20" s="45">
        <v>10</v>
      </c>
      <c r="H20" s="45">
        <v>10</v>
      </c>
      <c r="I20" s="45">
        <v>10</v>
      </c>
      <c r="J20" s="45">
        <v>10</v>
      </c>
      <c r="K20" s="45" t="s">
        <v>694</v>
      </c>
      <c r="L20" s="45">
        <v>10</v>
      </c>
      <c r="M20" s="45">
        <v>10</v>
      </c>
      <c r="N20" s="45">
        <v>10</v>
      </c>
      <c r="O20" s="45">
        <v>10</v>
      </c>
      <c r="P20" s="45">
        <v>10</v>
      </c>
      <c r="Q20" s="45">
        <v>10</v>
      </c>
      <c r="R20" s="45">
        <v>10</v>
      </c>
      <c r="S20" s="45">
        <v>10</v>
      </c>
      <c r="T20" s="45">
        <v>10</v>
      </c>
      <c r="U20" s="45">
        <v>10</v>
      </c>
      <c r="V20" s="45">
        <v>10</v>
      </c>
      <c r="W20" s="45">
        <v>10</v>
      </c>
      <c r="X20" s="45">
        <v>10</v>
      </c>
      <c r="Y20" s="45">
        <v>10</v>
      </c>
      <c r="Z20" s="45">
        <v>10</v>
      </c>
      <c r="AA20" s="45">
        <v>10</v>
      </c>
      <c r="AB20" s="45">
        <v>10</v>
      </c>
      <c r="AC20" s="45">
        <v>10</v>
      </c>
      <c r="AD20" s="45">
        <v>10</v>
      </c>
      <c r="AE20" s="45">
        <v>10</v>
      </c>
      <c r="AF20" s="45">
        <v>10</v>
      </c>
      <c r="AG20" s="50">
        <v>25</v>
      </c>
      <c r="AH20" s="47">
        <f t="shared" si="2"/>
        <v>10</v>
      </c>
      <c r="AI20" s="48">
        <f t="shared" si="3"/>
        <v>10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 t="s">
        <v>696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 t="s">
        <v>700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0">
        <v>25</v>
      </c>
      <c r="AH22" s="47">
        <f t="shared" si="2"/>
        <v>11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 t="s">
        <v>692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8.9</v>
      </c>
      <c r="C24" s="45">
        <v>8.9</v>
      </c>
      <c r="D24" s="45">
        <v>8.9</v>
      </c>
      <c r="E24" s="45">
        <v>8.9</v>
      </c>
      <c r="F24" s="45">
        <v>8.9</v>
      </c>
      <c r="G24" s="45">
        <v>8.9</v>
      </c>
      <c r="H24" s="45">
        <v>8.9</v>
      </c>
      <c r="I24" s="45">
        <v>8.9</v>
      </c>
      <c r="J24" s="45">
        <v>8.9</v>
      </c>
      <c r="K24" s="45" t="s">
        <v>701</v>
      </c>
      <c r="L24" s="45">
        <v>8.9</v>
      </c>
      <c r="M24" s="45">
        <v>8.9</v>
      </c>
      <c r="N24" s="45">
        <v>8.9</v>
      </c>
      <c r="O24" s="45">
        <v>8.9</v>
      </c>
      <c r="P24" s="45">
        <v>8.9</v>
      </c>
      <c r="Q24" s="45">
        <v>8.9</v>
      </c>
      <c r="R24" s="45">
        <v>8.9</v>
      </c>
      <c r="S24" s="45">
        <v>8.9</v>
      </c>
      <c r="T24" s="45">
        <v>8.9</v>
      </c>
      <c r="U24" s="45">
        <v>8.9</v>
      </c>
      <c r="V24" s="45">
        <v>8.9</v>
      </c>
      <c r="W24" s="45">
        <v>8.9</v>
      </c>
      <c r="X24" s="45">
        <v>8.9</v>
      </c>
      <c r="Y24" s="45">
        <v>8.9</v>
      </c>
      <c r="Z24" s="45">
        <v>8.9</v>
      </c>
      <c r="AA24" s="45">
        <v>8.9</v>
      </c>
      <c r="AB24" s="45">
        <v>8.9</v>
      </c>
      <c r="AC24" s="45">
        <v>8.9</v>
      </c>
      <c r="AD24" s="45">
        <v>8.9</v>
      </c>
      <c r="AE24" s="45">
        <v>8.9</v>
      </c>
      <c r="AF24" s="45">
        <v>8.9</v>
      </c>
      <c r="AG24" s="50">
        <v>23.5</v>
      </c>
      <c r="AH24" s="47">
        <f t="shared" si="2"/>
        <v>8.9</v>
      </c>
      <c r="AI24" s="48">
        <f t="shared" si="3"/>
        <v>8.9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/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/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/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/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0">
        <v>22</v>
      </c>
      <c r="AH28" s="47">
        <f t="shared" si="2"/>
        <v>12</v>
      </c>
      <c r="AI28" s="48">
        <f t="shared" si="3"/>
        <v>12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/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/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/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/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/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/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/>
      <c r="L35" s="45">
        <v>10</v>
      </c>
      <c r="M35" s="45">
        <v>10</v>
      </c>
      <c r="N35" s="45">
        <v>10</v>
      </c>
      <c r="O35" s="45">
        <v>10</v>
      </c>
      <c r="P35" s="45">
        <v>10</v>
      </c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45">
        <v>10</v>
      </c>
      <c r="Z35" s="45">
        <v>10</v>
      </c>
      <c r="AA35" s="45">
        <v>10</v>
      </c>
      <c r="AB35" s="45">
        <v>10</v>
      </c>
      <c r="AC35" s="45">
        <v>10</v>
      </c>
      <c r="AD35" s="45">
        <v>10</v>
      </c>
      <c r="AE35" s="45">
        <v>10</v>
      </c>
      <c r="AF35" s="45">
        <v>10</v>
      </c>
      <c r="AG35" s="50">
        <v>12</v>
      </c>
      <c r="AH35" s="47">
        <f t="shared" si="2"/>
        <v>10</v>
      </c>
      <c r="AI35" s="48">
        <f t="shared" si="3"/>
        <v>10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/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/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/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/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/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/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150</v>
      </c>
      <c r="C42" s="56">
        <v>150</v>
      </c>
      <c r="D42" s="56">
        <v>150</v>
      </c>
      <c r="E42" s="56">
        <v>150</v>
      </c>
      <c r="F42" s="56">
        <v>150</v>
      </c>
      <c r="G42" s="56">
        <v>150</v>
      </c>
      <c r="H42" s="56">
        <v>150</v>
      </c>
      <c r="I42" s="56">
        <v>150</v>
      </c>
      <c r="J42" s="56">
        <v>150</v>
      </c>
      <c r="K42" s="56"/>
      <c r="L42" s="56">
        <v>150</v>
      </c>
      <c r="M42" s="56">
        <v>150</v>
      </c>
      <c r="N42" s="56">
        <v>150</v>
      </c>
      <c r="O42" s="56">
        <v>150</v>
      </c>
      <c r="P42" s="56">
        <v>150</v>
      </c>
      <c r="Q42" s="56">
        <v>150</v>
      </c>
      <c r="R42" s="56">
        <v>150</v>
      </c>
      <c r="S42" s="56">
        <v>150</v>
      </c>
      <c r="T42" s="56">
        <v>150</v>
      </c>
      <c r="U42" s="56">
        <v>150</v>
      </c>
      <c r="V42" s="56">
        <v>150</v>
      </c>
      <c r="W42" s="56">
        <v>150</v>
      </c>
      <c r="X42" s="56">
        <v>150</v>
      </c>
      <c r="Y42" s="56">
        <v>150</v>
      </c>
      <c r="Z42" s="56">
        <v>150</v>
      </c>
      <c r="AA42" s="56">
        <v>150</v>
      </c>
      <c r="AB42" s="56">
        <v>150</v>
      </c>
      <c r="AC42" s="56">
        <v>150</v>
      </c>
      <c r="AD42" s="56">
        <v>150</v>
      </c>
      <c r="AE42" s="56">
        <v>150</v>
      </c>
      <c r="AF42" s="56">
        <v>150</v>
      </c>
      <c r="AG42" s="54">
        <v>85</v>
      </c>
      <c r="AH42" s="47">
        <f t="shared" si="2"/>
        <v>150</v>
      </c>
      <c r="AI42" s="48">
        <f t="shared" si="3"/>
        <v>150</v>
      </c>
      <c r="AK42" s="49"/>
    </row>
    <row r="43" spans="1:88" ht="15.75" thickBot="1" x14ac:dyDescent="0.3">
      <c r="A43" s="57" t="s">
        <v>51</v>
      </c>
      <c r="B43" s="56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>SUM(B11:B42)</f>
        <v>448.09999999999997</v>
      </c>
      <c r="C44" s="60">
        <f t="shared" ref="C44:AG44" si="4">SUM(C11:C42)</f>
        <v>449.40000000000003</v>
      </c>
      <c r="D44" s="60">
        <f>SUM(D11:D42)</f>
        <v>448.7</v>
      </c>
      <c r="E44" s="60">
        <f t="shared" si="4"/>
        <v>445.09999999999997</v>
      </c>
      <c r="F44" s="60">
        <f t="shared" si="4"/>
        <v>445.09999999999997</v>
      </c>
      <c r="G44" s="60">
        <f t="shared" si="4"/>
        <v>448.2</v>
      </c>
      <c r="H44" s="60">
        <f t="shared" si="4"/>
        <v>447.59999999999997</v>
      </c>
      <c r="I44" s="60">
        <f t="shared" si="4"/>
        <v>447.59999999999997</v>
      </c>
      <c r="J44" s="60">
        <f t="shared" si="4"/>
        <v>447.99999999999994</v>
      </c>
      <c r="K44" s="60">
        <f t="shared" si="4"/>
        <v>0</v>
      </c>
      <c r="L44" s="60">
        <f t="shared" si="4"/>
        <v>447.99999999999994</v>
      </c>
      <c r="M44" s="60">
        <f t="shared" si="4"/>
        <v>447.99999999999994</v>
      </c>
      <c r="N44" s="60">
        <f t="shared" si="4"/>
        <v>447.99999999999994</v>
      </c>
      <c r="O44" s="60">
        <f t="shared" si="4"/>
        <v>447.99999999999994</v>
      </c>
      <c r="P44" s="60">
        <f t="shared" si="4"/>
        <v>447.99999999999994</v>
      </c>
      <c r="Q44" s="60">
        <f t="shared" si="4"/>
        <v>447.99999999999994</v>
      </c>
      <c r="R44" s="60">
        <f>SUM(R11:R42)</f>
        <v>447.99999999999994</v>
      </c>
      <c r="S44" s="60">
        <f t="shared" si="4"/>
        <v>447.99999999999994</v>
      </c>
      <c r="T44" s="60">
        <f t="shared" si="4"/>
        <v>444.90000000000003</v>
      </c>
      <c r="U44" s="60">
        <f t="shared" si="4"/>
        <v>444.90000000000003</v>
      </c>
      <c r="V44" s="60">
        <f t="shared" si="4"/>
        <v>444.90000000000003</v>
      </c>
      <c r="W44" s="60">
        <f t="shared" si="4"/>
        <v>444.90000000000003</v>
      </c>
      <c r="X44" s="60">
        <v>446.90000000000003</v>
      </c>
      <c r="Y44" s="60">
        <f t="shared" si="4"/>
        <v>446.5</v>
      </c>
      <c r="Z44" s="60">
        <f t="shared" si="4"/>
        <v>446.5</v>
      </c>
      <c r="AA44" s="60">
        <f t="shared" si="4"/>
        <v>446.59999999999997</v>
      </c>
      <c r="AB44" s="60">
        <f t="shared" si="4"/>
        <v>449.40000000000003</v>
      </c>
      <c r="AC44" s="60">
        <f t="shared" si="4"/>
        <v>447.40000000000003</v>
      </c>
      <c r="AD44" s="60">
        <f t="shared" si="4"/>
        <v>447.40000000000003</v>
      </c>
      <c r="AE44" s="60">
        <f t="shared" si="4"/>
        <v>447.40000000000003</v>
      </c>
      <c r="AF44" s="60">
        <f t="shared" si="4"/>
        <v>428.8</v>
      </c>
      <c r="AG44" s="61">
        <f t="shared" si="4"/>
        <v>814.78000000000009</v>
      </c>
      <c r="AH44" s="47">
        <f t="shared" si="2"/>
        <v>449.40000000000003</v>
      </c>
      <c r="AI44" s="48">
        <f t="shared" si="3"/>
        <v>0</v>
      </c>
      <c r="AK44" s="49"/>
    </row>
    <row r="45" spans="1:88" x14ac:dyDescent="0.25">
      <c r="A45" s="62" t="s">
        <v>53</v>
      </c>
      <c r="B45" s="45">
        <v>70</v>
      </c>
      <c r="C45" s="45">
        <v>85</v>
      </c>
      <c r="D45" s="45">
        <v>95</v>
      </c>
      <c r="E45" s="45">
        <v>105</v>
      </c>
      <c r="F45" s="45">
        <v>80</v>
      </c>
      <c r="G45" s="45">
        <v>115</v>
      </c>
      <c r="H45" s="45">
        <v>115</v>
      </c>
      <c r="I45" s="45">
        <v>115</v>
      </c>
      <c r="J45" s="45">
        <v>140</v>
      </c>
      <c r="K45" s="45"/>
      <c r="L45" s="45">
        <v>210</v>
      </c>
      <c r="M45" s="45">
        <v>250</v>
      </c>
      <c r="N45" s="45">
        <v>350</v>
      </c>
      <c r="O45" s="45">
        <v>225</v>
      </c>
      <c r="P45" s="45">
        <v>30</v>
      </c>
      <c r="Q45" s="45">
        <v>122</v>
      </c>
      <c r="R45" s="45">
        <v>100</v>
      </c>
      <c r="S45" s="45">
        <v>90</v>
      </c>
      <c r="T45" s="45">
        <v>45</v>
      </c>
      <c r="U45" s="45">
        <v>45</v>
      </c>
      <c r="V45" s="45">
        <v>12</v>
      </c>
      <c r="W45" s="45">
        <v>30</v>
      </c>
      <c r="X45" s="45">
        <v>140</v>
      </c>
      <c r="Y45" s="45">
        <v>230</v>
      </c>
      <c r="Z45" s="45">
        <v>290</v>
      </c>
      <c r="AA45" s="45">
        <v>280</v>
      </c>
      <c r="AB45" s="45">
        <v>240</v>
      </c>
      <c r="AC45" s="45">
        <v>165</v>
      </c>
      <c r="AD45" s="45">
        <v>150</v>
      </c>
      <c r="AE45" s="45">
        <v>100</v>
      </c>
      <c r="AF45" s="45">
        <v>60</v>
      </c>
      <c r="AG45" s="51">
        <v>456</v>
      </c>
      <c r="AH45" s="47">
        <f t="shared" si="2"/>
        <v>350</v>
      </c>
      <c r="AI45" s="48">
        <f t="shared" si="3"/>
        <v>12</v>
      </c>
      <c r="AK45" s="49"/>
    </row>
    <row r="46" spans="1:88" x14ac:dyDescent="0.25">
      <c r="A46" s="64" t="s">
        <v>54</v>
      </c>
      <c r="B46" s="65">
        <v>35</v>
      </c>
      <c r="C46" s="65">
        <v>35</v>
      </c>
      <c r="D46" s="65">
        <v>35</v>
      </c>
      <c r="E46" s="65">
        <v>35</v>
      </c>
      <c r="F46" s="65">
        <v>35</v>
      </c>
      <c r="G46" s="65">
        <v>35</v>
      </c>
      <c r="H46" s="65">
        <v>35</v>
      </c>
      <c r="I46" s="65">
        <v>35</v>
      </c>
      <c r="J46" s="65">
        <v>35</v>
      </c>
      <c r="K46" s="65"/>
      <c r="L46" s="65">
        <v>35</v>
      </c>
      <c r="M46" s="65">
        <v>35</v>
      </c>
      <c r="N46" s="65">
        <v>35</v>
      </c>
      <c r="O46" s="65">
        <v>35</v>
      </c>
      <c r="P46" s="65">
        <v>35</v>
      </c>
      <c r="Q46" s="65">
        <v>35</v>
      </c>
      <c r="R46" s="65">
        <v>35</v>
      </c>
      <c r="S46" s="65">
        <v>35</v>
      </c>
      <c r="T46" s="65">
        <v>35</v>
      </c>
      <c r="U46" s="65">
        <v>35</v>
      </c>
      <c r="V46" s="65">
        <v>35</v>
      </c>
      <c r="W46" s="65">
        <v>35</v>
      </c>
      <c r="X46" s="65">
        <v>35</v>
      </c>
      <c r="Y46" s="65">
        <v>35</v>
      </c>
      <c r="Z46" s="65">
        <v>35</v>
      </c>
      <c r="AA46" s="65">
        <v>35</v>
      </c>
      <c r="AB46" s="65">
        <v>35</v>
      </c>
      <c r="AC46" s="65">
        <v>35</v>
      </c>
      <c r="AD46" s="65">
        <v>35</v>
      </c>
      <c r="AE46" s="65">
        <v>35</v>
      </c>
      <c r="AF46" s="65">
        <v>35</v>
      </c>
      <c r="AG46" s="54">
        <v>60</v>
      </c>
      <c r="AH46" s="47">
        <f t="shared" si="2"/>
        <v>35</v>
      </c>
      <c r="AI46" s="48">
        <f t="shared" si="3"/>
        <v>35</v>
      </c>
      <c r="AK46" s="49"/>
    </row>
    <row r="47" spans="1:88" ht="15.75" thickBot="1" x14ac:dyDescent="0.3">
      <c r="A47" s="66" t="s">
        <v>55</v>
      </c>
      <c r="B47" s="67">
        <v>11.2</v>
      </c>
      <c r="C47" s="67">
        <v>11.2</v>
      </c>
      <c r="D47" s="67">
        <v>11.2</v>
      </c>
      <c r="E47" s="67">
        <v>11.2</v>
      </c>
      <c r="F47" s="67">
        <v>11.2</v>
      </c>
      <c r="G47" s="67">
        <v>11.2</v>
      </c>
      <c r="H47" s="67">
        <v>11.2</v>
      </c>
      <c r="I47" s="67">
        <v>11.2</v>
      </c>
      <c r="J47" s="67">
        <v>11.1</v>
      </c>
      <c r="K47" s="67"/>
      <c r="L47" s="67">
        <v>17.100000000000001</v>
      </c>
      <c r="M47" s="67">
        <v>17.100000000000001</v>
      </c>
      <c r="N47" s="67">
        <v>17.100000000000001</v>
      </c>
      <c r="O47" s="67">
        <v>9.6999999999999993</v>
      </c>
      <c r="P47" s="67">
        <v>9.6999999999999993</v>
      </c>
      <c r="Q47" s="67">
        <v>9.6999999999999993</v>
      </c>
      <c r="R47" s="67">
        <v>9.6999999999999993</v>
      </c>
      <c r="S47" s="67">
        <v>10</v>
      </c>
      <c r="T47" s="67">
        <v>10</v>
      </c>
      <c r="U47" s="67">
        <v>10</v>
      </c>
      <c r="V47" s="67">
        <v>10</v>
      </c>
      <c r="W47" s="67">
        <v>11</v>
      </c>
      <c r="X47" s="67">
        <v>11</v>
      </c>
      <c r="Y47" s="67">
        <v>11</v>
      </c>
      <c r="Z47" s="67">
        <v>11</v>
      </c>
      <c r="AA47" s="67">
        <v>11</v>
      </c>
      <c r="AB47" s="67">
        <v>11.6</v>
      </c>
      <c r="AC47" s="67">
        <v>11.6</v>
      </c>
      <c r="AD47" s="67">
        <v>11.6</v>
      </c>
      <c r="AE47" s="67">
        <v>11.6</v>
      </c>
      <c r="AF47" s="67">
        <v>11.6</v>
      </c>
      <c r="AG47" s="68">
        <v>22.1</v>
      </c>
      <c r="AH47" s="47">
        <f t="shared" si="2"/>
        <v>17.100000000000001</v>
      </c>
      <c r="AI47" s="48">
        <f t="shared" si="3"/>
        <v>9.6999999999999993</v>
      </c>
      <c r="AK47" s="49"/>
    </row>
    <row r="48" spans="1:88" ht="15.75" thickBot="1" x14ac:dyDescent="0.3">
      <c r="A48" s="69" t="s">
        <v>56</v>
      </c>
      <c r="B48" s="60">
        <f>SUM(B45:B47)</f>
        <v>116.2</v>
      </c>
      <c r="C48" s="60">
        <f t="shared" ref="C48:AG48" si="5">SUM(C45:C47)</f>
        <v>131.19999999999999</v>
      </c>
      <c r="D48" s="60">
        <f>SUM(D45:D47)</f>
        <v>141.19999999999999</v>
      </c>
      <c r="E48" s="60">
        <f t="shared" si="5"/>
        <v>151.19999999999999</v>
      </c>
      <c r="F48" s="60">
        <f t="shared" si="5"/>
        <v>126.2</v>
      </c>
      <c r="G48" s="60">
        <f t="shared" si="5"/>
        <v>161.19999999999999</v>
      </c>
      <c r="H48" s="60">
        <f t="shared" si="5"/>
        <v>161.19999999999999</v>
      </c>
      <c r="I48" s="60">
        <f t="shared" si="5"/>
        <v>161.19999999999999</v>
      </c>
      <c r="J48" s="60">
        <f t="shared" si="5"/>
        <v>186.1</v>
      </c>
      <c r="K48" s="60">
        <f t="shared" si="5"/>
        <v>0</v>
      </c>
      <c r="L48" s="60">
        <f t="shared" si="5"/>
        <v>262.10000000000002</v>
      </c>
      <c r="M48" s="60">
        <f t="shared" si="5"/>
        <v>302.10000000000002</v>
      </c>
      <c r="N48" s="60">
        <f t="shared" si="5"/>
        <v>402.1</v>
      </c>
      <c r="O48" s="60">
        <f t="shared" si="5"/>
        <v>269.7</v>
      </c>
      <c r="P48" s="60">
        <f t="shared" si="5"/>
        <v>74.7</v>
      </c>
      <c r="Q48" s="60">
        <f t="shared" si="5"/>
        <v>166.7</v>
      </c>
      <c r="R48" s="60">
        <f>SUM(R45:R47)</f>
        <v>144.69999999999999</v>
      </c>
      <c r="S48" s="60">
        <f t="shared" si="5"/>
        <v>135</v>
      </c>
      <c r="T48" s="60">
        <f t="shared" si="5"/>
        <v>90</v>
      </c>
      <c r="U48" s="60">
        <f t="shared" si="5"/>
        <v>90</v>
      </c>
      <c r="V48" s="60">
        <f t="shared" si="5"/>
        <v>57</v>
      </c>
      <c r="W48" s="60">
        <f t="shared" si="5"/>
        <v>76</v>
      </c>
      <c r="X48" s="60">
        <v>186</v>
      </c>
      <c r="Y48" s="60">
        <f t="shared" si="5"/>
        <v>276</v>
      </c>
      <c r="Z48" s="60">
        <f t="shared" si="5"/>
        <v>336</v>
      </c>
      <c r="AA48" s="60">
        <f t="shared" si="5"/>
        <v>326</v>
      </c>
      <c r="AB48" s="60">
        <f t="shared" si="5"/>
        <v>286.60000000000002</v>
      </c>
      <c r="AC48" s="60">
        <f t="shared" si="5"/>
        <v>211.6</v>
      </c>
      <c r="AD48" s="60">
        <f t="shared" si="5"/>
        <v>196.6</v>
      </c>
      <c r="AE48" s="60">
        <f t="shared" si="5"/>
        <v>146.6</v>
      </c>
      <c r="AF48" s="60">
        <f t="shared" si="5"/>
        <v>106.6</v>
      </c>
      <c r="AG48" s="61">
        <f t="shared" si="5"/>
        <v>538.1</v>
      </c>
      <c r="AH48" s="47">
        <f t="shared" si="2"/>
        <v>402.1</v>
      </c>
      <c r="AI48" s="48">
        <f t="shared" si="3"/>
        <v>0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30</v>
      </c>
      <c r="I49" s="45">
        <v>65.599999999999994</v>
      </c>
      <c r="J49" s="45">
        <v>93.5</v>
      </c>
      <c r="K49" s="45"/>
      <c r="L49" s="45">
        <v>93.6</v>
      </c>
      <c r="M49" s="45">
        <v>93.5</v>
      </c>
      <c r="N49" s="45">
        <v>93.5</v>
      </c>
      <c r="O49" s="45">
        <v>93.5</v>
      </c>
      <c r="P49" s="45">
        <v>93.6</v>
      </c>
      <c r="Q49" s="45">
        <v>106</v>
      </c>
      <c r="R49" s="45">
        <v>76.400000000000006</v>
      </c>
      <c r="S49" s="45">
        <v>85.7</v>
      </c>
      <c r="T49" s="45">
        <v>71.599999999999994</v>
      </c>
      <c r="U49" s="45">
        <v>71.7</v>
      </c>
      <c r="V49" s="45">
        <v>55</v>
      </c>
      <c r="W49" s="45">
        <v>66.5</v>
      </c>
      <c r="X49" s="45">
        <v>122.5</v>
      </c>
      <c r="Y49" s="45">
        <v>141.9</v>
      </c>
      <c r="Z49" s="45">
        <v>141.9</v>
      </c>
      <c r="AA49" s="45">
        <v>141.1</v>
      </c>
      <c r="AB49" s="45">
        <v>141.1</v>
      </c>
      <c r="AC49" s="45">
        <v>141.1</v>
      </c>
      <c r="AD49" s="45">
        <v>141</v>
      </c>
      <c r="AE49" s="45">
        <v>61.3</v>
      </c>
      <c r="AF49" s="45">
        <v>30.9</v>
      </c>
      <c r="AG49" s="51">
        <v>144</v>
      </c>
      <c r="AH49" s="47">
        <f t="shared" si="2"/>
        <v>141.9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11</v>
      </c>
      <c r="H50" s="65">
        <v>35.9</v>
      </c>
      <c r="I50" s="65">
        <v>34.700000000000003</v>
      </c>
      <c r="J50" s="65">
        <v>35</v>
      </c>
      <c r="K50" s="65"/>
      <c r="L50" s="65">
        <v>69.400000000000006</v>
      </c>
      <c r="M50" s="65">
        <v>69.599999999999994</v>
      </c>
      <c r="N50" s="65">
        <v>69.599999999999994</v>
      </c>
      <c r="O50" s="65">
        <v>69.599999999999994</v>
      </c>
      <c r="P50" s="65">
        <v>35.6</v>
      </c>
      <c r="Q50" s="65">
        <v>35.6</v>
      </c>
      <c r="R50" s="65">
        <v>35</v>
      </c>
      <c r="S50" s="45">
        <v>21</v>
      </c>
      <c r="T50" s="45">
        <v>28</v>
      </c>
      <c r="U50" s="45">
        <v>30.9</v>
      </c>
      <c r="V50" s="45">
        <v>47.9</v>
      </c>
      <c r="W50" s="45">
        <v>53.4</v>
      </c>
      <c r="X50" s="45">
        <v>55.1</v>
      </c>
      <c r="Y50" s="45">
        <v>70.7</v>
      </c>
      <c r="Z50" s="45">
        <v>70.7</v>
      </c>
      <c r="AA50" s="45">
        <v>63.9</v>
      </c>
      <c r="AB50" s="65">
        <v>63.7</v>
      </c>
      <c r="AC50" s="65">
        <v>64.400000000000006</v>
      </c>
      <c r="AD50" s="65">
        <v>50.3</v>
      </c>
      <c r="AE50" s="65">
        <v>34.6</v>
      </c>
      <c r="AF50" s="65">
        <v>26.9</v>
      </c>
      <c r="AG50" s="54">
        <v>70</v>
      </c>
      <c r="AH50" s="47">
        <f t="shared" si="2"/>
        <v>70.7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36.4</v>
      </c>
      <c r="C51" s="65">
        <v>16</v>
      </c>
      <c r="D51" s="65">
        <v>0</v>
      </c>
      <c r="E51" s="65">
        <v>0</v>
      </c>
      <c r="F51" s="65">
        <v>0</v>
      </c>
      <c r="G51" s="65">
        <v>0</v>
      </c>
      <c r="H51" s="65">
        <v>18.600000000000001</v>
      </c>
      <c r="I51" s="65">
        <v>43.3</v>
      </c>
      <c r="J51" s="65">
        <v>42.8</v>
      </c>
      <c r="K51" s="65"/>
      <c r="L51" s="65">
        <v>68.099999999999994</v>
      </c>
      <c r="M51" s="65">
        <v>69.3</v>
      </c>
      <c r="N51" s="65">
        <v>68</v>
      </c>
      <c r="O51" s="65">
        <v>68</v>
      </c>
      <c r="P51" s="65">
        <v>52</v>
      </c>
      <c r="Q51" s="65">
        <v>34</v>
      </c>
      <c r="R51" s="65">
        <v>32.799999999999997</v>
      </c>
      <c r="S51" s="45">
        <v>0</v>
      </c>
      <c r="T51" s="45">
        <v>0</v>
      </c>
      <c r="U51" s="45">
        <v>0</v>
      </c>
      <c r="V51" s="45">
        <v>37.799999999999997</v>
      </c>
      <c r="W51" s="45">
        <v>46.8</v>
      </c>
      <c r="X51" s="45">
        <v>62.8</v>
      </c>
      <c r="Y51" s="45">
        <v>68.099999999999994</v>
      </c>
      <c r="Z51" s="45">
        <v>68.099999999999994</v>
      </c>
      <c r="AA51" s="45">
        <v>69.099999999999994</v>
      </c>
      <c r="AB51" s="65">
        <v>68.5</v>
      </c>
      <c r="AC51" s="65">
        <v>68.5</v>
      </c>
      <c r="AD51" s="65">
        <v>51.1</v>
      </c>
      <c r="AE51" s="65">
        <v>46.4</v>
      </c>
      <c r="AF51" s="65">
        <v>23.6</v>
      </c>
      <c r="AG51" s="54">
        <v>69</v>
      </c>
      <c r="AH51" s="47">
        <f t="shared" si="2"/>
        <v>69.3</v>
      </c>
      <c r="AI51" s="48">
        <f t="shared" si="3"/>
        <v>0</v>
      </c>
      <c r="AK51" s="49"/>
    </row>
    <row r="52" spans="1:41" x14ac:dyDescent="0.25">
      <c r="A52" s="53" t="s">
        <v>60</v>
      </c>
      <c r="B52" s="65">
        <v>50.4</v>
      </c>
      <c r="C52" s="56">
        <v>49.4</v>
      </c>
      <c r="D52" s="56">
        <v>48.3</v>
      </c>
      <c r="E52" s="56">
        <v>48.3</v>
      </c>
      <c r="F52" s="56">
        <v>48.3</v>
      </c>
      <c r="G52" s="56">
        <v>48.3</v>
      </c>
      <c r="H52" s="56">
        <v>48.3</v>
      </c>
      <c r="I52" s="56">
        <v>50.4</v>
      </c>
      <c r="J52" s="56">
        <v>50.4</v>
      </c>
      <c r="K52" s="56"/>
      <c r="L52" s="56">
        <v>54.9</v>
      </c>
      <c r="M52" s="65">
        <v>54.9</v>
      </c>
      <c r="N52" s="65">
        <v>54.9</v>
      </c>
      <c r="O52" s="65">
        <v>54.9</v>
      </c>
      <c r="P52" s="65">
        <v>54.9</v>
      </c>
      <c r="Q52" s="65">
        <v>54.9</v>
      </c>
      <c r="R52" s="65">
        <v>50.6</v>
      </c>
      <c r="S52" s="45">
        <v>45.6</v>
      </c>
      <c r="T52" s="45">
        <v>45.6</v>
      </c>
      <c r="U52" s="45">
        <v>45.6</v>
      </c>
      <c r="V52" s="45">
        <v>46.6</v>
      </c>
      <c r="W52" s="45">
        <v>46.6</v>
      </c>
      <c r="X52" s="65">
        <v>46.6</v>
      </c>
      <c r="Y52" s="65">
        <v>46.6</v>
      </c>
      <c r="Z52" s="65">
        <v>46.6</v>
      </c>
      <c r="AA52" s="65">
        <v>46.6</v>
      </c>
      <c r="AB52" s="65">
        <v>49.4</v>
      </c>
      <c r="AC52" s="65">
        <v>50.4</v>
      </c>
      <c r="AD52" s="65">
        <v>51.4</v>
      </c>
      <c r="AE52" s="65">
        <v>51.1</v>
      </c>
      <c r="AF52" s="65">
        <v>49.4</v>
      </c>
      <c r="AG52" s="54">
        <v>60</v>
      </c>
      <c r="AH52" s="47">
        <f t="shared" si="2"/>
        <v>54.9</v>
      </c>
      <c r="AI52" s="48">
        <f t="shared" si="3"/>
        <v>45.6</v>
      </c>
      <c r="AK52" s="49"/>
    </row>
    <row r="53" spans="1:41" x14ac:dyDescent="0.25">
      <c r="A53" s="53" t="s">
        <v>61</v>
      </c>
      <c r="B53" s="65">
        <v>0</v>
      </c>
      <c r="C53" s="56">
        <v>0</v>
      </c>
      <c r="D53" s="56">
        <v>0</v>
      </c>
      <c r="E53" s="56">
        <v>0</v>
      </c>
      <c r="F53" s="56">
        <v>0</v>
      </c>
      <c r="G53" s="56">
        <v>9.1</v>
      </c>
      <c r="H53" s="56">
        <v>8.8000000000000007</v>
      </c>
      <c r="I53" s="56">
        <v>9.9</v>
      </c>
      <c r="J53" s="56">
        <v>9.1</v>
      </c>
      <c r="K53" s="56"/>
      <c r="L53" s="56">
        <v>30</v>
      </c>
      <c r="M53" s="56">
        <v>30</v>
      </c>
      <c r="N53" s="56">
        <v>30</v>
      </c>
      <c r="O53" s="56">
        <v>30</v>
      </c>
      <c r="P53" s="56">
        <v>30</v>
      </c>
      <c r="Q53" s="56">
        <v>30</v>
      </c>
      <c r="R53" s="56">
        <v>0</v>
      </c>
      <c r="S53" s="45">
        <v>0</v>
      </c>
      <c r="T53" s="45">
        <v>0</v>
      </c>
      <c r="U53" s="45">
        <v>0</v>
      </c>
      <c r="V53" s="45">
        <v>0</v>
      </c>
      <c r="W53" s="45">
        <v>0</v>
      </c>
      <c r="X53" s="65">
        <v>22</v>
      </c>
      <c r="Y53" s="65">
        <v>22</v>
      </c>
      <c r="Z53" s="65">
        <v>22</v>
      </c>
      <c r="AA53" s="65">
        <v>22</v>
      </c>
      <c r="AB53" s="65">
        <v>28.2</v>
      </c>
      <c r="AC53" s="65">
        <v>23.6</v>
      </c>
      <c r="AD53" s="65">
        <v>23.4</v>
      </c>
      <c r="AE53" s="65">
        <v>0</v>
      </c>
      <c r="AF53" s="65">
        <v>0</v>
      </c>
      <c r="AG53" s="54">
        <v>30</v>
      </c>
      <c r="AH53" s="47">
        <f t="shared" si="2"/>
        <v>30</v>
      </c>
      <c r="AI53" s="48">
        <f t="shared" si="3"/>
        <v>0</v>
      </c>
      <c r="AK53" s="49"/>
    </row>
    <row r="54" spans="1:41" x14ac:dyDescent="0.25">
      <c r="A54" s="53" t="s">
        <v>62</v>
      </c>
      <c r="B54" s="6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/>
      <c r="L54" s="45">
        <v>0</v>
      </c>
      <c r="M54" s="45">
        <v>0</v>
      </c>
      <c r="N54" s="45">
        <v>5</v>
      </c>
      <c r="O54" s="45">
        <v>5</v>
      </c>
      <c r="P54" s="45">
        <v>5</v>
      </c>
      <c r="Q54" s="45">
        <v>5</v>
      </c>
      <c r="R54" s="45">
        <v>5</v>
      </c>
      <c r="S54" s="45">
        <v>5</v>
      </c>
      <c r="T54" s="45">
        <v>5</v>
      </c>
      <c r="U54" s="45">
        <v>5</v>
      </c>
      <c r="V54" s="45">
        <v>5</v>
      </c>
      <c r="W54" s="45">
        <v>5</v>
      </c>
      <c r="X54" s="65">
        <v>5</v>
      </c>
      <c r="Y54" s="65">
        <v>5</v>
      </c>
      <c r="Z54" s="65">
        <v>5</v>
      </c>
      <c r="AA54" s="65">
        <v>5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5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17.100000000000001</v>
      </c>
      <c r="C55" s="65">
        <v>17.100000000000001</v>
      </c>
      <c r="D55" s="65">
        <v>17.100000000000001</v>
      </c>
      <c r="E55" s="65">
        <v>17.100000000000001</v>
      </c>
      <c r="F55" s="65">
        <v>17.100000000000001</v>
      </c>
      <c r="G55" s="65">
        <v>17.100000000000001</v>
      </c>
      <c r="H55" s="65">
        <v>17.100000000000001</v>
      </c>
      <c r="I55" s="65">
        <v>17.100000000000001</v>
      </c>
      <c r="J55" s="65">
        <v>17.100000000000001</v>
      </c>
      <c r="K55" s="65"/>
      <c r="L55" s="65">
        <v>17.100000000000001</v>
      </c>
      <c r="M55" s="65">
        <v>17.100000000000001</v>
      </c>
      <c r="N55" s="65">
        <v>17.100000000000001</v>
      </c>
      <c r="O55" s="65">
        <v>17.100000000000001</v>
      </c>
      <c r="P55" s="65">
        <v>17.100000000000001</v>
      </c>
      <c r="Q55" s="65">
        <v>17.100000000000001</v>
      </c>
      <c r="R55" s="65">
        <v>17.100000000000001</v>
      </c>
      <c r="S55" s="65">
        <v>17.100000000000001</v>
      </c>
      <c r="T55" s="65">
        <v>17.100000000000001</v>
      </c>
      <c r="U55" s="65">
        <v>17.100000000000001</v>
      </c>
      <c r="V55" s="65">
        <v>17.100000000000001</v>
      </c>
      <c r="W55" s="65">
        <v>17.100000000000001</v>
      </c>
      <c r="X55" s="65">
        <v>17.100000000000001</v>
      </c>
      <c r="Y55" s="65">
        <v>17.100000000000001</v>
      </c>
      <c r="Z55" s="65">
        <v>17.100000000000001</v>
      </c>
      <c r="AA55" s="65">
        <v>17.100000000000001</v>
      </c>
      <c r="AB55" s="65">
        <v>17.100000000000001</v>
      </c>
      <c r="AC55" s="65">
        <v>17.100000000000001</v>
      </c>
      <c r="AD55" s="65">
        <v>17.100000000000001</v>
      </c>
      <c r="AE55" s="65">
        <v>17.100000000000001</v>
      </c>
      <c r="AF55" s="65">
        <v>17.100000000000001</v>
      </c>
      <c r="AG55" s="54">
        <v>24</v>
      </c>
      <c r="AH55" s="47">
        <f t="shared" si="2"/>
        <v>17.100000000000001</v>
      </c>
      <c r="AI55" s="48">
        <f t="shared" si="3"/>
        <v>17.100000000000001</v>
      </c>
      <c r="AK55" s="49"/>
    </row>
    <row r="56" spans="1:41" x14ac:dyDescent="0.25">
      <c r="A56" s="53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/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4">
        <v>15</v>
      </c>
      <c r="AH56" s="47">
        <f t="shared" si="2"/>
        <v>3.2</v>
      </c>
      <c r="AI56" s="48">
        <f t="shared" si="3"/>
        <v>3.2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12.1</v>
      </c>
      <c r="C57" s="65">
        <v>12.1</v>
      </c>
      <c r="D57" s="65">
        <v>12.1</v>
      </c>
      <c r="E57" s="65">
        <v>12.1</v>
      </c>
      <c r="F57" s="65">
        <v>12.1</v>
      </c>
      <c r="G57" s="65">
        <v>12.1</v>
      </c>
      <c r="H57" s="65">
        <v>12.1</v>
      </c>
      <c r="I57" s="65">
        <v>12.1</v>
      </c>
      <c r="J57" s="65">
        <v>12.1</v>
      </c>
      <c r="K57" s="65"/>
      <c r="L57" s="65">
        <v>12.1</v>
      </c>
      <c r="M57" s="65">
        <v>12.1</v>
      </c>
      <c r="N57" s="65">
        <v>12.1</v>
      </c>
      <c r="O57" s="65">
        <v>12.1</v>
      </c>
      <c r="P57" s="65">
        <v>12.1</v>
      </c>
      <c r="Q57" s="65">
        <v>12.1</v>
      </c>
      <c r="R57" s="65">
        <v>12.1</v>
      </c>
      <c r="S57" s="65">
        <v>12.1</v>
      </c>
      <c r="T57" s="65">
        <v>12.1</v>
      </c>
      <c r="U57" s="65">
        <v>12.1</v>
      </c>
      <c r="V57" s="65">
        <v>12.1</v>
      </c>
      <c r="W57" s="65">
        <v>12.1</v>
      </c>
      <c r="X57" s="65">
        <v>12.1</v>
      </c>
      <c r="Y57" s="65">
        <v>12.1</v>
      </c>
      <c r="Z57" s="65">
        <v>12.1</v>
      </c>
      <c r="AA57" s="65">
        <v>12.1</v>
      </c>
      <c r="AB57" s="65">
        <v>12.1</v>
      </c>
      <c r="AC57" s="65">
        <v>12.1</v>
      </c>
      <c r="AD57" s="65">
        <v>12.1</v>
      </c>
      <c r="AE57" s="65">
        <v>12.1</v>
      </c>
      <c r="AF57" s="65">
        <v>12.1</v>
      </c>
      <c r="AG57" s="54">
        <v>14.1</v>
      </c>
      <c r="AH57" s="47">
        <f t="shared" si="2"/>
        <v>12.1</v>
      </c>
      <c r="AI57" s="48">
        <f t="shared" si="3"/>
        <v>12.1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4.7</v>
      </c>
      <c r="C58" s="65">
        <v>4.7</v>
      </c>
      <c r="D58" s="65">
        <v>4.7</v>
      </c>
      <c r="E58" s="65">
        <v>4.7</v>
      </c>
      <c r="F58" s="65">
        <v>4.7</v>
      </c>
      <c r="G58" s="65">
        <v>4.7</v>
      </c>
      <c r="H58" s="65">
        <v>4.7</v>
      </c>
      <c r="I58" s="65">
        <v>4.7</v>
      </c>
      <c r="J58" s="65">
        <v>4.7</v>
      </c>
      <c r="K58" s="65"/>
      <c r="L58" s="65">
        <v>4.7</v>
      </c>
      <c r="M58" s="65">
        <v>4.7</v>
      </c>
      <c r="N58" s="65">
        <v>4.7</v>
      </c>
      <c r="O58" s="65">
        <v>4.7</v>
      </c>
      <c r="P58" s="65">
        <v>4.7</v>
      </c>
      <c r="Q58" s="65">
        <v>4.7</v>
      </c>
      <c r="R58" s="65">
        <v>4.7</v>
      </c>
      <c r="S58" s="65">
        <v>4.7</v>
      </c>
      <c r="T58" s="65">
        <v>4.7</v>
      </c>
      <c r="U58" s="65">
        <v>4.7</v>
      </c>
      <c r="V58" s="65">
        <v>4.7</v>
      </c>
      <c r="W58" s="65">
        <v>4.7</v>
      </c>
      <c r="X58" s="65">
        <v>4.7</v>
      </c>
      <c r="Y58" s="65">
        <v>4.7</v>
      </c>
      <c r="Z58" s="65">
        <v>4.7</v>
      </c>
      <c r="AA58" s="65">
        <v>4.7</v>
      </c>
      <c r="AB58" s="65">
        <v>4.7</v>
      </c>
      <c r="AC58" s="65">
        <v>4.7</v>
      </c>
      <c r="AD58" s="65">
        <v>4.7</v>
      </c>
      <c r="AE58" s="65">
        <v>4.7</v>
      </c>
      <c r="AF58" s="65">
        <v>4.7</v>
      </c>
      <c r="AG58" s="54">
        <v>14</v>
      </c>
      <c r="AH58" s="47">
        <f t="shared" si="2"/>
        <v>4.7</v>
      </c>
      <c r="AI58" s="48">
        <f t="shared" si="3"/>
        <v>4.7</v>
      </c>
      <c r="AK58" s="49"/>
    </row>
    <row r="59" spans="1:41" x14ac:dyDescent="0.25">
      <c r="A59" s="53" t="s">
        <v>67</v>
      </c>
      <c r="B59" s="65">
        <v>5.2</v>
      </c>
      <c r="C59" s="65">
        <v>5.2</v>
      </c>
      <c r="D59" s="65">
        <v>5.2</v>
      </c>
      <c r="E59" s="65">
        <v>5.2</v>
      </c>
      <c r="F59" s="65">
        <v>5.2</v>
      </c>
      <c r="G59" s="65">
        <v>5.2</v>
      </c>
      <c r="H59" s="65">
        <v>5.2</v>
      </c>
      <c r="I59" s="65">
        <v>5.2</v>
      </c>
      <c r="J59" s="65">
        <v>5.2</v>
      </c>
      <c r="K59" s="65"/>
      <c r="L59" s="65">
        <v>5.2</v>
      </c>
      <c r="M59" s="65">
        <v>5.2</v>
      </c>
      <c r="N59" s="65">
        <v>5.2</v>
      </c>
      <c r="O59" s="65">
        <v>5.2</v>
      </c>
      <c r="P59" s="65">
        <v>5.2</v>
      </c>
      <c r="Q59" s="65">
        <v>5.2</v>
      </c>
      <c r="R59" s="65">
        <v>5.2</v>
      </c>
      <c r="S59" s="65">
        <v>5.2</v>
      </c>
      <c r="T59" s="65">
        <v>5.2</v>
      </c>
      <c r="U59" s="65">
        <v>5.2</v>
      </c>
      <c r="V59" s="65">
        <v>5.2</v>
      </c>
      <c r="W59" s="65">
        <v>5.2</v>
      </c>
      <c r="X59" s="65">
        <v>5.2</v>
      </c>
      <c r="Y59" s="65">
        <v>5.2</v>
      </c>
      <c r="Z59" s="65">
        <v>5.2</v>
      </c>
      <c r="AA59" s="65">
        <v>5.2</v>
      </c>
      <c r="AB59" s="65">
        <v>5.2</v>
      </c>
      <c r="AC59" s="65">
        <v>5.2</v>
      </c>
      <c r="AD59" s="65">
        <v>5.2</v>
      </c>
      <c r="AE59" s="65">
        <v>5.2</v>
      </c>
      <c r="AF59" s="65">
        <v>5.2</v>
      </c>
      <c r="AG59" s="54">
        <v>10.050000000000001</v>
      </c>
      <c r="AH59" s="47">
        <f t="shared" si="2"/>
        <v>5.2</v>
      </c>
      <c r="AI59" s="48">
        <f t="shared" si="3"/>
        <v>5.2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/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>SUM(B49:B61)</f>
        <v>135.83999999999997</v>
      </c>
      <c r="C62" s="60">
        <f t="shared" ref="C62:AG62" si="6">SUM(C49:C61)</f>
        <v>114.44000000000001</v>
      </c>
      <c r="D62" s="60">
        <f>SUM(D49:D61)</f>
        <v>97.340000000000018</v>
      </c>
      <c r="E62" s="60">
        <f t="shared" si="6"/>
        <v>97.340000000000018</v>
      </c>
      <c r="F62" s="60">
        <f t="shared" si="6"/>
        <v>97.340000000000018</v>
      </c>
      <c r="G62" s="60">
        <f t="shared" si="6"/>
        <v>117.44000000000001</v>
      </c>
      <c r="H62" s="60">
        <f t="shared" si="6"/>
        <v>190.63999999999996</v>
      </c>
      <c r="I62" s="60">
        <f t="shared" si="6"/>
        <v>252.93999999999994</v>
      </c>
      <c r="J62" s="60">
        <f t="shared" si="6"/>
        <v>279.83999999999997</v>
      </c>
      <c r="K62" s="60">
        <f t="shared" si="6"/>
        <v>3.54</v>
      </c>
      <c r="L62" s="60">
        <f t="shared" si="6"/>
        <v>365.04</v>
      </c>
      <c r="M62" s="60">
        <f t="shared" si="6"/>
        <v>366.34</v>
      </c>
      <c r="N62" s="60">
        <f t="shared" si="6"/>
        <v>370.04</v>
      </c>
      <c r="O62" s="60">
        <f t="shared" si="6"/>
        <v>370.04</v>
      </c>
      <c r="P62" s="60">
        <f t="shared" si="6"/>
        <v>320.14000000000004</v>
      </c>
      <c r="Q62" s="60">
        <f t="shared" si="6"/>
        <v>314.54000000000002</v>
      </c>
      <c r="R62" s="60">
        <f>SUM(R49:R61)</f>
        <v>248.83999999999992</v>
      </c>
      <c r="S62" s="60">
        <f t="shared" si="6"/>
        <v>206.33999999999995</v>
      </c>
      <c r="T62" s="60">
        <f t="shared" si="6"/>
        <v>199.23999999999992</v>
      </c>
      <c r="U62" s="60">
        <f t="shared" si="6"/>
        <v>202.23999999999992</v>
      </c>
      <c r="V62" s="60">
        <f t="shared" si="6"/>
        <v>241.33999999999992</v>
      </c>
      <c r="W62" s="60">
        <f t="shared" si="6"/>
        <v>267.33999999999997</v>
      </c>
      <c r="X62" s="60">
        <v>363.04</v>
      </c>
      <c r="Y62" s="60">
        <f t="shared" si="6"/>
        <v>403.34000000000009</v>
      </c>
      <c r="Z62" s="60">
        <f t="shared" si="6"/>
        <v>403.34000000000009</v>
      </c>
      <c r="AA62" s="60">
        <f t="shared" si="6"/>
        <v>396.74000000000007</v>
      </c>
      <c r="AB62" s="60">
        <f t="shared" si="6"/>
        <v>399.94</v>
      </c>
      <c r="AC62" s="60">
        <f t="shared" si="6"/>
        <v>397.04</v>
      </c>
      <c r="AD62" s="60">
        <f t="shared" si="6"/>
        <v>366.24</v>
      </c>
      <c r="AE62" s="60">
        <f t="shared" si="6"/>
        <v>242.43999999999994</v>
      </c>
      <c r="AF62" s="60">
        <f t="shared" si="6"/>
        <v>179.83999999999995</v>
      </c>
      <c r="AG62" s="61">
        <f t="shared" si="6"/>
        <v>489.91</v>
      </c>
      <c r="AH62" s="47">
        <f t="shared" si="2"/>
        <v>403.34000000000009</v>
      </c>
      <c r="AI62" s="48">
        <f t="shared" si="3"/>
        <v>3.54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40</v>
      </c>
      <c r="L63" s="45">
        <v>10</v>
      </c>
      <c r="M63" s="45">
        <v>10</v>
      </c>
      <c r="N63" s="45">
        <v>25</v>
      </c>
      <c r="O63" s="45">
        <v>14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30</v>
      </c>
      <c r="Y63" s="45">
        <v>30</v>
      </c>
      <c r="Z63" s="45">
        <v>30</v>
      </c>
      <c r="AA63" s="45">
        <v>40</v>
      </c>
      <c r="AB63" s="45">
        <v>30</v>
      </c>
      <c r="AC63" s="45">
        <v>20</v>
      </c>
      <c r="AD63" s="45">
        <v>10</v>
      </c>
      <c r="AE63" s="45">
        <v>0</v>
      </c>
      <c r="AF63" s="45">
        <v>0</v>
      </c>
      <c r="AG63" s="51">
        <v>60</v>
      </c>
      <c r="AH63" s="47">
        <f t="shared" si="2"/>
        <v>40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15</v>
      </c>
      <c r="L64" s="65">
        <v>3</v>
      </c>
      <c r="M64" s="65">
        <v>3</v>
      </c>
      <c r="N64" s="65">
        <v>10</v>
      </c>
      <c r="O64" s="65">
        <v>5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13.4</v>
      </c>
      <c r="Z64" s="65">
        <v>13.4</v>
      </c>
      <c r="AA64" s="65">
        <v>16</v>
      </c>
      <c r="AB64" s="65">
        <v>12.7</v>
      </c>
      <c r="AC64" s="65">
        <v>7.9</v>
      </c>
      <c r="AD64" s="65">
        <v>4.5</v>
      </c>
      <c r="AE64" s="65">
        <v>0</v>
      </c>
      <c r="AF64" s="65">
        <v>0</v>
      </c>
      <c r="AG64" s="54">
        <v>32</v>
      </c>
      <c r="AH64" s="47">
        <f t="shared" si="2"/>
        <v>16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5.5</v>
      </c>
      <c r="L65" s="67">
        <v>1.1000000000000001</v>
      </c>
      <c r="M65" s="67">
        <v>1.1000000000000001</v>
      </c>
      <c r="N65" s="67">
        <v>3.8</v>
      </c>
      <c r="O65" s="67">
        <v>2</v>
      </c>
      <c r="P65" s="67">
        <v>0</v>
      </c>
      <c r="Q65" s="67">
        <v>0</v>
      </c>
      <c r="R65" s="67">
        <v>0</v>
      </c>
      <c r="S65" s="67">
        <v>0</v>
      </c>
      <c r="T65" s="67">
        <v>0</v>
      </c>
      <c r="U65" s="67">
        <v>0</v>
      </c>
      <c r="V65" s="67">
        <v>0</v>
      </c>
      <c r="W65" s="67">
        <v>0</v>
      </c>
      <c r="X65" s="67">
        <v>0</v>
      </c>
      <c r="Y65" s="67">
        <v>4.9000000000000004</v>
      </c>
      <c r="Z65" s="67">
        <v>4.9000000000000004</v>
      </c>
      <c r="AA65" s="67">
        <v>5.8</v>
      </c>
      <c r="AB65" s="67">
        <v>4.7</v>
      </c>
      <c r="AC65" s="67">
        <v>2.9</v>
      </c>
      <c r="AD65" s="67">
        <v>1.6</v>
      </c>
      <c r="AE65" s="67">
        <v>0</v>
      </c>
      <c r="AF65" s="67">
        <v>0</v>
      </c>
      <c r="AG65" s="68">
        <v>14</v>
      </c>
      <c r="AH65" s="47">
        <f t="shared" si="2"/>
        <v>5.8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f>B63+B64+B65</f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14.1</v>
      </c>
      <c r="M66" s="60">
        <f t="shared" ref="M66:AF66" si="7">M63+M64+M65</f>
        <v>14.1</v>
      </c>
      <c r="N66" s="60">
        <f t="shared" si="7"/>
        <v>38.799999999999997</v>
      </c>
      <c r="O66" s="60">
        <f t="shared" si="7"/>
        <v>21</v>
      </c>
      <c r="P66" s="60">
        <f t="shared" si="7"/>
        <v>0</v>
      </c>
      <c r="Q66" s="60">
        <f t="shared" si="7"/>
        <v>0</v>
      </c>
      <c r="R66" s="60">
        <f>R63+R64+R65</f>
        <v>0</v>
      </c>
      <c r="S66" s="60">
        <f t="shared" si="7"/>
        <v>0</v>
      </c>
      <c r="T66" s="60">
        <f t="shared" si="7"/>
        <v>0</v>
      </c>
      <c r="U66" s="60">
        <f t="shared" si="7"/>
        <v>0</v>
      </c>
      <c r="V66" s="60">
        <f t="shared" si="7"/>
        <v>0</v>
      </c>
      <c r="W66" s="60">
        <f t="shared" si="7"/>
        <v>0</v>
      </c>
      <c r="X66" s="60">
        <v>0</v>
      </c>
      <c r="Y66" s="60">
        <f t="shared" si="7"/>
        <v>48.3</v>
      </c>
      <c r="Z66" s="60">
        <f t="shared" si="7"/>
        <v>48.3</v>
      </c>
      <c r="AA66" s="60">
        <f t="shared" si="7"/>
        <v>61.8</v>
      </c>
      <c r="AB66" s="60">
        <f t="shared" si="7"/>
        <v>47.400000000000006</v>
      </c>
      <c r="AC66" s="60">
        <f t="shared" si="7"/>
        <v>30.799999999999997</v>
      </c>
      <c r="AD66" s="60">
        <f t="shared" si="7"/>
        <v>16.100000000000001</v>
      </c>
      <c r="AE66" s="60">
        <f t="shared" si="7"/>
        <v>0</v>
      </c>
      <c r="AF66" s="60">
        <f t="shared" si="7"/>
        <v>0</v>
      </c>
      <c r="AG66" s="61">
        <f>SUM(AG63:AG65)</f>
        <v>106</v>
      </c>
      <c r="AH66" s="47">
        <f t="shared" si="2"/>
        <v>61.8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66.5</v>
      </c>
      <c r="C67" s="45">
        <v>69.3</v>
      </c>
      <c r="D67" s="45">
        <v>67</v>
      </c>
      <c r="E67" s="45">
        <v>70.400000000000006</v>
      </c>
      <c r="F67" s="45">
        <v>59.5</v>
      </c>
      <c r="G67" s="45">
        <v>61.2</v>
      </c>
      <c r="H67" s="45">
        <v>55</v>
      </c>
      <c r="I67" s="45">
        <v>51</v>
      </c>
      <c r="J67" s="45">
        <v>57.3</v>
      </c>
      <c r="K67" s="45">
        <v>57</v>
      </c>
      <c r="L67" s="45">
        <v>58</v>
      </c>
      <c r="M67" s="45">
        <v>58</v>
      </c>
      <c r="N67" s="45">
        <v>60</v>
      </c>
      <c r="O67" s="45">
        <v>55</v>
      </c>
      <c r="P67" s="45">
        <v>66</v>
      </c>
      <c r="Q67" s="45">
        <v>64</v>
      </c>
      <c r="R67" s="45">
        <v>64</v>
      </c>
      <c r="S67" s="45">
        <v>55</v>
      </c>
      <c r="T67" s="45">
        <v>69.400000000000006</v>
      </c>
      <c r="U67" s="45">
        <v>70.3</v>
      </c>
      <c r="V67" s="45">
        <v>69</v>
      </c>
      <c r="W67" s="45">
        <v>70</v>
      </c>
      <c r="X67" s="45">
        <v>74</v>
      </c>
      <c r="Y67" s="45">
        <v>74</v>
      </c>
      <c r="Z67" s="45">
        <v>74</v>
      </c>
      <c r="AA67" s="45">
        <v>55</v>
      </c>
      <c r="AB67" s="45">
        <v>65.099999999999994</v>
      </c>
      <c r="AC67" s="45">
        <v>67.2</v>
      </c>
      <c r="AD67" s="45">
        <v>60.3</v>
      </c>
      <c r="AE67" s="45">
        <v>50.5</v>
      </c>
      <c r="AF67" s="45">
        <v>68.2</v>
      </c>
      <c r="AG67" s="51"/>
      <c r="AH67" s="47">
        <f t="shared" si="2"/>
        <v>74</v>
      </c>
      <c r="AI67" s="48">
        <f t="shared" si="3"/>
        <v>50.5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298</v>
      </c>
      <c r="C69" s="65">
        <v>277</v>
      </c>
      <c r="D69" s="65">
        <v>250.1</v>
      </c>
      <c r="E69" s="65">
        <v>252</v>
      </c>
      <c r="F69" s="65">
        <v>251</v>
      </c>
      <c r="G69" s="65">
        <v>243.1</v>
      </c>
      <c r="H69" s="65">
        <v>250</v>
      </c>
      <c r="I69" s="65">
        <v>252</v>
      </c>
      <c r="J69" s="65">
        <v>250</v>
      </c>
      <c r="K69" s="65">
        <v>190</v>
      </c>
      <c r="L69" s="65">
        <v>195</v>
      </c>
      <c r="M69" s="65">
        <v>169</v>
      </c>
      <c r="N69" s="65">
        <v>83</v>
      </c>
      <c r="O69" s="65">
        <v>83</v>
      </c>
      <c r="P69" s="65">
        <v>286</v>
      </c>
      <c r="Q69" s="65">
        <v>215</v>
      </c>
      <c r="R69" s="65">
        <v>215</v>
      </c>
      <c r="S69" s="65">
        <v>216</v>
      </c>
      <c r="T69" s="65">
        <v>299</v>
      </c>
      <c r="U69" s="65">
        <v>283.5</v>
      </c>
      <c r="V69" s="65">
        <v>290</v>
      </c>
      <c r="W69" s="65">
        <v>315</v>
      </c>
      <c r="X69" s="65">
        <v>190</v>
      </c>
      <c r="Y69" s="65">
        <v>140</v>
      </c>
      <c r="Z69" s="65">
        <v>140</v>
      </c>
      <c r="AA69" s="65">
        <v>140</v>
      </c>
      <c r="AB69" s="65">
        <v>182.5</v>
      </c>
      <c r="AC69" s="65">
        <v>237.9</v>
      </c>
      <c r="AD69" s="65">
        <v>242.3</v>
      </c>
      <c r="AE69" s="65">
        <v>260.7</v>
      </c>
      <c r="AF69" s="65">
        <v>252</v>
      </c>
      <c r="AG69" s="75"/>
      <c r="AH69" s="47">
        <f t="shared" si="2"/>
        <v>315</v>
      </c>
      <c r="AI69" s="48">
        <f t="shared" si="3"/>
        <v>83</v>
      </c>
      <c r="AK69" s="49"/>
    </row>
    <row r="70" spans="1:40" x14ac:dyDescent="0.25">
      <c r="A70" s="53" t="s">
        <v>78</v>
      </c>
      <c r="B70" s="65">
        <v>58.4</v>
      </c>
      <c r="C70" s="76">
        <v>55</v>
      </c>
      <c r="D70" s="76">
        <v>56.3</v>
      </c>
      <c r="E70" s="76">
        <v>62.6</v>
      </c>
      <c r="F70" s="76">
        <v>58.1</v>
      </c>
      <c r="G70" s="76">
        <v>57.9</v>
      </c>
      <c r="H70" s="76">
        <v>55.5</v>
      </c>
      <c r="I70" s="76">
        <v>65</v>
      </c>
      <c r="J70" s="76">
        <v>64</v>
      </c>
      <c r="K70" s="76">
        <v>64</v>
      </c>
      <c r="L70" s="76">
        <v>64</v>
      </c>
      <c r="M70" s="76">
        <v>64</v>
      </c>
      <c r="N70" s="76">
        <v>64</v>
      </c>
      <c r="O70" s="76">
        <v>64</v>
      </c>
      <c r="P70" s="76">
        <v>65</v>
      </c>
      <c r="Q70" s="76">
        <v>61</v>
      </c>
      <c r="R70" s="76">
        <v>68</v>
      </c>
      <c r="S70" s="76">
        <v>60</v>
      </c>
      <c r="T70" s="76">
        <v>52.3</v>
      </c>
      <c r="U70" s="76">
        <v>51.5</v>
      </c>
      <c r="V70" s="76">
        <v>51.5</v>
      </c>
      <c r="W70" s="76">
        <v>52.5</v>
      </c>
      <c r="X70" s="65">
        <v>52.5</v>
      </c>
      <c r="Y70" s="65">
        <v>52.5</v>
      </c>
      <c r="Z70" s="65">
        <v>52.5</v>
      </c>
      <c r="AA70" s="65">
        <v>52.5</v>
      </c>
      <c r="AB70" s="65">
        <v>56.4</v>
      </c>
      <c r="AC70" s="65">
        <v>63.3</v>
      </c>
      <c r="AD70" s="65">
        <v>56.1</v>
      </c>
      <c r="AE70" s="65">
        <v>57.9</v>
      </c>
      <c r="AF70" s="65">
        <v>59</v>
      </c>
      <c r="AG70" s="75"/>
      <c r="AH70" s="47">
        <f t="shared" si="2"/>
        <v>68</v>
      </c>
      <c r="AI70" s="48">
        <f t="shared" si="3"/>
        <v>51.5</v>
      </c>
      <c r="AK70" s="49"/>
    </row>
    <row r="71" spans="1:40" x14ac:dyDescent="0.25">
      <c r="A71" s="53" t="s">
        <v>79</v>
      </c>
      <c r="B71" s="45">
        <v>21.1</v>
      </c>
      <c r="C71" s="45">
        <v>21</v>
      </c>
      <c r="D71" s="45">
        <v>20.6</v>
      </c>
      <c r="E71" s="45">
        <v>20.8</v>
      </c>
      <c r="F71" s="45">
        <v>21</v>
      </c>
      <c r="G71" s="45">
        <v>21.2</v>
      </c>
      <c r="H71" s="45">
        <v>21.1</v>
      </c>
      <c r="I71" s="45">
        <v>21</v>
      </c>
      <c r="J71" s="45">
        <v>23.1</v>
      </c>
      <c r="K71" s="45">
        <v>24</v>
      </c>
      <c r="L71" s="45">
        <v>24.8</v>
      </c>
      <c r="M71" s="45">
        <v>24.8</v>
      </c>
      <c r="N71" s="45">
        <v>24.8</v>
      </c>
      <c r="O71" s="45">
        <v>24.8</v>
      </c>
      <c r="P71" s="45">
        <v>24</v>
      </c>
      <c r="Q71" s="45">
        <v>24</v>
      </c>
      <c r="R71" s="45">
        <v>22.3</v>
      </c>
      <c r="S71" s="45">
        <v>21.6</v>
      </c>
      <c r="T71" s="45">
        <v>21.6</v>
      </c>
      <c r="U71" s="45">
        <v>23.1</v>
      </c>
      <c r="V71" s="45">
        <v>23.1</v>
      </c>
      <c r="W71" s="45">
        <v>21</v>
      </c>
      <c r="X71" s="45">
        <v>36.5</v>
      </c>
      <c r="Y71" s="45">
        <v>36.5</v>
      </c>
      <c r="Z71" s="45">
        <v>36.5</v>
      </c>
      <c r="AA71" s="45">
        <v>36.5</v>
      </c>
      <c r="AB71" s="45">
        <v>17.600000000000001</v>
      </c>
      <c r="AC71" s="45">
        <v>18.3</v>
      </c>
      <c r="AD71" s="45">
        <v>19.8</v>
      </c>
      <c r="AE71" s="45">
        <v>16.8</v>
      </c>
      <c r="AF71" s="45">
        <v>17</v>
      </c>
      <c r="AG71" s="75"/>
      <c r="AH71" s="47">
        <f t="shared" si="2"/>
        <v>36.5</v>
      </c>
      <c r="AI71" s="48">
        <f t="shared" si="3"/>
        <v>16.8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0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8">MAX(B75:AF75)</f>
        <v>0</v>
      </c>
      <c r="AI75" s="48">
        <f t="shared" ref="AI75:AI113" si="9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8"/>
        <v>0</v>
      </c>
      <c r="AI76" s="48">
        <f t="shared" si="9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8"/>
        <v>0</v>
      </c>
      <c r="AI77" s="48">
        <f t="shared" si="9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>SUMIF(B67:B77,"&gt;0")</f>
        <v>449</v>
      </c>
      <c r="C78" s="60">
        <f t="shared" ref="C78:AF78" si="10">SUMIF(C67:C77,"&gt;0")</f>
        <v>427.3</v>
      </c>
      <c r="D78" s="60">
        <f t="shared" si="10"/>
        <v>399.00000000000006</v>
      </c>
      <c r="E78" s="60">
        <f t="shared" si="10"/>
        <v>410.8</v>
      </c>
      <c r="F78" s="60">
        <f t="shared" si="10"/>
        <v>394.6</v>
      </c>
      <c r="G78" s="60">
        <f t="shared" si="10"/>
        <v>383.4</v>
      </c>
      <c r="H78" s="60">
        <f t="shared" si="10"/>
        <v>381.6</v>
      </c>
      <c r="I78" s="60">
        <f t="shared" si="10"/>
        <v>389</v>
      </c>
      <c r="J78" s="60">
        <f t="shared" si="10"/>
        <v>394.40000000000003</v>
      </c>
      <c r="K78" s="60">
        <f t="shared" si="10"/>
        <v>335</v>
      </c>
      <c r="L78" s="60">
        <f t="shared" si="10"/>
        <v>346.8</v>
      </c>
      <c r="M78" s="60">
        <f t="shared" si="10"/>
        <v>320.8</v>
      </c>
      <c r="N78" s="60">
        <f t="shared" si="10"/>
        <v>236.8</v>
      </c>
      <c r="O78" s="60">
        <f t="shared" si="10"/>
        <v>231.8</v>
      </c>
      <c r="P78" s="60">
        <f t="shared" si="10"/>
        <v>446</v>
      </c>
      <c r="Q78" s="60">
        <f t="shared" si="10"/>
        <v>369</v>
      </c>
      <c r="R78" s="60">
        <f t="shared" si="10"/>
        <v>374.3</v>
      </c>
      <c r="S78" s="60">
        <f t="shared" si="10"/>
        <v>357.6</v>
      </c>
      <c r="T78" s="60">
        <f t="shared" si="10"/>
        <v>447.3</v>
      </c>
      <c r="U78" s="60">
        <f t="shared" si="10"/>
        <v>433.40000000000003</v>
      </c>
      <c r="V78" s="60">
        <f t="shared" si="10"/>
        <v>438.6</v>
      </c>
      <c r="W78" s="60">
        <f t="shared" si="10"/>
        <v>463.5</v>
      </c>
      <c r="X78" s="60">
        <v>358</v>
      </c>
      <c r="Y78" s="60">
        <f t="shared" si="10"/>
        <v>308</v>
      </c>
      <c r="Z78" s="60">
        <f t="shared" si="10"/>
        <v>308</v>
      </c>
      <c r="AA78" s="60">
        <f t="shared" si="10"/>
        <v>289</v>
      </c>
      <c r="AB78" s="60">
        <f t="shared" si="10"/>
        <v>326.60000000000002</v>
      </c>
      <c r="AC78" s="60">
        <f t="shared" si="10"/>
        <v>391.70000000000005</v>
      </c>
      <c r="AD78" s="60">
        <f t="shared" si="10"/>
        <v>383.50000000000006</v>
      </c>
      <c r="AE78" s="60">
        <f t="shared" si="10"/>
        <v>390.9</v>
      </c>
      <c r="AF78" s="60">
        <f t="shared" si="10"/>
        <v>401.2</v>
      </c>
      <c r="AG78" s="88">
        <f>SUM(AG67:AG77)</f>
        <v>0</v>
      </c>
      <c r="AH78" s="47">
        <f t="shared" si="8"/>
        <v>463.5</v>
      </c>
      <c r="AI78" s="48">
        <f t="shared" si="9"/>
        <v>231.8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8"/>
        <v>0</v>
      </c>
      <c r="AI79" s="48">
        <f t="shared" si="9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8"/>
        <v>0</v>
      </c>
      <c r="AI80" s="48">
        <f t="shared" si="9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8"/>
        <v>0</v>
      </c>
      <c r="AI81" s="48">
        <f t="shared" si="9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/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8"/>
        <v>0</v>
      </c>
      <c r="AI82" s="48">
        <f t="shared" si="9"/>
        <v>0</v>
      </c>
    </row>
    <row r="83" spans="1:37" ht="15.75" thickBot="1" x14ac:dyDescent="0.3">
      <c r="A83" s="74" t="s">
        <v>94</v>
      </c>
      <c r="B83" s="95">
        <f>B44+B48+B66+B62+B78+B82</f>
        <v>1149.1399999999999</v>
      </c>
      <c r="C83" s="95">
        <f t="shared" ref="C83:AG83" si="11">C44+C48+C66+C62+C78+C82</f>
        <v>1122.3400000000001</v>
      </c>
      <c r="D83" s="95">
        <f t="shared" si="11"/>
        <v>1086.24</v>
      </c>
      <c r="E83" s="95">
        <f t="shared" si="11"/>
        <v>1104.44</v>
      </c>
      <c r="F83" s="95">
        <f t="shared" si="11"/>
        <v>1063.24</v>
      </c>
      <c r="G83" s="95">
        <f t="shared" si="11"/>
        <v>1110.24</v>
      </c>
      <c r="H83" s="95">
        <f t="shared" si="11"/>
        <v>1181.04</v>
      </c>
      <c r="I83" s="95">
        <f t="shared" si="11"/>
        <v>1250.7399999999998</v>
      </c>
      <c r="J83" s="95">
        <f t="shared" si="11"/>
        <v>1308.3399999999999</v>
      </c>
      <c r="K83" s="95">
        <f t="shared" si="11"/>
        <v>338.54</v>
      </c>
      <c r="L83" s="95">
        <f t="shared" si="11"/>
        <v>1436.04</v>
      </c>
      <c r="M83" s="95">
        <f t="shared" si="11"/>
        <v>1451.34</v>
      </c>
      <c r="N83" s="95">
        <f t="shared" si="11"/>
        <v>1495.7399999999998</v>
      </c>
      <c r="O83" s="95">
        <f t="shared" si="11"/>
        <v>1340.54</v>
      </c>
      <c r="P83" s="95">
        <f t="shared" si="11"/>
        <v>1288.8399999999999</v>
      </c>
      <c r="Q83" s="95">
        <f t="shared" si="11"/>
        <v>1298.24</v>
      </c>
      <c r="R83" s="95">
        <f t="shared" si="11"/>
        <v>1215.8399999999999</v>
      </c>
      <c r="S83" s="95">
        <f t="shared" si="11"/>
        <v>1146.94</v>
      </c>
      <c r="T83" s="95">
        <f t="shared" si="11"/>
        <v>1181.44</v>
      </c>
      <c r="U83" s="95">
        <f t="shared" si="11"/>
        <v>1170.54</v>
      </c>
      <c r="V83" s="95">
        <f t="shared" si="11"/>
        <v>1181.8400000000001</v>
      </c>
      <c r="W83" s="95">
        <f t="shared" si="11"/>
        <v>1251.74</v>
      </c>
      <c r="X83" s="95">
        <v>1353.94</v>
      </c>
      <c r="Y83" s="95">
        <f t="shared" si="11"/>
        <v>1482.14</v>
      </c>
      <c r="Z83" s="95">
        <f t="shared" si="11"/>
        <v>1542.14</v>
      </c>
      <c r="AA83" s="95">
        <f t="shared" si="11"/>
        <v>1520.1399999999999</v>
      </c>
      <c r="AB83" s="95">
        <f t="shared" si="11"/>
        <v>1509.94</v>
      </c>
      <c r="AC83" s="95">
        <f t="shared" si="11"/>
        <v>1478.54</v>
      </c>
      <c r="AD83" s="95">
        <f t="shared" si="11"/>
        <v>1409.8400000000001</v>
      </c>
      <c r="AE83" s="95">
        <f t="shared" si="11"/>
        <v>1227.3399999999999</v>
      </c>
      <c r="AF83" s="95">
        <f t="shared" si="11"/>
        <v>1116.4399999999998</v>
      </c>
      <c r="AG83" s="61">
        <f t="shared" si="11"/>
        <v>2004.1900000000003</v>
      </c>
      <c r="AH83" s="47">
        <f>MAX(B83:AF83)</f>
        <v>1542.14</v>
      </c>
      <c r="AI83" s="48">
        <f>MIN(B83:AF83)</f>
        <v>338.54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>
        <v>200</v>
      </c>
      <c r="L84" s="97">
        <v>200</v>
      </c>
      <c r="M84" s="97">
        <v>200</v>
      </c>
      <c r="N84" s="97">
        <v>200</v>
      </c>
      <c r="O84" s="97">
        <v>200</v>
      </c>
      <c r="P84" s="97"/>
      <c r="Q84" s="97"/>
      <c r="R84" s="97"/>
      <c r="S84" s="97"/>
      <c r="T84" s="97"/>
      <c r="U84" s="97"/>
      <c r="V84" s="97"/>
      <c r="W84" s="97"/>
      <c r="X84" s="97">
        <v>200</v>
      </c>
      <c r="Y84" s="97">
        <v>200</v>
      </c>
      <c r="Z84" s="97"/>
      <c r="AA84" s="97"/>
      <c r="AB84" s="97"/>
      <c r="AC84" s="97"/>
      <c r="AD84" s="97"/>
      <c r="AE84" s="97"/>
      <c r="AF84" s="97"/>
      <c r="AG84" s="88"/>
      <c r="AH84" s="47">
        <f t="shared" si="8"/>
        <v>200</v>
      </c>
      <c r="AI84" s="48">
        <f t="shared" si="9"/>
        <v>200</v>
      </c>
    </row>
    <row r="85" spans="1:37" ht="15.75" thickBot="1" x14ac:dyDescent="0.3">
      <c r="A85" s="74" t="s">
        <v>96</v>
      </c>
      <c r="B85" s="95">
        <f>B83+B84</f>
        <v>1149.1399999999999</v>
      </c>
      <c r="C85" s="95">
        <f t="shared" ref="C85:AF85" si="12">C83+C84</f>
        <v>1122.3400000000001</v>
      </c>
      <c r="D85" s="95">
        <f t="shared" si="12"/>
        <v>1086.24</v>
      </c>
      <c r="E85" s="95">
        <f t="shared" si="12"/>
        <v>1104.44</v>
      </c>
      <c r="F85" s="95">
        <f t="shared" si="12"/>
        <v>1063.24</v>
      </c>
      <c r="G85" s="95">
        <f t="shared" si="12"/>
        <v>1110.24</v>
      </c>
      <c r="H85" s="95">
        <f t="shared" si="12"/>
        <v>1181.04</v>
      </c>
      <c r="I85" s="95">
        <f t="shared" si="12"/>
        <v>1250.7399999999998</v>
      </c>
      <c r="J85" s="95">
        <f t="shared" si="12"/>
        <v>1308.3399999999999</v>
      </c>
      <c r="K85" s="95">
        <f t="shared" si="12"/>
        <v>538.54</v>
      </c>
      <c r="L85" s="95">
        <f t="shared" si="12"/>
        <v>1636.04</v>
      </c>
      <c r="M85" s="95">
        <f t="shared" si="12"/>
        <v>1651.34</v>
      </c>
      <c r="N85" s="95">
        <f t="shared" si="12"/>
        <v>1695.7399999999998</v>
      </c>
      <c r="O85" s="95">
        <f t="shared" si="12"/>
        <v>1540.54</v>
      </c>
      <c r="P85" s="95">
        <f t="shared" si="12"/>
        <v>1288.8399999999999</v>
      </c>
      <c r="Q85" s="95">
        <f t="shared" si="12"/>
        <v>1298.24</v>
      </c>
      <c r="R85" s="95">
        <f t="shared" si="12"/>
        <v>1215.8399999999999</v>
      </c>
      <c r="S85" s="95">
        <f t="shared" si="12"/>
        <v>1146.94</v>
      </c>
      <c r="T85" s="95">
        <f t="shared" si="12"/>
        <v>1181.44</v>
      </c>
      <c r="U85" s="95">
        <f t="shared" si="12"/>
        <v>1170.54</v>
      </c>
      <c r="V85" s="95">
        <f t="shared" si="12"/>
        <v>1181.8400000000001</v>
      </c>
      <c r="W85" s="95">
        <f t="shared" si="12"/>
        <v>1251.74</v>
      </c>
      <c r="X85" s="95">
        <v>1453.94</v>
      </c>
      <c r="Y85" s="95">
        <f t="shared" si="12"/>
        <v>1682.14</v>
      </c>
      <c r="Z85" s="95">
        <f t="shared" si="12"/>
        <v>1542.14</v>
      </c>
      <c r="AA85" s="95">
        <f t="shared" si="12"/>
        <v>1520.1399999999999</v>
      </c>
      <c r="AB85" s="95">
        <f t="shared" si="12"/>
        <v>1509.94</v>
      </c>
      <c r="AC85" s="95">
        <f t="shared" si="12"/>
        <v>1478.54</v>
      </c>
      <c r="AD85" s="95">
        <f t="shared" si="12"/>
        <v>1409.8400000000001</v>
      </c>
      <c r="AE85" s="95">
        <f t="shared" si="12"/>
        <v>1227.3399999999999</v>
      </c>
      <c r="AF85" s="95">
        <f t="shared" si="12"/>
        <v>1116.4399999999998</v>
      </c>
      <c r="AG85" s="88">
        <f>AG82+AG78+AG66+AG62+AG44+AG84</f>
        <v>1466.0900000000001</v>
      </c>
      <c r="AH85" s="47">
        <f t="shared" si="8"/>
        <v>1695.7399999999998</v>
      </c>
      <c r="AI85" s="48">
        <f t="shared" si="9"/>
        <v>538.54</v>
      </c>
    </row>
    <row r="86" spans="1:37" ht="15.75" thickBot="1" x14ac:dyDescent="0.3">
      <c r="A86" s="74" t="s">
        <v>97</v>
      </c>
      <c r="B86" s="95">
        <f>B85-B93</f>
        <v>1149.1399999999999</v>
      </c>
      <c r="C86" s="95">
        <f t="shared" ref="C86:AF86" si="13">C85-C93</f>
        <v>1122.3400000000001</v>
      </c>
      <c r="D86" s="95">
        <f t="shared" si="13"/>
        <v>1086.24</v>
      </c>
      <c r="E86" s="95">
        <f t="shared" si="13"/>
        <v>1104.44</v>
      </c>
      <c r="F86" s="95">
        <f t="shared" si="13"/>
        <v>1063.24</v>
      </c>
      <c r="G86" s="95">
        <f t="shared" si="13"/>
        <v>1110.24</v>
      </c>
      <c r="H86" s="95">
        <f t="shared" si="13"/>
        <v>1181.04</v>
      </c>
      <c r="I86" s="95">
        <f t="shared" si="13"/>
        <v>1250.7399999999998</v>
      </c>
      <c r="J86" s="95">
        <f t="shared" si="13"/>
        <v>1308.3399999999999</v>
      </c>
      <c r="K86" s="95">
        <f t="shared" si="13"/>
        <v>538.54</v>
      </c>
      <c r="L86" s="95">
        <f t="shared" si="13"/>
        <v>1636.04</v>
      </c>
      <c r="M86" s="95">
        <f t="shared" si="13"/>
        <v>1651.34</v>
      </c>
      <c r="N86" s="95">
        <f t="shared" si="13"/>
        <v>1695.7399999999998</v>
      </c>
      <c r="O86" s="95">
        <f t="shared" si="13"/>
        <v>1540.54</v>
      </c>
      <c r="P86" s="95">
        <f t="shared" si="13"/>
        <v>1288.8399999999999</v>
      </c>
      <c r="Q86" s="95">
        <f t="shared" si="13"/>
        <v>1298.24</v>
      </c>
      <c r="R86" s="95">
        <f t="shared" si="13"/>
        <v>1215.8399999999999</v>
      </c>
      <c r="S86" s="95">
        <f t="shared" si="13"/>
        <v>1146.94</v>
      </c>
      <c r="T86" s="95">
        <f t="shared" si="13"/>
        <v>1181.44</v>
      </c>
      <c r="U86" s="95">
        <f t="shared" si="13"/>
        <v>1170.54</v>
      </c>
      <c r="V86" s="95">
        <f t="shared" si="13"/>
        <v>1181.8400000000001</v>
      </c>
      <c r="W86" s="95">
        <f t="shared" si="13"/>
        <v>1251.74</v>
      </c>
      <c r="X86" s="95">
        <v>1453.94</v>
      </c>
      <c r="Y86" s="95">
        <f t="shared" si="13"/>
        <v>1682.14</v>
      </c>
      <c r="Z86" s="95">
        <f t="shared" si="13"/>
        <v>1542.14</v>
      </c>
      <c r="AA86" s="95">
        <f t="shared" si="13"/>
        <v>1520.1399999999999</v>
      </c>
      <c r="AB86" s="95">
        <f t="shared" si="13"/>
        <v>1509.94</v>
      </c>
      <c r="AC86" s="95">
        <f t="shared" si="13"/>
        <v>1478.54</v>
      </c>
      <c r="AD86" s="95">
        <f t="shared" si="13"/>
        <v>1409.8400000000001</v>
      </c>
      <c r="AE86" s="95">
        <f t="shared" si="13"/>
        <v>1227.3399999999999</v>
      </c>
      <c r="AF86" s="95">
        <f t="shared" si="13"/>
        <v>1116.4399999999998</v>
      </c>
      <c r="AG86" s="88"/>
      <c r="AH86" s="47">
        <f t="shared" si="8"/>
        <v>1695.7399999999998</v>
      </c>
      <c r="AI86" s="48">
        <f t="shared" si="9"/>
        <v>538.54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8"/>
        <v>0</v>
      </c>
      <c r="AI87" s="48">
        <f t="shared" si="9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8"/>
        <v>0</v>
      </c>
      <c r="AI88" s="48">
        <f t="shared" si="9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8"/>
        <v>0</v>
      </c>
      <c r="AI89" s="48">
        <f t="shared" si="9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8"/>
        <v>0</v>
      </c>
      <c r="AI90" s="48">
        <f t="shared" si="9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8"/>
        <v>0</v>
      </c>
      <c r="AI91" s="48">
        <f t="shared" si="9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8"/>
        <v>0</v>
      </c>
      <c r="AI92" s="48">
        <f t="shared" si="9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88"/>
      <c r="AH93" s="47">
        <f t="shared" si="8"/>
        <v>0</v>
      </c>
      <c r="AI93" s="48">
        <f t="shared" si="9"/>
        <v>0</v>
      </c>
      <c r="AK93" s="49"/>
    </row>
    <row r="94" spans="1:37" ht="15.75" thickBot="1" x14ac:dyDescent="0.3">
      <c r="A94" s="74" t="s">
        <v>102</v>
      </c>
      <c r="B94" s="60">
        <f>B78-B93</f>
        <v>449</v>
      </c>
      <c r="C94" s="60">
        <f t="shared" ref="C94:AF94" si="14">C78-C93</f>
        <v>427.3</v>
      </c>
      <c r="D94" s="60">
        <f t="shared" si="14"/>
        <v>399.00000000000006</v>
      </c>
      <c r="E94" s="60">
        <f t="shared" si="14"/>
        <v>410.8</v>
      </c>
      <c r="F94" s="60">
        <f t="shared" si="14"/>
        <v>394.6</v>
      </c>
      <c r="G94" s="60">
        <f t="shared" si="14"/>
        <v>383.4</v>
      </c>
      <c r="H94" s="60">
        <f t="shared" si="14"/>
        <v>381.6</v>
      </c>
      <c r="I94" s="60">
        <f t="shared" si="14"/>
        <v>389</v>
      </c>
      <c r="J94" s="60">
        <f t="shared" si="14"/>
        <v>394.40000000000003</v>
      </c>
      <c r="K94" s="60">
        <f t="shared" si="14"/>
        <v>335</v>
      </c>
      <c r="L94" s="60">
        <f t="shared" si="14"/>
        <v>346.8</v>
      </c>
      <c r="M94" s="60">
        <f t="shared" si="14"/>
        <v>320.8</v>
      </c>
      <c r="N94" s="60">
        <f t="shared" si="14"/>
        <v>236.8</v>
      </c>
      <c r="O94" s="60">
        <f t="shared" si="14"/>
        <v>231.8</v>
      </c>
      <c r="P94" s="60">
        <f t="shared" si="14"/>
        <v>446</v>
      </c>
      <c r="Q94" s="60">
        <f t="shared" si="14"/>
        <v>369</v>
      </c>
      <c r="R94" s="60">
        <f t="shared" si="14"/>
        <v>374.3</v>
      </c>
      <c r="S94" s="60">
        <f t="shared" si="14"/>
        <v>357.6</v>
      </c>
      <c r="T94" s="60">
        <f t="shared" si="14"/>
        <v>447.3</v>
      </c>
      <c r="U94" s="60">
        <f t="shared" si="14"/>
        <v>433.40000000000003</v>
      </c>
      <c r="V94" s="60">
        <f t="shared" si="14"/>
        <v>438.6</v>
      </c>
      <c r="W94" s="60">
        <f t="shared" si="14"/>
        <v>463.5</v>
      </c>
      <c r="X94" s="60">
        <v>358</v>
      </c>
      <c r="Y94" s="60">
        <f t="shared" si="14"/>
        <v>308</v>
      </c>
      <c r="Z94" s="60">
        <f t="shared" si="14"/>
        <v>308</v>
      </c>
      <c r="AA94" s="60">
        <f t="shared" si="14"/>
        <v>289</v>
      </c>
      <c r="AB94" s="60">
        <f t="shared" si="14"/>
        <v>326.60000000000002</v>
      </c>
      <c r="AC94" s="60">
        <f t="shared" si="14"/>
        <v>391.70000000000005</v>
      </c>
      <c r="AD94" s="60">
        <f t="shared" si="14"/>
        <v>383.50000000000006</v>
      </c>
      <c r="AE94" s="60">
        <f t="shared" si="14"/>
        <v>390.9</v>
      </c>
      <c r="AF94" s="60">
        <f t="shared" si="14"/>
        <v>401.2</v>
      </c>
      <c r="AG94" s="88"/>
      <c r="AH94" s="47">
        <f t="shared" si="8"/>
        <v>463.5</v>
      </c>
      <c r="AI94" s="48">
        <f t="shared" si="9"/>
        <v>231.8</v>
      </c>
    </row>
    <row r="95" spans="1:37" x14ac:dyDescent="0.25">
      <c r="A95" s="100" t="s">
        <v>103</v>
      </c>
      <c r="B95" s="101">
        <v>50.16</v>
      </c>
      <c r="C95" s="101">
        <v>50.02</v>
      </c>
      <c r="D95" s="101">
        <v>49.98</v>
      </c>
      <c r="E95" s="101">
        <v>49.985999999999997</v>
      </c>
      <c r="F95" s="101">
        <v>49.881</v>
      </c>
      <c r="G95" s="101">
        <v>50.018000000000001</v>
      </c>
      <c r="H95" s="101">
        <v>50.115000000000002</v>
      </c>
      <c r="I95" s="101">
        <v>49.98</v>
      </c>
      <c r="J95" s="101">
        <v>49.957000000000001</v>
      </c>
      <c r="K95" s="101"/>
      <c r="L95" s="101">
        <v>50.015000000000001</v>
      </c>
      <c r="M95" s="101">
        <v>49.987000000000002</v>
      </c>
      <c r="N95" s="101">
        <v>49.994999999999997</v>
      </c>
      <c r="O95" s="101">
        <v>50.006</v>
      </c>
      <c r="P95" s="101">
        <v>49.94</v>
      </c>
      <c r="Q95" s="101">
        <v>50.180999999999997</v>
      </c>
      <c r="R95" s="101">
        <v>49.886000000000003</v>
      </c>
      <c r="S95" s="101">
        <v>50.143000000000001</v>
      </c>
      <c r="T95" s="101">
        <v>49.959000000000003</v>
      </c>
      <c r="U95" s="101">
        <v>49.998600000000003</v>
      </c>
      <c r="V95" s="101">
        <v>50.03</v>
      </c>
      <c r="W95" s="101">
        <v>50.164999999999999</v>
      </c>
      <c r="X95" s="101">
        <v>49.97</v>
      </c>
      <c r="Y95" s="101">
        <v>49.95</v>
      </c>
      <c r="Z95" s="101">
        <v>49.91</v>
      </c>
      <c r="AA95" s="101">
        <v>50.09</v>
      </c>
      <c r="AB95" s="101">
        <v>50.07</v>
      </c>
      <c r="AC95" s="101">
        <v>49.976999999999997</v>
      </c>
      <c r="AD95" s="101">
        <v>49.892000000000003</v>
      </c>
      <c r="AE95" s="101">
        <v>50.170999999999999</v>
      </c>
      <c r="AF95" s="101">
        <v>49.953000000000003</v>
      </c>
      <c r="AG95" s="102"/>
      <c r="AH95" s="47">
        <f t="shared" si="8"/>
        <v>50.180999999999997</v>
      </c>
      <c r="AI95" s="48">
        <f t="shared" si="9"/>
        <v>49.881</v>
      </c>
    </row>
    <row r="96" spans="1:37" x14ac:dyDescent="0.25">
      <c r="A96" s="103" t="s">
        <v>104</v>
      </c>
      <c r="B96" s="65">
        <v>127.4</v>
      </c>
      <c r="C96" s="65">
        <v>127.8</v>
      </c>
      <c r="D96" s="65">
        <v>126.4</v>
      </c>
      <c r="E96" s="65">
        <v>127.7</v>
      </c>
      <c r="F96" s="65">
        <v>128.9</v>
      </c>
      <c r="G96" s="65">
        <v>127</v>
      </c>
      <c r="H96" s="65">
        <v>127.6</v>
      </c>
      <c r="I96" s="65">
        <v>125.8</v>
      </c>
      <c r="J96" s="65">
        <v>125.8</v>
      </c>
      <c r="K96" s="65"/>
      <c r="L96" s="65">
        <v>125.8</v>
      </c>
      <c r="M96" s="65">
        <v>124</v>
      </c>
      <c r="N96" s="65">
        <v>126.5</v>
      </c>
      <c r="O96" s="65">
        <v>125.3</v>
      </c>
      <c r="P96" s="65">
        <v>127.2</v>
      </c>
      <c r="Q96" s="65">
        <v>126.4</v>
      </c>
      <c r="R96" s="65">
        <v>126.1</v>
      </c>
      <c r="S96" s="65">
        <v>126.1</v>
      </c>
      <c r="T96" s="65">
        <v>124.6</v>
      </c>
      <c r="U96" s="65">
        <v>127.5</v>
      </c>
      <c r="V96" s="65">
        <v>128.30000000000001</v>
      </c>
      <c r="W96" s="65">
        <v>130</v>
      </c>
      <c r="X96" s="65">
        <v>129.69999999999999</v>
      </c>
      <c r="Y96" s="65">
        <v>128.1</v>
      </c>
      <c r="Z96" s="65">
        <v>126.1</v>
      </c>
      <c r="AA96" s="65">
        <v>127.4</v>
      </c>
      <c r="AB96" s="65">
        <v>126.6</v>
      </c>
      <c r="AC96" s="65">
        <v>126.9</v>
      </c>
      <c r="AD96" s="65">
        <v>126.4</v>
      </c>
      <c r="AE96" s="65">
        <v>127.7</v>
      </c>
      <c r="AF96" s="65">
        <v>127.6</v>
      </c>
      <c r="AG96" s="104"/>
      <c r="AH96" s="47">
        <f t="shared" si="8"/>
        <v>130</v>
      </c>
      <c r="AI96" s="48">
        <f t="shared" si="9"/>
        <v>124</v>
      </c>
    </row>
    <row r="97" spans="1:35" x14ac:dyDescent="0.25">
      <c r="A97" s="103" t="s">
        <v>105</v>
      </c>
      <c r="B97" s="65">
        <v>131.5</v>
      </c>
      <c r="C97" s="65">
        <v>131.5</v>
      </c>
      <c r="D97" s="65">
        <v>130.9</v>
      </c>
      <c r="E97" s="65">
        <v>132</v>
      </c>
      <c r="F97" s="65">
        <v>132.6</v>
      </c>
      <c r="G97" s="65">
        <v>131.19999999999999</v>
      </c>
      <c r="H97" s="65">
        <v>131.19999999999999</v>
      </c>
      <c r="I97" s="65">
        <v>129.6</v>
      </c>
      <c r="J97" s="65">
        <v>128.69999999999999</v>
      </c>
      <c r="K97" s="65"/>
      <c r="L97" s="65">
        <v>128.6</v>
      </c>
      <c r="M97" s="65">
        <v>126.7</v>
      </c>
      <c r="N97" s="65">
        <v>129.30000000000001</v>
      </c>
      <c r="O97" s="65">
        <v>128.5</v>
      </c>
      <c r="P97" s="65">
        <v>129.5</v>
      </c>
      <c r="Q97" s="65">
        <v>130.1</v>
      </c>
      <c r="R97" s="65">
        <v>129.19999999999999</v>
      </c>
      <c r="S97" s="65">
        <v>129.19999999999999</v>
      </c>
      <c r="T97" s="65">
        <v>128.5</v>
      </c>
      <c r="U97" s="65">
        <v>130.4</v>
      </c>
      <c r="V97" s="65">
        <v>131.1</v>
      </c>
      <c r="W97" s="65">
        <v>131.9</v>
      </c>
      <c r="X97" s="65">
        <v>131</v>
      </c>
      <c r="Y97" s="65">
        <v>128.1</v>
      </c>
      <c r="Z97" s="65">
        <v>128.5</v>
      </c>
      <c r="AA97" s="65">
        <v>129.5</v>
      </c>
      <c r="AB97" s="65">
        <v>129</v>
      </c>
      <c r="AC97" s="65">
        <v>129.19999999999999</v>
      </c>
      <c r="AD97" s="65">
        <v>126.4</v>
      </c>
      <c r="AE97" s="65">
        <v>130.80000000000001</v>
      </c>
      <c r="AF97" s="65">
        <v>131.69999999999999</v>
      </c>
      <c r="AG97" s="104"/>
      <c r="AH97" s="47">
        <f t="shared" si="8"/>
        <v>132.6</v>
      </c>
      <c r="AI97" s="48">
        <f t="shared" si="9"/>
        <v>126.4</v>
      </c>
    </row>
    <row r="98" spans="1:35" x14ac:dyDescent="0.25">
      <c r="A98" s="103" t="s">
        <v>106</v>
      </c>
      <c r="B98" s="65">
        <v>132.6</v>
      </c>
      <c r="C98" s="65">
        <v>133.19999999999999</v>
      </c>
      <c r="D98" s="65">
        <v>134.19999999999999</v>
      </c>
      <c r="E98" s="65">
        <v>133.80000000000001</v>
      </c>
      <c r="F98" s="65">
        <v>133.80000000000001</v>
      </c>
      <c r="G98" s="65">
        <v>131.9</v>
      </c>
      <c r="H98" s="65">
        <v>132</v>
      </c>
      <c r="I98" s="65">
        <v>131.5</v>
      </c>
      <c r="J98" s="65">
        <v>130.9</v>
      </c>
      <c r="K98" s="65"/>
      <c r="L98" s="65">
        <v>130.6</v>
      </c>
      <c r="M98" s="65">
        <v>128.1</v>
      </c>
      <c r="N98" s="65">
        <v>129.69999999999999</v>
      </c>
      <c r="O98" s="65">
        <v>132.80000000000001</v>
      </c>
      <c r="P98" s="65">
        <v>131.19999999999999</v>
      </c>
      <c r="Q98" s="65">
        <v>129.5</v>
      </c>
      <c r="R98" s="65">
        <v>130.19999999999999</v>
      </c>
      <c r="S98" s="65">
        <v>130.19999999999999</v>
      </c>
      <c r="T98" s="65">
        <v>129.5</v>
      </c>
      <c r="U98" s="65">
        <v>132.96</v>
      </c>
      <c r="V98" s="65">
        <v>131.69999999999999</v>
      </c>
      <c r="W98" s="65">
        <v>129</v>
      </c>
      <c r="X98" s="65">
        <v>134.69999999999999</v>
      </c>
      <c r="Y98" s="65">
        <v>128.9</v>
      </c>
      <c r="Z98" s="65">
        <v>130.4</v>
      </c>
      <c r="AA98" s="65">
        <v>130.5</v>
      </c>
      <c r="AB98" s="65">
        <v>132.6</v>
      </c>
      <c r="AC98" s="65">
        <v>130.1</v>
      </c>
      <c r="AD98" s="65">
        <v>131.9</v>
      </c>
      <c r="AE98" s="65">
        <v>133.1</v>
      </c>
      <c r="AF98" s="65">
        <v>129.4</v>
      </c>
      <c r="AG98" s="104"/>
      <c r="AH98" s="47">
        <f t="shared" si="8"/>
        <v>134.69999999999999</v>
      </c>
      <c r="AI98" s="48">
        <f t="shared" si="9"/>
        <v>128.1</v>
      </c>
    </row>
    <row r="99" spans="1:35" x14ac:dyDescent="0.25">
      <c r="A99" s="105" t="s">
        <v>107</v>
      </c>
      <c r="B99" s="65">
        <v>133.80000000000001</v>
      </c>
      <c r="C99" s="65">
        <v>134.30000000000001</v>
      </c>
      <c r="D99" s="65">
        <v>135.1</v>
      </c>
      <c r="E99" s="65">
        <v>134.9</v>
      </c>
      <c r="F99" s="65">
        <v>134.80000000000001</v>
      </c>
      <c r="G99" s="65">
        <v>133.6</v>
      </c>
      <c r="H99" s="65">
        <v>133.1</v>
      </c>
      <c r="I99" s="65">
        <v>132.19999999999999</v>
      </c>
      <c r="J99" s="65">
        <v>130.9</v>
      </c>
      <c r="K99" s="65"/>
      <c r="L99" s="65">
        <v>131.4</v>
      </c>
      <c r="M99" s="65">
        <v>130.19999999999999</v>
      </c>
      <c r="N99" s="65">
        <v>130.19999999999999</v>
      </c>
      <c r="O99" s="65">
        <v>133.1</v>
      </c>
      <c r="P99" s="65">
        <v>133.19999999999999</v>
      </c>
      <c r="Q99" s="65">
        <v>131.69999999999999</v>
      </c>
      <c r="R99" s="65">
        <v>134</v>
      </c>
      <c r="S99" s="65">
        <v>134</v>
      </c>
      <c r="T99" s="65">
        <v>131.74</v>
      </c>
      <c r="U99" s="65">
        <v>134</v>
      </c>
      <c r="V99" s="65">
        <v>134</v>
      </c>
      <c r="W99" s="65">
        <v>131</v>
      </c>
      <c r="X99" s="65">
        <v>135.69999999999999</v>
      </c>
      <c r="Y99" s="65">
        <v>131.1</v>
      </c>
      <c r="Z99" s="65">
        <v>132.5</v>
      </c>
      <c r="AA99" s="65">
        <v>133.1</v>
      </c>
      <c r="AB99" s="65">
        <v>133.80000000000001</v>
      </c>
      <c r="AC99" s="65">
        <v>132</v>
      </c>
      <c r="AD99" s="65">
        <v>131.9</v>
      </c>
      <c r="AE99" s="65">
        <v>135.69999999999999</v>
      </c>
      <c r="AF99" s="65">
        <v>132.80000000000001</v>
      </c>
      <c r="AG99" s="104"/>
      <c r="AH99" s="47">
        <f t="shared" si="8"/>
        <v>135.69999999999999</v>
      </c>
      <c r="AI99" s="48">
        <f t="shared" si="9"/>
        <v>130.19999999999999</v>
      </c>
    </row>
    <row r="100" spans="1:35" x14ac:dyDescent="0.25">
      <c r="A100" s="105" t="s">
        <v>108</v>
      </c>
      <c r="B100" s="106">
        <v>134</v>
      </c>
      <c r="C100" s="106">
        <v>135.5</v>
      </c>
      <c r="D100" s="106">
        <v>134.69999999999999</v>
      </c>
      <c r="E100" s="106">
        <v>135</v>
      </c>
      <c r="F100" s="106">
        <v>135</v>
      </c>
      <c r="G100" s="106">
        <v>134.5</v>
      </c>
      <c r="H100" s="106">
        <v>135.4</v>
      </c>
      <c r="I100" s="106">
        <v>134.30000000000001</v>
      </c>
      <c r="J100" s="106">
        <v>133.5</v>
      </c>
      <c r="K100" s="106"/>
      <c r="L100" s="106">
        <v>131.6</v>
      </c>
      <c r="M100" s="106">
        <v>130.5</v>
      </c>
      <c r="N100" s="106">
        <v>130.5</v>
      </c>
      <c r="O100" s="106">
        <v>129.9</v>
      </c>
      <c r="P100" s="106">
        <v>134.69999999999999</v>
      </c>
      <c r="Q100" s="106">
        <v>135.80000000000001</v>
      </c>
      <c r="R100" s="106">
        <v>132.19999999999999</v>
      </c>
      <c r="S100" s="106">
        <v>132.19999999999999</v>
      </c>
      <c r="T100" s="106">
        <v>132.80000000000001</v>
      </c>
      <c r="U100" s="106">
        <v>133.6</v>
      </c>
      <c r="V100" s="106">
        <v>133.69999999999999</v>
      </c>
      <c r="W100" s="106">
        <v>134</v>
      </c>
      <c r="X100" s="106">
        <v>134.6</v>
      </c>
      <c r="Y100" s="106">
        <v>135.30000000000001</v>
      </c>
      <c r="Z100" s="106">
        <v>134.1</v>
      </c>
      <c r="AA100" s="106">
        <v>135.6</v>
      </c>
      <c r="AB100" s="106">
        <v>135.69999999999999</v>
      </c>
      <c r="AC100" s="106">
        <v>135.80000000000001</v>
      </c>
      <c r="AD100" s="106">
        <v>134.4</v>
      </c>
      <c r="AE100" s="106">
        <v>135.19999999999999</v>
      </c>
      <c r="AF100" s="106">
        <v>133.1</v>
      </c>
      <c r="AG100" s="107"/>
      <c r="AH100" s="47">
        <f t="shared" si="8"/>
        <v>135.80000000000001</v>
      </c>
      <c r="AI100" s="48">
        <f t="shared" si="9"/>
        <v>129.9</v>
      </c>
    </row>
    <row r="101" spans="1:35" x14ac:dyDescent="0.25">
      <c r="A101" s="103" t="s">
        <v>109</v>
      </c>
      <c r="B101" s="65">
        <v>130.4</v>
      </c>
      <c r="C101" s="65">
        <v>128.1</v>
      </c>
      <c r="D101" s="65">
        <v>132.30000000000001</v>
      </c>
      <c r="E101" s="65">
        <v>134.19999999999999</v>
      </c>
      <c r="F101" s="65">
        <v>134</v>
      </c>
      <c r="G101" s="65">
        <v>133.19999999999999</v>
      </c>
      <c r="H101" s="65">
        <v>135.1</v>
      </c>
      <c r="I101" s="65">
        <v>132</v>
      </c>
      <c r="J101" s="65">
        <v>129</v>
      </c>
      <c r="K101" s="65"/>
      <c r="L101" s="65"/>
      <c r="M101" s="65"/>
      <c r="N101" s="65">
        <v>128</v>
      </c>
      <c r="O101" s="65">
        <v>126.7</v>
      </c>
      <c r="P101" s="65">
        <v>126</v>
      </c>
      <c r="Q101" s="65">
        <v>121.5</v>
      </c>
      <c r="R101" s="65">
        <v>127.2</v>
      </c>
      <c r="S101" s="65">
        <v>127.2</v>
      </c>
      <c r="T101" s="65">
        <v>131.69999999999999</v>
      </c>
      <c r="U101" s="65">
        <v>126</v>
      </c>
      <c r="V101" s="65">
        <v>128.69999999999999</v>
      </c>
      <c r="W101" s="65">
        <v>129.6</v>
      </c>
      <c r="X101" s="65">
        <v>129</v>
      </c>
      <c r="Y101" s="65">
        <v>128.87</v>
      </c>
      <c r="Z101" s="65">
        <v>129</v>
      </c>
      <c r="AA101" s="65">
        <v>132.5</v>
      </c>
      <c r="AB101" s="65">
        <v>127.5</v>
      </c>
      <c r="AC101" s="65">
        <v>126.6</v>
      </c>
      <c r="AD101" s="65">
        <v>129.30000000000001</v>
      </c>
      <c r="AE101" s="65">
        <v>130.80000000000001</v>
      </c>
      <c r="AF101" s="65">
        <v>128.30000000000001</v>
      </c>
      <c r="AG101" s="104"/>
      <c r="AH101" s="47">
        <f t="shared" si="8"/>
        <v>135.1</v>
      </c>
      <c r="AI101" s="48">
        <f t="shared" si="9"/>
        <v>121.5</v>
      </c>
    </row>
    <row r="102" spans="1:35" ht="15.75" thickBot="1" x14ac:dyDescent="0.3">
      <c r="A102" s="103" t="s">
        <v>110</v>
      </c>
      <c r="B102" s="92">
        <v>66.099999999999994</v>
      </c>
      <c r="C102" s="92">
        <v>66</v>
      </c>
      <c r="D102" s="92">
        <v>65.8</v>
      </c>
      <c r="E102" s="92">
        <v>66.3</v>
      </c>
      <c r="F102" s="92">
        <v>66.7</v>
      </c>
      <c r="G102" s="92">
        <v>65.900000000000006</v>
      </c>
      <c r="H102" s="92">
        <v>65.8</v>
      </c>
      <c r="I102" s="92">
        <v>65</v>
      </c>
      <c r="J102" s="92">
        <v>64.5</v>
      </c>
      <c r="K102" s="92"/>
      <c r="L102" s="92"/>
      <c r="M102" s="92"/>
      <c r="N102" s="92">
        <v>65.2</v>
      </c>
      <c r="O102" s="92">
        <v>64.400000000000006</v>
      </c>
      <c r="P102" s="92">
        <v>65</v>
      </c>
      <c r="Q102" s="92">
        <v>65.3</v>
      </c>
      <c r="R102" s="92">
        <v>64.7</v>
      </c>
      <c r="S102" s="92">
        <v>64.7</v>
      </c>
      <c r="T102" s="92">
        <v>64.5</v>
      </c>
      <c r="U102" s="92">
        <v>65.599999999999994</v>
      </c>
      <c r="V102" s="92">
        <v>66.099999999999994</v>
      </c>
      <c r="W102" s="92">
        <v>66.5</v>
      </c>
      <c r="X102" s="92">
        <v>65.7</v>
      </c>
      <c r="Y102" s="92">
        <v>64.8</v>
      </c>
      <c r="Z102" s="92">
        <v>64.400000000000006</v>
      </c>
      <c r="AA102" s="92">
        <v>64.8</v>
      </c>
      <c r="AB102" s="92">
        <v>64.8</v>
      </c>
      <c r="AC102" s="92">
        <v>65</v>
      </c>
      <c r="AD102" s="92">
        <v>64.900000000000006</v>
      </c>
      <c r="AE102" s="92">
        <v>66.2</v>
      </c>
      <c r="AF102" s="92">
        <v>66.8</v>
      </c>
      <c r="AG102" s="108"/>
      <c r="AH102" s="47">
        <f t="shared" si="8"/>
        <v>66.8</v>
      </c>
      <c r="AI102" s="48">
        <f t="shared" si="9"/>
        <v>64.400000000000006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8"/>
        <v>0</v>
      </c>
      <c r="AI103" s="48">
        <f t="shared" si="9"/>
        <v>0</v>
      </c>
    </row>
    <row r="104" spans="1:35" ht="15.75" thickBot="1" x14ac:dyDescent="0.3">
      <c r="A104" s="110" t="s">
        <v>112</v>
      </c>
      <c r="B104" s="111">
        <f>SUM(B16,B22,B25:B26,B52,B54:B55,B57,B59,B105:B109,B131,B137,B143,B152,B154,B166,B173,B176:B177,B184,B186,B188,B192:B194,B196:B198,B203,B209:B210,B212:B214,B222,B227)</f>
        <v>163.99999999999997</v>
      </c>
      <c r="C104" s="111">
        <f t="shared" ref="C104:AF104" si="15">SUM(C16,C22,C25:C26,C52,C54:C55,C57,C59,C105:C109,C131,C137,C143,C152,C154,C166,C173,C176:C177,C184,C186,C188,C192:C194,C196:C198,C203,C209:C210,C212:C214,C222,C227)</f>
        <v>149.74</v>
      </c>
      <c r="D104" s="111">
        <f t="shared" si="15"/>
        <v>138.84</v>
      </c>
      <c r="E104" s="111">
        <f t="shared" si="15"/>
        <v>209.23999999999998</v>
      </c>
      <c r="F104" s="111">
        <f t="shared" si="15"/>
        <v>150.33999999999997</v>
      </c>
      <c r="G104" s="111">
        <f t="shared" si="15"/>
        <v>164.04</v>
      </c>
      <c r="H104" s="111">
        <f t="shared" si="15"/>
        <v>191.24</v>
      </c>
      <c r="I104" s="111">
        <f t="shared" si="15"/>
        <v>228.74</v>
      </c>
      <c r="J104" s="111">
        <f t="shared" si="15"/>
        <v>266.64000000000004</v>
      </c>
      <c r="K104" s="111">
        <f t="shared" si="15"/>
        <v>0.94</v>
      </c>
      <c r="L104" s="111">
        <f t="shared" si="15"/>
        <v>369.23999999999995</v>
      </c>
      <c r="M104" s="111">
        <f t="shared" si="15"/>
        <v>378.73999999999995</v>
      </c>
      <c r="N104" s="111">
        <f t="shared" si="15"/>
        <v>397.03999999999996</v>
      </c>
      <c r="O104" s="111">
        <f t="shared" si="15"/>
        <v>374.03999999999996</v>
      </c>
      <c r="P104" s="111">
        <v>42</v>
      </c>
      <c r="Q104" s="111">
        <f t="shared" si="15"/>
        <v>285.10000000000002</v>
      </c>
      <c r="R104" s="111">
        <f t="shared" si="15"/>
        <v>258</v>
      </c>
      <c r="S104" s="111">
        <f t="shared" si="15"/>
        <v>237.10000000000002</v>
      </c>
      <c r="T104" s="111">
        <f t="shared" si="15"/>
        <v>237.29999999999998</v>
      </c>
      <c r="U104" s="111">
        <f t="shared" si="15"/>
        <v>256.3</v>
      </c>
      <c r="V104" s="111">
        <f t="shared" si="15"/>
        <v>298.89999999999998</v>
      </c>
      <c r="W104" s="111">
        <f t="shared" si="15"/>
        <v>298.2</v>
      </c>
      <c r="X104" s="111">
        <v>471.59708333333339</v>
      </c>
      <c r="Y104" s="111">
        <f t="shared" si="15"/>
        <v>421.4</v>
      </c>
      <c r="Z104" s="111">
        <f t="shared" si="15"/>
        <v>419.9</v>
      </c>
      <c r="AA104" s="111">
        <f t="shared" si="15"/>
        <v>408.19999999999993</v>
      </c>
      <c r="AB104" s="111">
        <f t="shared" si="15"/>
        <v>416.4</v>
      </c>
      <c r="AC104" s="111">
        <f t="shared" si="15"/>
        <v>405.2</v>
      </c>
      <c r="AD104" s="111">
        <f t="shared" si="15"/>
        <v>370.40000000000003</v>
      </c>
      <c r="AE104" s="111">
        <f t="shared" si="15"/>
        <v>262.7</v>
      </c>
      <c r="AF104" s="111">
        <f t="shared" si="15"/>
        <v>188.39999999999998</v>
      </c>
      <c r="AG104" s="112"/>
      <c r="AH104" s="47">
        <f t="shared" si="8"/>
        <v>471.59708333333339</v>
      </c>
      <c r="AI104" s="48">
        <f t="shared" si="9"/>
        <v>0.94</v>
      </c>
    </row>
    <row r="105" spans="1:35" x14ac:dyDescent="0.25">
      <c r="A105" s="100" t="s">
        <v>113</v>
      </c>
      <c r="B105" s="113">
        <v>-6.9</v>
      </c>
      <c r="C105" s="113">
        <v>-11.3</v>
      </c>
      <c r="D105" s="113">
        <v>-14.9</v>
      </c>
      <c r="E105" s="113">
        <v>-16.8</v>
      </c>
      <c r="F105" s="113">
        <v>-16.2</v>
      </c>
      <c r="G105" s="113">
        <v>-11.2</v>
      </c>
      <c r="H105" s="113">
        <v>0</v>
      </c>
      <c r="I105" s="113">
        <v>8.3000000000000007</v>
      </c>
      <c r="J105" s="113">
        <v>14.1</v>
      </c>
      <c r="K105" s="113"/>
      <c r="L105" s="113">
        <v>38.9</v>
      </c>
      <c r="M105" s="113">
        <v>38.5</v>
      </c>
      <c r="N105" s="113">
        <v>30.9</v>
      </c>
      <c r="O105" s="113">
        <v>32.4</v>
      </c>
      <c r="P105" s="113" t="s">
        <v>702</v>
      </c>
      <c r="Q105" s="113">
        <v>25.8</v>
      </c>
      <c r="R105" s="113">
        <v>17.899999999999999</v>
      </c>
      <c r="S105" s="113">
        <v>9</v>
      </c>
      <c r="T105" s="113">
        <v>8.1999999999999993</v>
      </c>
      <c r="U105" s="113">
        <v>9.4</v>
      </c>
      <c r="V105" s="113">
        <v>25.3</v>
      </c>
      <c r="W105" s="113">
        <v>26.6</v>
      </c>
      <c r="X105" s="113">
        <v>41.2</v>
      </c>
      <c r="Y105" s="113">
        <v>49.7</v>
      </c>
      <c r="Z105" s="113">
        <v>49.8</v>
      </c>
      <c r="AA105" s="113">
        <v>49.3</v>
      </c>
      <c r="AB105" s="113">
        <v>49.4</v>
      </c>
      <c r="AC105" s="113">
        <v>52.6</v>
      </c>
      <c r="AD105" s="113">
        <v>48.5</v>
      </c>
      <c r="AE105" s="113">
        <v>23.5</v>
      </c>
      <c r="AF105" s="113">
        <v>6.3</v>
      </c>
      <c r="AG105" s="114">
        <v>75</v>
      </c>
      <c r="AH105" s="47">
        <f t="shared" si="8"/>
        <v>52.6</v>
      </c>
      <c r="AI105" s="48">
        <f t="shared" si="9"/>
        <v>-16.8</v>
      </c>
    </row>
    <row r="106" spans="1:35" x14ac:dyDescent="0.25">
      <c r="A106" s="103" t="s">
        <v>114</v>
      </c>
      <c r="B106" s="115">
        <v>-7.8</v>
      </c>
      <c r="C106" s="115">
        <v>-11.3</v>
      </c>
      <c r="D106" s="115">
        <v>-13.6</v>
      </c>
      <c r="E106" s="115">
        <v>-16.3</v>
      </c>
      <c r="F106" s="115">
        <v>-16.899999999999999</v>
      </c>
      <c r="G106" s="115">
        <v>-8.1999999999999993</v>
      </c>
      <c r="H106" s="115">
        <v>3.4</v>
      </c>
      <c r="I106" s="115">
        <v>14.3</v>
      </c>
      <c r="J106" s="115">
        <v>22.4</v>
      </c>
      <c r="K106" s="115"/>
      <c r="L106" s="115">
        <v>50</v>
      </c>
      <c r="M106" s="115">
        <v>49.6</v>
      </c>
      <c r="N106" s="115">
        <v>43</v>
      </c>
      <c r="O106" s="115">
        <v>44.1</v>
      </c>
      <c r="P106" s="115">
        <v>56.2</v>
      </c>
      <c r="Q106" s="115">
        <v>41.4</v>
      </c>
      <c r="R106" s="115">
        <v>28.1</v>
      </c>
      <c r="S106" s="115">
        <v>19.8</v>
      </c>
      <c r="T106" s="115">
        <v>19.2</v>
      </c>
      <c r="U106" s="115">
        <v>20.2</v>
      </c>
      <c r="V106" s="115">
        <v>34.700000000000003</v>
      </c>
      <c r="W106" s="115" t="s">
        <v>703</v>
      </c>
      <c r="X106" s="115">
        <v>51.3</v>
      </c>
      <c r="Y106" s="115">
        <v>62.1</v>
      </c>
      <c r="Z106" s="115">
        <v>62.8</v>
      </c>
      <c r="AA106" s="115">
        <v>62.3</v>
      </c>
      <c r="AB106" s="115">
        <v>63.3</v>
      </c>
      <c r="AC106" s="115">
        <v>69.7</v>
      </c>
      <c r="AD106" s="115">
        <v>65.099999999999994</v>
      </c>
      <c r="AE106" s="115">
        <v>31.6</v>
      </c>
      <c r="AF106" s="115">
        <v>11.6</v>
      </c>
      <c r="AG106" s="114">
        <v>240</v>
      </c>
      <c r="AH106" s="47">
        <f t="shared" si="8"/>
        <v>69.7</v>
      </c>
      <c r="AI106" s="48">
        <f t="shared" si="9"/>
        <v>-16.899999999999999</v>
      </c>
    </row>
    <row r="107" spans="1:35" x14ac:dyDescent="0.25">
      <c r="A107" s="103" t="s">
        <v>115</v>
      </c>
      <c r="B107" s="115">
        <f>-15.7-17.5</f>
        <v>-33.200000000000003</v>
      </c>
      <c r="C107" s="115">
        <f>-15.2-17</f>
        <v>-32.200000000000003</v>
      </c>
      <c r="D107" s="115">
        <f>-16.7-18.8</f>
        <v>-35.5</v>
      </c>
      <c r="E107" s="115">
        <v>33.5</v>
      </c>
      <c r="F107" s="115">
        <v>-27.7</v>
      </c>
      <c r="G107" s="115">
        <f>-13-14</f>
        <v>-27</v>
      </c>
      <c r="H107" s="115">
        <v>-24</v>
      </c>
      <c r="I107" s="115">
        <v>-19.3</v>
      </c>
      <c r="J107" s="115">
        <v>-4.2</v>
      </c>
      <c r="K107" s="115"/>
      <c r="L107" s="115">
        <v>5.9</v>
      </c>
      <c r="M107" s="115">
        <f>8.3+8.2</f>
        <v>16.5</v>
      </c>
      <c r="N107" s="115">
        <f>23+23.6</f>
        <v>46.6</v>
      </c>
      <c r="O107" s="115">
        <f>19+19</f>
        <v>38</v>
      </c>
      <c r="P107" s="115">
        <v>8.8000000000000007</v>
      </c>
      <c r="Q107" s="115">
        <v>-16</v>
      </c>
      <c r="R107" s="115">
        <v>-15</v>
      </c>
      <c r="S107" s="115">
        <v>-15</v>
      </c>
      <c r="T107" s="115">
        <v>-13.9</v>
      </c>
      <c r="U107" s="115">
        <v>2</v>
      </c>
      <c r="V107" s="115">
        <f>8.3+8.4</f>
        <v>16.700000000000003</v>
      </c>
      <c r="W107" s="115">
        <v>38</v>
      </c>
      <c r="X107" s="115">
        <v>53.5</v>
      </c>
      <c r="Y107" s="115">
        <f>6.8+24.4</f>
        <v>31.2</v>
      </c>
      <c r="Z107" s="115">
        <f>6.8+24.5</f>
        <v>31.3</v>
      </c>
      <c r="AA107" s="115">
        <f>0+19.2</f>
        <v>19.2</v>
      </c>
      <c r="AB107" s="115">
        <v>49</v>
      </c>
      <c r="AC107" s="115">
        <v>35.799999999999997</v>
      </c>
      <c r="AD107" s="115">
        <v>11.3</v>
      </c>
      <c r="AE107" s="115">
        <v>-15.2</v>
      </c>
      <c r="AF107" s="115">
        <v>-35.700000000000003</v>
      </c>
      <c r="AG107" s="114">
        <v>240</v>
      </c>
      <c r="AH107" s="47">
        <f t="shared" si="8"/>
        <v>53.5</v>
      </c>
      <c r="AI107" s="48">
        <f t="shared" si="9"/>
        <v>-35.700000000000003</v>
      </c>
    </row>
    <row r="108" spans="1:35" x14ac:dyDescent="0.25">
      <c r="A108" s="103" t="s">
        <v>116</v>
      </c>
      <c r="B108" s="115">
        <v>-3.8</v>
      </c>
      <c r="C108" s="115">
        <v>-6.3</v>
      </c>
      <c r="D108" s="115">
        <v>-9.1</v>
      </c>
      <c r="E108" s="115">
        <v>-8.3000000000000007</v>
      </c>
      <c r="F108" s="115">
        <v>-3.9</v>
      </c>
      <c r="G108" s="115">
        <v>-6.3</v>
      </c>
      <c r="H108" s="115">
        <v>-3.3</v>
      </c>
      <c r="I108" s="115">
        <v>0.2</v>
      </c>
      <c r="J108" s="115">
        <v>5</v>
      </c>
      <c r="K108" s="115"/>
      <c r="L108" s="115">
        <v>24.7</v>
      </c>
      <c r="M108" s="115">
        <v>24.8</v>
      </c>
      <c r="N108" s="115">
        <v>40.200000000000003</v>
      </c>
      <c r="O108" s="115">
        <v>32.5</v>
      </c>
      <c r="P108" s="115">
        <v>12.5</v>
      </c>
      <c r="Q108" s="115">
        <v>9.4</v>
      </c>
      <c r="R108" s="115">
        <v>3</v>
      </c>
      <c r="S108" s="115">
        <v>0.5</v>
      </c>
      <c r="T108" s="115">
        <v>2</v>
      </c>
      <c r="U108" s="115">
        <v>6.4</v>
      </c>
      <c r="V108" s="115">
        <v>15</v>
      </c>
      <c r="W108" s="115">
        <v>22.2</v>
      </c>
      <c r="X108" s="115">
        <v>47.4</v>
      </c>
      <c r="Y108" s="115">
        <v>48.8</v>
      </c>
      <c r="Z108" s="115">
        <v>48.5</v>
      </c>
      <c r="AA108" s="115">
        <v>51.9</v>
      </c>
      <c r="AB108" s="115">
        <v>42.4</v>
      </c>
      <c r="AC108" s="115">
        <v>37.4</v>
      </c>
      <c r="AD108" s="115">
        <v>24</v>
      </c>
      <c r="AE108" s="115">
        <v>8</v>
      </c>
      <c r="AF108" s="115">
        <v>1.1000000000000001</v>
      </c>
      <c r="AG108" s="114">
        <v>60</v>
      </c>
      <c r="AH108" s="47">
        <f t="shared" si="8"/>
        <v>51.9</v>
      </c>
      <c r="AI108" s="48">
        <f t="shared" si="9"/>
        <v>-9.1</v>
      </c>
    </row>
    <row r="109" spans="1:35" x14ac:dyDescent="0.25">
      <c r="A109" s="116" t="s">
        <v>117</v>
      </c>
      <c r="B109" s="117">
        <v>96.6</v>
      </c>
      <c r="C109" s="117">
        <v>92.1</v>
      </c>
      <c r="D109" s="117">
        <v>94.2</v>
      </c>
      <c r="E109" s="117">
        <v>99.1</v>
      </c>
      <c r="F109" s="117">
        <v>97</v>
      </c>
      <c r="G109" s="117">
        <v>99</v>
      </c>
      <c r="H109" s="117">
        <v>97.4</v>
      </c>
      <c r="I109" s="117">
        <v>105.4</v>
      </c>
      <c r="J109" s="117">
        <v>109.5</v>
      </c>
      <c r="K109" s="117"/>
      <c r="L109" s="117">
        <v>125.4</v>
      </c>
      <c r="M109" s="117">
        <v>125</v>
      </c>
      <c r="N109" s="117">
        <v>107</v>
      </c>
      <c r="O109" s="117">
        <v>97.7</v>
      </c>
      <c r="P109" s="117">
        <v>88.6</v>
      </c>
      <c r="Q109" s="117">
        <v>96.1</v>
      </c>
      <c r="R109" s="117">
        <v>99.9</v>
      </c>
      <c r="S109" s="117">
        <v>103.7</v>
      </c>
      <c r="T109" s="117">
        <v>103.4</v>
      </c>
      <c r="U109" s="117">
        <v>99.9</v>
      </c>
      <c r="V109" s="117">
        <v>87.8</v>
      </c>
      <c r="W109" s="117">
        <v>92</v>
      </c>
      <c r="X109" s="117">
        <v>90.8</v>
      </c>
      <c r="Y109" s="117">
        <v>110.2</v>
      </c>
      <c r="Z109" s="117">
        <v>108.1</v>
      </c>
      <c r="AA109" s="117">
        <v>106.1</v>
      </c>
      <c r="AB109" s="117">
        <v>95.1</v>
      </c>
      <c r="AC109" s="117">
        <v>91.5</v>
      </c>
      <c r="AD109" s="117">
        <v>102.3</v>
      </c>
      <c r="AE109" s="117">
        <v>95.9</v>
      </c>
      <c r="AF109" s="117">
        <v>87.9</v>
      </c>
      <c r="AG109" s="118">
        <v>120</v>
      </c>
      <c r="AH109" s="47">
        <f t="shared" si="8"/>
        <v>125.4</v>
      </c>
      <c r="AI109" s="48">
        <f t="shared" si="9"/>
        <v>87.8</v>
      </c>
    </row>
    <row r="110" spans="1:35" x14ac:dyDescent="0.25">
      <c r="A110" s="116" t="s">
        <v>118</v>
      </c>
      <c r="B110" s="117">
        <v>100.6</v>
      </c>
      <c r="C110" s="117">
        <v>96.2</v>
      </c>
      <c r="D110" s="117">
        <v>96.8</v>
      </c>
      <c r="E110" s="117">
        <v>99.8</v>
      </c>
      <c r="F110" s="117">
        <v>99</v>
      </c>
      <c r="G110" s="117">
        <v>101</v>
      </c>
      <c r="H110" s="117">
        <v>94</v>
      </c>
      <c r="I110" s="117">
        <v>96</v>
      </c>
      <c r="J110" s="117">
        <v>91.7</v>
      </c>
      <c r="K110" s="117"/>
      <c r="L110" s="117">
        <v>77.900000000000006</v>
      </c>
      <c r="M110" s="117">
        <v>89.8</v>
      </c>
      <c r="N110" s="117">
        <v>81.680000000000007</v>
      </c>
      <c r="O110" s="117">
        <v>97.7</v>
      </c>
      <c r="P110" s="117">
        <v>88</v>
      </c>
      <c r="Q110" s="117">
        <v>86.3</v>
      </c>
      <c r="R110" s="117">
        <v>83.6</v>
      </c>
      <c r="S110" s="117">
        <v>101.5</v>
      </c>
      <c r="T110" s="117">
        <v>96.3</v>
      </c>
      <c r="U110" s="117">
        <v>91.5</v>
      </c>
      <c r="V110" s="117">
        <v>67.8</v>
      </c>
      <c r="W110" s="117">
        <v>59.3</v>
      </c>
      <c r="X110" s="117">
        <v>63.1</v>
      </c>
      <c r="Y110" s="117">
        <v>64.5</v>
      </c>
      <c r="Z110" s="117">
        <v>83.8</v>
      </c>
      <c r="AA110" s="117">
        <v>90</v>
      </c>
      <c r="AB110" s="117">
        <v>96.1</v>
      </c>
      <c r="AC110" s="117">
        <v>85.5</v>
      </c>
      <c r="AD110" s="117">
        <v>78.3</v>
      </c>
      <c r="AE110" s="117">
        <v>84.8</v>
      </c>
      <c r="AF110" s="117">
        <v>85.5</v>
      </c>
      <c r="AG110" s="118"/>
      <c r="AH110" s="47">
        <f t="shared" si="8"/>
        <v>101.5</v>
      </c>
      <c r="AI110" s="48">
        <f t="shared" si="9"/>
        <v>59.3</v>
      </c>
    </row>
    <row r="111" spans="1:35" x14ac:dyDescent="0.25">
      <c r="A111" s="116" t="s">
        <v>119</v>
      </c>
      <c r="B111" s="117">
        <v>40.5</v>
      </c>
      <c r="C111" s="117">
        <v>37.299999999999997</v>
      </c>
      <c r="D111" s="117">
        <v>33</v>
      </c>
      <c r="E111" s="117">
        <v>36.1</v>
      </c>
      <c r="F111" s="117">
        <v>35.6</v>
      </c>
      <c r="G111" s="117">
        <v>36.200000000000003</v>
      </c>
      <c r="H111" s="117">
        <v>32.4</v>
      </c>
      <c r="I111" s="117">
        <v>32.299999999999997</v>
      </c>
      <c r="J111" s="117">
        <v>27</v>
      </c>
      <c r="K111" s="117"/>
      <c r="L111" s="117"/>
      <c r="M111" s="117"/>
      <c r="N111" s="117"/>
      <c r="O111" s="117"/>
      <c r="P111" s="117"/>
      <c r="Q111" s="117"/>
      <c r="R111" s="117"/>
      <c r="S111" s="117">
        <v>9.4</v>
      </c>
      <c r="T111" s="117">
        <v>10.6</v>
      </c>
      <c r="U111" s="117">
        <v>12.6</v>
      </c>
      <c r="V111" s="117"/>
      <c r="W111" s="117"/>
      <c r="X111" s="117"/>
      <c r="Y111" s="117"/>
      <c r="Z111" s="117"/>
      <c r="AA111" s="117"/>
      <c r="AB111" s="117">
        <v>-1.3</v>
      </c>
      <c r="AC111" s="117">
        <v>-3.8</v>
      </c>
      <c r="AD111" s="117">
        <v>-7.8</v>
      </c>
      <c r="AE111" s="117">
        <v>17.3</v>
      </c>
      <c r="AF111" s="117">
        <v>23.2</v>
      </c>
      <c r="AG111" s="119"/>
      <c r="AH111" s="47">
        <f t="shared" si="8"/>
        <v>40.5</v>
      </c>
      <c r="AI111" s="48">
        <f t="shared" si="9"/>
        <v>-7.8</v>
      </c>
    </row>
    <row r="112" spans="1:35" x14ac:dyDescent="0.25">
      <c r="A112" s="120" t="s">
        <v>120</v>
      </c>
      <c r="B112" s="106">
        <v>28.8</v>
      </c>
      <c r="C112" s="106">
        <v>29</v>
      </c>
      <c r="D112" s="106">
        <v>24.9</v>
      </c>
      <c r="E112" s="106">
        <v>32.700000000000003</v>
      </c>
      <c r="F112" s="106">
        <v>30.5</v>
      </c>
      <c r="G112" s="106">
        <v>30.5</v>
      </c>
      <c r="H112" s="106">
        <v>23.3</v>
      </c>
      <c r="I112" s="106">
        <v>9.5</v>
      </c>
      <c r="J112" s="106">
        <v>-12</v>
      </c>
      <c r="K112" s="106"/>
      <c r="L112" s="106">
        <v>4.8</v>
      </c>
      <c r="M112" s="106"/>
      <c r="N112" s="106"/>
      <c r="O112" s="106">
        <v>7</v>
      </c>
      <c r="P112" s="106">
        <v>19.3</v>
      </c>
      <c r="Q112" s="106">
        <v>17.5</v>
      </c>
      <c r="R112" s="106">
        <v>30.4</v>
      </c>
      <c r="S112" s="106">
        <v>26.5</v>
      </c>
      <c r="T112" s="106"/>
      <c r="U112" s="106">
        <v>13.1</v>
      </c>
      <c r="V112" s="106">
        <v>0</v>
      </c>
      <c r="W112" s="106">
        <v>-36.6</v>
      </c>
      <c r="X112" s="106">
        <v>69</v>
      </c>
      <c r="Y112" s="106">
        <v>50.7</v>
      </c>
      <c r="Z112" s="106">
        <v>-44.3</v>
      </c>
      <c r="AA112" s="106">
        <v>-36.700000000000003</v>
      </c>
      <c r="AB112" s="106">
        <v>-21.7</v>
      </c>
      <c r="AC112" s="106">
        <v>-18</v>
      </c>
      <c r="AD112" s="106">
        <v>-11.7</v>
      </c>
      <c r="AE112" s="106">
        <v>24</v>
      </c>
      <c r="AF112" s="106">
        <v>26.7</v>
      </c>
      <c r="AG112" s="119"/>
      <c r="AH112" s="47">
        <f t="shared" si="8"/>
        <v>69</v>
      </c>
      <c r="AI112" s="48">
        <f t="shared" si="9"/>
        <v>-44.3</v>
      </c>
    </row>
    <row r="113" spans="1:37" ht="15.75" thickBot="1" x14ac:dyDescent="0.3">
      <c r="A113" s="120" t="s">
        <v>121</v>
      </c>
      <c r="B113" s="106">
        <v>9.5</v>
      </c>
      <c r="C113" s="106">
        <v>9.1999999999999993</v>
      </c>
      <c r="D113" s="106">
        <v>10.1</v>
      </c>
      <c r="E113" s="106">
        <v>6.1</v>
      </c>
      <c r="F113" s="106">
        <v>4.2</v>
      </c>
      <c r="G113" s="106">
        <v>4.0999999999999996</v>
      </c>
      <c r="H113" s="106">
        <v>6.3</v>
      </c>
      <c r="I113" s="106">
        <v>6</v>
      </c>
      <c r="J113" s="106">
        <v>1.1000000000000001</v>
      </c>
      <c r="K113" s="106"/>
      <c r="L113" s="106">
        <v>-6.2</v>
      </c>
      <c r="M113" s="106"/>
      <c r="N113" s="106"/>
      <c r="O113" s="106"/>
      <c r="P113" s="106">
        <v>6.5</v>
      </c>
      <c r="Q113" s="106">
        <v>11.5</v>
      </c>
      <c r="R113" s="106">
        <v>-6.8</v>
      </c>
      <c r="S113" s="106">
        <v>3.4</v>
      </c>
      <c r="T113" s="106">
        <v>4.7</v>
      </c>
      <c r="U113" s="106">
        <v>-4.0999999999999996</v>
      </c>
      <c r="V113" s="106">
        <v>-14.1</v>
      </c>
      <c r="W113" s="106">
        <v>-31.2</v>
      </c>
      <c r="X113" s="106">
        <v>-18.399999999999999</v>
      </c>
      <c r="Y113" s="106">
        <v>-15.4</v>
      </c>
      <c r="Z113" s="106">
        <v>-13.5</v>
      </c>
      <c r="AA113" s="106">
        <v>-2.1</v>
      </c>
      <c r="AB113" s="106">
        <v>-7.3</v>
      </c>
      <c r="AC113" s="106">
        <v>-2.7</v>
      </c>
      <c r="AD113" s="106">
        <v>7.4</v>
      </c>
      <c r="AE113" s="106">
        <v>10.9</v>
      </c>
      <c r="AF113" s="106">
        <v>18.899999999999999</v>
      </c>
      <c r="AG113" s="119"/>
      <c r="AH113" s="47">
        <f t="shared" si="8"/>
        <v>18.899999999999999</v>
      </c>
      <c r="AI113" s="48">
        <f t="shared" si="9"/>
        <v>-31.2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6">SUM(B115:B219)</f>
        <v>0</v>
      </c>
      <c r="C220" s="136">
        <f t="shared" si="16"/>
        <v>0</v>
      </c>
      <c r="D220" s="136">
        <f t="shared" si="16"/>
        <v>0</v>
      </c>
      <c r="E220" s="136">
        <f t="shared" si="16"/>
        <v>0</v>
      </c>
      <c r="F220" s="136">
        <f t="shared" si="16"/>
        <v>0</v>
      </c>
      <c r="G220" s="136">
        <f t="shared" si="16"/>
        <v>0</v>
      </c>
      <c r="H220" s="136">
        <f t="shared" si="16"/>
        <v>0</v>
      </c>
      <c r="I220" s="136">
        <f t="shared" si="16"/>
        <v>0</v>
      </c>
      <c r="J220" s="136">
        <f t="shared" si="16"/>
        <v>0</v>
      </c>
      <c r="K220" s="136">
        <f t="shared" si="16"/>
        <v>0</v>
      </c>
      <c r="L220" s="136">
        <f t="shared" si="16"/>
        <v>0</v>
      </c>
      <c r="M220" s="136">
        <f t="shared" si="16"/>
        <v>0</v>
      </c>
      <c r="N220" s="136">
        <f t="shared" si="16"/>
        <v>0</v>
      </c>
      <c r="O220" s="136">
        <f t="shared" si="16"/>
        <v>0</v>
      </c>
      <c r="P220" s="136">
        <f t="shared" si="16"/>
        <v>0</v>
      </c>
      <c r="Q220" s="136">
        <f t="shared" si="16"/>
        <v>0</v>
      </c>
      <c r="R220" s="136">
        <f t="shared" si="16"/>
        <v>0</v>
      </c>
      <c r="S220" s="136">
        <f t="shared" si="16"/>
        <v>0</v>
      </c>
      <c r="T220" s="136">
        <f t="shared" si="16"/>
        <v>0</v>
      </c>
      <c r="U220" s="136">
        <f t="shared" si="16"/>
        <v>0</v>
      </c>
      <c r="V220" s="136">
        <f t="shared" si="16"/>
        <v>0</v>
      </c>
      <c r="W220" s="136">
        <f t="shared" si="16"/>
        <v>0</v>
      </c>
      <c r="X220" s="136">
        <f t="shared" si="16"/>
        <v>0</v>
      </c>
      <c r="Y220" s="136">
        <f t="shared" si="16"/>
        <v>0</v>
      </c>
      <c r="Z220" s="136">
        <f t="shared" si="16"/>
        <v>0</v>
      </c>
      <c r="AA220" s="136">
        <f t="shared" si="16"/>
        <v>0</v>
      </c>
      <c r="AB220" s="136">
        <f t="shared" si="16"/>
        <v>0</v>
      </c>
      <c r="AC220" s="136">
        <f t="shared" si="16"/>
        <v>0</v>
      </c>
      <c r="AD220" s="136">
        <f t="shared" si="16"/>
        <v>0</v>
      </c>
      <c r="AE220" s="136">
        <f t="shared" si="16"/>
        <v>0</v>
      </c>
      <c r="AF220" s="137">
        <f t="shared" si="16"/>
        <v>0</v>
      </c>
      <c r="AG220" s="138">
        <f t="shared" si="16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7">AF222</f>
        <v>0</v>
      </c>
      <c r="C222" s="140">
        <v>0.3</v>
      </c>
      <c r="D222" s="140">
        <f t="shared" ref="D222:P227" si="18">C222</f>
        <v>0.3</v>
      </c>
      <c r="E222" s="140">
        <f t="shared" si="18"/>
        <v>0.3</v>
      </c>
      <c r="F222" s="140">
        <f t="shared" si="18"/>
        <v>0.3</v>
      </c>
      <c r="G222" s="140">
        <f t="shared" si="18"/>
        <v>0.3</v>
      </c>
      <c r="H222" s="140">
        <f t="shared" si="18"/>
        <v>0.3</v>
      </c>
      <c r="I222" s="140">
        <f t="shared" si="18"/>
        <v>0.3</v>
      </c>
      <c r="J222" s="140">
        <f t="shared" si="18"/>
        <v>0.3</v>
      </c>
      <c r="K222" s="140">
        <f t="shared" si="18"/>
        <v>0.3</v>
      </c>
      <c r="L222" s="140">
        <f t="shared" si="18"/>
        <v>0.3</v>
      </c>
      <c r="M222" s="140">
        <f t="shared" si="18"/>
        <v>0.3</v>
      </c>
      <c r="N222" s="140">
        <f t="shared" si="18"/>
        <v>0.3</v>
      </c>
      <c r="O222" s="140">
        <f t="shared" si="18"/>
        <v>0.3</v>
      </c>
      <c r="P222" s="140">
        <f t="shared" si="18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7"/>
        <v>0</v>
      </c>
      <c r="C223" s="128">
        <v>0.4</v>
      </c>
      <c r="D223" s="128">
        <f t="shared" si="18"/>
        <v>0.4</v>
      </c>
      <c r="E223" s="128">
        <f t="shared" si="18"/>
        <v>0.4</v>
      </c>
      <c r="F223" s="128">
        <f t="shared" si="18"/>
        <v>0.4</v>
      </c>
      <c r="G223" s="128">
        <f t="shared" si="18"/>
        <v>0.4</v>
      </c>
      <c r="H223" s="128">
        <f t="shared" si="18"/>
        <v>0.4</v>
      </c>
      <c r="I223" s="128">
        <f t="shared" si="18"/>
        <v>0.4</v>
      </c>
      <c r="J223" s="128">
        <f t="shared" si="18"/>
        <v>0.4</v>
      </c>
      <c r="K223" s="128">
        <f t="shared" si="18"/>
        <v>0.4</v>
      </c>
      <c r="L223" s="128">
        <f t="shared" si="18"/>
        <v>0.4</v>
      </c>
      <c r="M223" s="128">
        <f t="shared" si="18"/>
        <v>0.4</v>
      </c>
      <c r="N223" s="128">
        <f t="shared" si="18"/>
        <v>0.4</v>
      </c>
      <c r="O223" s="128">
        <f t="shared" si="18"/>
        <v>0.4</v>
      </c>
      <c r="P223" s="128">
        <f t="shared" si="18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7"/>
        <v>0</v>
      </c>
      <c r="C224" s="128">
        <v>1.5</v>
      </c>
      <c r="D224" s="128">
        <f t="shared" si="18"/>
        <v>1.5</v>
      </c>
      <c r="E224" s="128">
        <f t="shared" si="18"/>
        <v>1.5</v>
      </c>
      <c r="F224" s="128">
        <f t="shared" si="18"/>
        <v>1.5</v>
      </c>
      <c r="G224" s="128">
        <f t="shared" si="18"/>
        <v>1.5</v>
      </c>
      <c r="H224" s="128">
        <f t="shared" si="18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18"/>
        <v>1.5</v>
      </c>
      <c r="K224" s="128">
        <f t="shared" ca="1" si="18"/>
        <v>1.5</v>
      </c>
      <c r="L224" s="128">
        <f t="shared" ca="1" si="18"/>
        <v>1.5</v>
      </c>
      <c r="M224" s="128">
        <f t="shared" ca="1" si="18"/>
        <v>1.5</v>
      </c>
      <c r="N224" s="128">
        <f t="shared" ca="1" si="18"/>
        <v>1.5</v>
      </c>
      <c r="O224" s="128">
        <f t="shared" ca="1" si="18"/>
        <v>1.5</v>
      </c>
      <c r="P224" s="128">
        <f t="shared" ca="1" si="18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7"/>
        <v>0</v>
      </c>
      <c r="C225" s="128">
        <v>0.3</v>
      </c>
      <c r="D225" s="128">
        <f t="shared" si="18"/>
        <v>0.3</v>
      </c>
      <c r="E225" s="128">
        <f t="shared" si="18"/>
        <v>0.3</v>
      </c>
      <c r="F225" s="128">
        <f t="shared" si="18"/>
        <v>0.3</v>
      </c>
      <c r="G225" s="128">
        <f t="shared" si="18"/>
        <v>0.3</v>
      </c>
      <c r="H225" s="128">
        <f t="shared" si="18"/>
        <v>0.3</v>
      </c>
      <c r="I225" s="128">
        <f t="shared" si="18"/>
        <v>0.3</v>
      </c>
      <c r="J225" s="128">
        <f t="shared" si="18"/>
        <v>0.3</v>
      </c>
      <c r="K225" s="128">
        <f t="shared" si="18"/>
        <v>0.3</v>
      </c>
      <c r="L225" s="128">
        <f t="shared" si="18"/>
        <v>0.3</v>
      </c>
      <c r="M225" s="128">
        <f t="shared" si="18"/>
        <v>0.3</v>
      </c>
      <c r="N225" s="128">
        <f t="shared" si="18"/>
        <v>0.3</v>
      </c>
      <c r="O225" s="128">
        <f t="shared" si="18"/>
        <v>0.3</v>
      </c>
      <c r="P225" s="128">
        <f t="shared" si="18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7"/>
        <v>0</v>
      </c>
      <c r="C226" s="128">
        <v>0.4</v>
      </c>
      <c r="D226" s="128">
        <f t="shared" si="18"/>
        <v>0.4</v>
      </c>
      <c r="E226" s="128">
        <f t="shared" si="18"/>
        <v>0.4</v>
      </c>
      <c r="F226" s="128">
        <f t="shared" si="18"/>
        <v>0.4</v>
      </c>
      <c r="G226" s="128">
        <f t="shared" si="18"/>
        <v>0.4</v>
      </c>
      <c r="H226" s="128">
        <f t="shared" si="18"/>
        <v>0.4</v>
      </c>
      <c r="I226" s="128">
        <f t="shared" si="18"/>
        <v>0.4</v>
      </c>
      <c r="J226" s="128">
        <f t="shared" si="18"/>
        <v>0.4</v>
      </c>
      <c r="K226" s="128">
        <f t="shared" si="18"/>
        <v>0.4</v>
      </c>
      <c r="L226" s="128">
        <f t="shared" si="18"/>
        <v>0.4</v>
      </c>
      <c r="M226" s="128">
        <f t="shared" si="18"/>
        <v>0.4</v>
      </c>
      <c r="N226" s="128">
        <f t="shared" si="18"/>
        <v>0.4</v>
      </c>
      <c r="O226" s="128">
        <f t="shared" si="18"/>
        <v>0.4</v>
      </c>
      <c r="P226" s="128">
        <f t="shared" si="18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7"/>
        <v>0</v>
      </c>
      <c r="C227" s="132">
        <v>0.64</v>
      </c>
      <c r="D227" s="132">
        <f t="shared" si="18"/>
        <v>0.64</v>
      </c>
      <c r="E227" s="132">
        <f t="shared" si="18"/>
        <v>0.64</v>
      </c>
      <c r="F227" s="132">
        <f t="shared" si="18"/>
        <v>0.64</v>
      </c>
      <c r="G227" s="132">
        <f t="shared" si="18"/>
        <v>0.64</v>
      </c>
      <c r="H227" s="132">
        <f t="shared" si="18"/>
        <v>0.64</v>
      </c>
      <c r="I227" s="132">
        <f t="shared" si="18"/>
        <v>0.64</v>
      </c>
      <c r="J227" s="132">
        <f t="shared" si="18"/>
        <v>0.64</v>
      </c>
      <c r="K227" s="132">
        <f t="shared" si="18"/>
        <v>0.64</v>
      </c>
      <c r="L227" s="132">
        <f t="shared" si="18"/>
        <v>0.64</v>
      </c>
      <c r="M227" s="132">
        <f t="shared" si="18"/>
        <v>0.64</v>
      </c>
      <c r="N227" s="132">
        <f t="shared" si="18"/>
        <v>0.64</v>
      </c>
      <c r="O227" s="132">
        <f t="shared" si="18"/>
        <v>0.64</v>
      </c>
      <c r="P227" s="132">
        <f t="shared" si="18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19">SUM(B222:B227)</f>
        <v>0</v>
      </c>
      <c r="C228" s="136">
        <f t="shared" si="19"/>
        <v>3.54</v>
      </c>
      <c r="D228" s="136">
        <f t="shared" si="19"/>
        <v>3.54</v>
      </c>
      <c r="E228" s="136">
        <f t="shared" si="19"/>
        <v>3.54</v>
      </c>
      <c r="F228" s="136">
        <f t="shared" si="19"/>
        <v>3.54</v>
      </c>
      <c r="G228" s="136">
        <f t="shared" si="19"/>
        <v>3.54</v>
      </c>
      <c r="H228" s="136">
        <f t="shared" si="19"/>
        <v>3.54</v>
      </c>
      <c r="I228" s="136">
        <f t="shared" ca="1" si="19"/>
        <v>3.54</v>
      </c>
      <c r="J228" s="136">
        <f t="shared" ca="1" si="19"/>
        <v>3.54</v>
      </c>
      <c r="K228" s="136">
        <f t="shared" ca="1" si="19"/>
        <v>3.54</v>
      </c>
      <c r="L228" s="136">
        <f t="shared" ca="1" si="19"/>
        <v>3.54</v>
      </c>
      <c r="M228" s="136">
        <f t="shared" ca="1" si="19"/>
        <v>3.54</v>
      </c>
      <c r="N228" s="136">
        <f t="shared" ca="1" si="19"/>
        <v>3.54</v>
      </c>
      <c r="O228" s="136">
        <f t="shared" ca="1" si="19"/>
        <v>3.54</v>
      </c>
      <c r="P228" s="136">
        <f t="shared" ca="1" si="19"/>
        <v>3.54</v>
      </c>
      <c r="Q228" s="136">
        <f t="shared" si="19"/>
        <v>0</v>
      </c>
      <c r="R228" s="136">
        <f t="shared" si="19"/>
        <v>0</v>
      </c>
      <c r="S228" s="136">
        <f t="shared" si="19"/>
        <v>0</v>
      </c>
      <c r="T228" s="136">
        <f t="shared" si="19"/>
        <v>0</v>
      </c>
      <c r="U228" s="136">
        <f t="shared" si="19"/>
        <v>0</v>
      </c>
      <c r="V228" s="136">
        <f t="shared" si="19"/>
        <v>0</v>
      </c>
      <c r="W228" s="136">
        <f t="shared" si="19"/>
        <v>0</v>
      </c>
      <c r="X228" s="136">
        <f t="shared" si="19"/>
        <v>0</v>
      </c>
      <c r="Y228" s="136">
        <f t="shared" si="19"/>
        <v>0</v>
      </c>
      <c r="Z228" s="136">
        <f t="shared" si="19"/>
        <v>0</v>
      </c>
      <c r="AA228" s="136">
        <f t="shared" si="19"/>
        <v>0</v>
      </c>
      <c r="AB228" s="136">
        <f t="shared" si="19"/>
        <v>0</v>
      </c>
      <c r="AC228" s="136">
        <f t="shared" si="19"/>
        <v>0</v>
      </c>
      <c r="AD228" s="136">
        <f t="shared" si="19"/>
        <v>0</v>
      </c>
      <c r="AE228" s="136">
        <f t="shared" si="19"/>
        <v>0</v>
      </c>
      <c r="AF228" s="136">
        <f t="shared" si="19"/>
        <v>0</v>
      </c>
      <c r="AG228" s="145">
        <f t="shared" si="19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1695.7399999999998</v>
      </c>
      <c r="C237" s="161">
        <f>INDEX(G9:N9,1,MATCH(MAX(G85:N85),G85:N85,0))</f>
        <v>0.375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7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str">
        <f ca="1">"Pie Chart of Daily Peak Demand(Inclusive of Export) of Nepal ("&amp;A4&amp;" "&amp;B4&amp;")"</f>
        <v>Pie Chart of Daily Peak Demand(Inclusive of Export) of Nepal (Nepali Date: 2079/09/7)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2079/09/7)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0">B85</f>
        <v>1149.1399999999999</v>
      </c>
      <c r="U242" s="170">
        <f t="shared" si="20"/>
        <v>1122.3400000000001</v>
      </c>
      <c r="V242" s="170">
        <f t="shared" si="20"/>
        <v>1086.24</v>
      </c>
      <c r="W242" s="170">
        <f t="shared" si="20"/>
        <v>1104.44</v>
      </c>
      <c r="X242" s="170">
        <f t="shared" si="20"/>
        <v>1063.24</v>
      </c>
      <c r="Y242" s="170">
        <f t="shared" si="20"/>
        <v>1110.24</v>
      </c>
      <c r="Z242" s="170">
        <f t="shared" si="20"/>
        <v>1181.04</v>
      </c>
      <c r="AA242" s="170">
        <f t="shared" si="20"/>
        <v>1250.7399999999998</v>
      </c>
      <c r="AB242" s="170">
        <f t="shared" si="20"/>
        <v>1308.3399999999999</v>
      </c>
      <c r="AC242" s="170">
        <f t="shared" si="20"/>
        <v>538.54</v>
      </c>
      <c r="AD242" s="170">
        <f t="shared" si="20"/>
        <v>1636.04</v>
      </c>
      <c r="AE242" s="170">
        <f t="shared" si="20"/>
        <v>1651.34</v>
      </c>
      <c r="AF242" s="170">
        <f t="shared" si="20"/>
        <v>1695.7399999999998</v>
      </c>
      <c r="AG242" s="170">
        <f t="shared" si="20"/>
        <v>1540.54</v>
      </c>
      <c r="AH242" s="170">
        <f t="shared" si="20"/>
        <v>1288.8399999999999</v>
      </c>
      <c r="AI242" s="170">
        <f t="shared" si="20"/>
        <v>1298.24</v>
      </c>
      <c r="AJ242" s="170">
        <f t="shared" si="20"/>
        <v>1215.8399999999999</v>
      </c>
      <c r="AK242" s="170">
        <f t="shared" si="20"/>
        <v>1146.94</v>
      </c>
      <c r="AL242" s="170">
        <f t="shared" si="20"/>
        <v>1181.44</v>
      </c>
      <c r="AM242" s="170">
        <f t="shared" si="20"/>
        <v>1170.54</v>
      </c>
      <c r="AN242" s="170">
        <f t="shared" si="20"/>
        <v>1181.8400000000001</v>
      </c>
      <c r="AO242" s="170">
        <f t="shared" si="20"/>
        <v>1251.74</v>
      </c>
      <c r="AP242" s="170">
        <f t="shared" si="20"/>
        <v>1453.94</v>
      </c>
      <c r="AQ242" s="170">
        <f t="shared" si="20"/>
        <v>1682.14</v>
      </c>
      <c r="AR242" s="170">
        <f t="shared" si="20"/>
        <v>1542.14</v>
      </c>
      <c r="AS242" s="170">
        <f t="shared" si="20"/>
        <v>1520.1399999999999</v>
      </c>
      <c r="AT242" s="170">
        <f t="shared" si="20"/>
        <v>1509.94</v>
      </c>
      <c r="AU242" s="170">
        <f t="shared" si="20"/>
        <v>1478.54</v>
      </c>
      <c r="AV242" s="170">
        <f t="shared" si="20"/>
        <v>1409.8400000000001</v>
      </c>
      <c r="AW242" s="170">
        <f t="shared" si="20"/>
        <v>1227.3399999999999</v>
      </c>
      <c r="AX242" s="170">
        <f t="shared" si="20"/>
        <v>1116.4399999999998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1">C227</f>
        <v>0.64</v>
      </c>
      <c r="C263" s="173">
        <f t="shared" si="21"/>
        <v>0.64</v>
      </c>
      <c r="D263" s="173">
        <f t="shared" si="21"/>
        <v>0.64</v>
      </c>
      <c r="E263" s="173">
        <f t="shared" si="21"/>
        <v>0.64</v>
      </c>
      <c r="F263" s="173">
        <f t="shared" si="21"/>
        <v>0.64</v>
      </c>
      <c r="G263" s="173">
        <f t="shared" si="21"/>
        <v>0.64</v>
      </c>
      <c r="H263" s="173">
        <f t="shared" si="21"/>
        <v>0.64</v>
      </c>
      <c r="I263" s="173">
        <f t="shared" si="21"/>
        <v>0.64</v>
      </c>
      <c r="J263" s="173">
        <f t="shared" si="21"/>
        <v>0.64</v>
      </c>
      <c r="K263" s="173">
        <f t="shared" si="21"/>
        <v>0.64</v>
      </c>
      <c r="L263" s="173">
        <f t="shared" si="21"/>
        <v>0.64</v>
      </c>
      <c r="M263" s="173">
        <f t="shared" si="21"/>
        <v>0.64</v>
      </c>
      <c r="N263" s="173">
        <f t="shared" si="21"/>
        <v>0.64</v>
      </c>
      <c r="O263" s="173">
        <f t="shared" si="21"/>
        <v>0.64</v>
      </c>
      <c r="P263" s="173">
        <f t="shared" si="21"/>
        <v>0</v>
      </c>
      <c r="Q263" s="173">
        <f t="shared" si="21"/>
        <v>0</v>
      </c>
      <c r="R263" s="173">
        <f t="shared" si="21"/>
        <v>0</v>
      </c>
      <c r="S263" s="173">
        <f t="shared" si="21"/>
        <v>0</v>
      </c>
      <c r="T263" s="173">
        <f t="shared" si="21"/>
        <v>0</v>
      </c>
      <c r="U263" s="173">
        <f t="shared" si="21"/>
        <v>0</v>
      </c>
      <c r="V263" s="173">
        <f t="shared" si="21"/>
        <v>0</v>
      </c>
      <c r="W263" s="173">
        <f t="shared" si="21"/>
        <v>0</v>
      </c>
      <c r="X263" s="173">
        <f t="shared" si="21"/>
        <v>0</v>
      </c>
      <c r="Y263" s="173">
        <f t="shared" si="21"/>
        <v>0</v>
      </c>
      <c r="Z263" s="173">
        <f t="shared" si="21"/>
        <v>0</v>
      </c>
      <c r="AA263" s="173">
        <f t="shared" si="21"/>
        <v>0</v>
      </c>
      <c r="AB263" s="173">
        <f t="shared" si="21"/>
        <v>0</v>
      </c>
      <c r="AC263" s="173">
        <f t="shared" si="21"/>
        <v>0</v>
      </c>
      <c r="AD263" s="173">
        <f t="shared" si="21"/>
        <v>0</v>
      </c>
      <c r="AE263" s="173">
        <f t="shared" si="21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2">IF(B231&lt;100,"",B231-520)</f>
        <v/>
      </c>
      <c r="C264" s="174" t="str">
        <f t="shared" si="22"/>
        <v/>
      </c>
      <c r="D264" s="174" t="str">
        <f t="shared" si="22"/>
        <v/>
      </c>
      <c r="E264" s="174" t="str">
        <f t="shared" si="22"/>
        <v/>
      </c>
      <c r="F264" s="174" t="str">
        <f t="shared" si="22"/>
        <v/>
      </c>
      <c r="G264" s="174" t="str">
        <f t="shared" si="22"/>
        <v/>
      </c>
      <c r="H264" s="174" t="str">
        <f t="shared" si="22"/>
        <v/>
      </c>
      <c r="I264" s="174" t="str">
        <f t="shared" si="22"/>
        <v/>
      </c>
      <c r="J264" s="174" t="str">
        <f t="shared" si="22"/>
        <v/>
      </c>
      <c r="K264" s="174" t="str">
        <f t="shared" si="22"/>
        <v/>
      </c>
      <c r="L264" s="174" t="str">
        <f t="shared" si="22"/>
        <v/>
      </c>
      <c r="M264" s="174" t="str">
        <f t="shared" si="22"/>
        <v/>
      </c>
      <c r="N264" s="174" t="str">
        <f t="shared" si="22"/>
        <v/>
      </c>
      <c r="O264" s="174" t="str">
        <f t="shared" si="22"/>
        <v/>
      </c>
      <c r="P264" s="174" t="str">
        <f t="shared" si="22"/>
        <v/>
      </c>
      <c r="Q264" s="174" t="str">
        <f t="shared" si="22"/>
        <v/>
      </c>
      <c r="R264" s="174" t="str">
        <f t="shared" si="22"/>
        <v/>
      </c>
      <c r="S264" s="174" t="str">
        <f t="shared" si="22"/>
        <v/>
      </c>
      <c r="T264" s="174" t="str">
        <f t="shared" si="22"/>
        <v/>
      </c>
      <c r="U264" s="174" t="str">
        <f t="shared" si="22"/>
        <v/>
      </c>
      <c r="V264" s="174" t="str">
        <f t="shared" si="22"/>
        <v/>
      </c>
      <c r="W264" s="174" t="str">
        <f t="shared" si="22"/>
        <v/>
      </c>
      <c r="X264" s="174" t="str">
        <f t="shared" si="22"/>
        <v/>
      </c>
      <c r="Y264" s="174" t="str">
        <f t="shared" si="22"/>
        <v/>
      </c>
      <c r="Z264" s="174" t="str">
        <f t="shared" si="22"/>
        <v/>
      </c>
      <c r="AA264" s="174" t="str">
        <f t="shared" si="22"/>
        <v/>
      </c>
      <c r="AB264" s="174" t="str">
        <f t="shared" si="22"/>
        <v/>
      </c>
      <c r="AC264" s="174" t="str">
        <f t="shared" si="22"/>
        <v/>
      </c>
      <c r="AD264" s="174" t="str">
        <f t="shared" si="22"/>
        <v/>
      </c>
      <c r="AE264" s="174" t="str">
        <f t="shared" si="22"/>
        <v/>
      </c>
      <c r="AF264" s="174" t="str">
        <f t="shared" si="22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3">IF(B232&lt;100,"",B232-620)</f>
        <v/>
      </c>
      <c r="C265" s="174" t="str">
        <f t="shared" si="23"/>
        <v/>
      </c>
      <c r="D265" s="174" t="str">
        <f t="shared" si="23"/>
        <v/>
      </c>
      <c r="E265" s="174" t="str">
        <f t="shared" si="23"/>
        <v/>
      </c>
      <c r="F265" s="174" t="str">
        <f t="shared" si="23"/>
        <v/>
      </c>
      <c r="G265" s="174" t="str">
        <f t="shared" si="23"/>
        <v/>
      </c>
      <c r="H265" s="174" t="str">
        <f t="shared" si="23"/>
        <v/>
      </c>
      <c r="I265" s="174" t="str">
        <f t="shared" si="23"/>
        <v/>
      </c>
      <c r="J265" s="174" t="str">
        <f t="shared" si="23"/>
        <v/>
      </c>
      <c r="K265" s="174" t="str">
        <f t="shared" si="23"/>
        <v/>
      </c>
      <c r="L265" s="174" t="str">
        <f t="shared" si="23"/>
        <v/>
      </c>
      <c r="M265" s="174" t="str">
        <f t="shared" si="23"/>
        <v/>
      </c>
      <c r="N265" s="174" t="str">
        <f t="shared" si="23"/>
        <v/>
      </c>
      <c r="O265" s="174" t="str">
        <f t="shared" si="23"/>
        <v/>
      </c>
      <c r="P265" s="174" t="str">
        <f t="shared" si="23"/>
        <v/>
      </c>
      <c r="Q265" s="174" t="str">
        <f t="shared" si="23"/>
        <v/>
      </c>
      <c r="R265" s="174" t="str">
        <f t="shared" si="23"/>
        <v/>
      </c>
      <c r="S265" s="174" t="str">
        <f t="shared" si="23"/>
        <v/>
      </c>
      <c r="T265" s="174" t="str">
        <f t="shared" si="23"/>
        <v/>
      </c>
      <c r="U265" s="174" t="str">
        <f t="shared" si="23"/>
        <v/>
      </c>
      <c r="V265" s="174" t="str">
        <f t="shared" si="23"/>
        <v/>
      </c>
      <c r="W265" s="174" t="str">
        <f t="shared" si="23"/>
        <v/>
      </c>
      <c r="X265" s="174" t="str">
        <f t="shared" si="23"/>
        <v/>
      </c>
      <c r="Y265" s="174" t="str">
        <f t="shared" si="23"/>
        <v/>
      </c>
      <c r="Z265" s="174" t="str">
        <f t="shared" si="23"/>
        <v/>
      </c>
      <c r="AA265" s="174" t="str">
        <f t="shared" si="23"/>
        <v/>
      </c>
      <c r="AB265" s="174" t="str">
        <f t="shared" si="23"/>
        <v/>
      </c>
      <c r="AC265" s="174" t="str">
        <f t="shared" si="23"/>
        <v/>
      </c>
      <c r="AD265" s="174" t="str">
        <f t="shared" si="23"/>
        <v/>
      </c>
      <c r="AE265" s="174" t="str">
        <f t="shared" si="23"/>
        <v/>
      </c>
      <c r="AF265" s="174" t="str">
        <f t="shared" si="23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4">IF(B233&lt;100,"",B233-330)</f>
        <v/>
      </c>
      <c r="C266" s="174" t="str">
        <f t="shared" si="24"/>
        <v/>
      </c>
      <c r="D266" s="174" t="str">
        <f t="shared" si="24"/>
        <v/>
      </c>
      <c r="E266" s="174" t="str">
        <f t="shared" si="24"/>
        <v/>
      </c>
      <c r="F266" s="174" t="str">
        <f t="shared" si="24"/>
        <v/>
      </c>
      <c r="G266" s="174" t="str">
        <f t="shared" si="24"/>
        <v/>
      </c>
      <c r="H266" s="174" t="str">
        <f t="shared" si="24"/>
        <v/>
      </c>
      <c r="I266" s="174" t="str">
        <f t="shared" si="24"/>
        <v/>
      </c>
      <c r="J266" s="174" t="str">
        <f t="shared" si="24"/>
        <v/>
      </c>
      <c r="K266" s="174" t="str">
        <f t="shared" si="24"/>
        <v/>
      </c>
      <c r="L266" s="174" t="str">
        <f t="shared" si="24"/>
        <v/>
      </c>
      <c r="M266" s="174" t="str">
        <f t="shared" si="24"/>
        <v/>
      </c>
      <c r="N266" s="174" t="str">
        <f t="shared" si="24"/>
        <v/>
      </c>
      <c r="O266" s="174" t="str">
        <f t="shared" si="24"/>
        <v/>
      </c>
      <c r="P266" s="174" t="str">
        <f t="shared" si="24"/>
        <v/>
      </c>
      <c r="Q266" s="174" t="str">
        <f t="shared" si="24"/>
        <v/>
      </c>
      <c r="R266" s="174" t="str">
        <f t="shared" si="24"/>
        <v/>
      </c>
      <c r="S266" s="174" t="str">
        <f t="shared" si="24"/>
        <v/>
      </c>
      <c r="T266" s="174" t="str">
        <f t="shared" si="24"/>
        <v/>
      </c>
      <c r="U266" s="174" t="str">
        <f t="shared" si="24"/>
        <v/>
      </c>
      <c r="V266" s="174" t="str">
        <f t="shared" si="24"/>
        <v/>
      </c>
      <c r="W266" s="174" t="str">
        <f t="shared" si="24"/>
        <v/>
      </c>
      <c r="X266" s="174" t="str">
        <f t="shared" si="24"/>
        <v/>
      </c>
      <c r="Y266" s="174" t="str">
        <f t="shared" si="24"/>
        <v/>
      </c>
      <c r="Z266" s="174" t="str">
        <f t="shared" si="24"/>
        <v/>
      </c>
      <c r="AA266" s="174" t="str">
        <f t="shared" si="24"/>
        <v/>
      </c>
      <c r="AB266" s="174" t="str">
        <f t="shared" si="24"/>
        <v/>
      </c>
      <c r="AC266" s="174" t="str">
        <f t="shared" si="24"/>
        <v/>
      </c>
      <c r="AD266" s="174" t="str">
        <f t="shared" si="24"/>
        <v/>
      </c>
      <c r="AE266" s="174" t="str">
        <f t="shared" si="24"/>
        <v/>
      </c>
      <c r="AF266" s="174" t="str">
        <f t="shared" si="24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5">IF(B234&lt;100,"",B234-1500)</f>
        <v/>
      </c>
      <c r="C267" s="174" t="str">
        <f t="shared" si="25"/>
        <v/>
      </c>
      <c r="D267" s="174" t="str">
        <f t="shared" si="25"/>
        <v/>
      </c>
      <c r="E267" s="174" t="str">
        <f t="shared" si="25"/>
        <v/>
      </c>
      <c r="F267" s="174" t="str">
        <f t="shared" si="25"/>
        <v/>
      </c>
      <c r="G267" s="174" t="str">
        <f t="shared" si="25"/>
        <v/>
      </c>
      <c r="H267" s="174" t="str">
        <f t="shared" si="25"/>
        <v/>
      </c>
      <c r="I267" s="174" t="str">
        <f t="shared" si="25"/>
        <v/>
      </c>
      <c r="J267" s="174" t="str">
        <f t="shared" si="25"/>
        <v/>
      </c>
      <c r="K267" s="174" t="str">
        <f t="shared" si="25"/>
        <v/>
      </c>
      <c r="L267" s="174" t="str">
        <f t="shared" si="25"/>
        <v/>
      </c>
      <c r="M267" s="174" t="str">
        <f t="shared" si="25"/>
        <v/>
      </c>
      <c r="N267" s="174" t="str">
        <f t="shared" si="25"/>
        <v/>
      </c>
      <c r="O267" s="174" t="str">
        <f t="shared" si="25"/>
        <v/>
      </c>
      <c r="P267" s="174" t="str">
        <f t="shared" si="25"/>
        <v/>
      </c>
      <c r="Q267" s="174" t="str">
        <f t="shared" si="25"/>
        <v/>
      </c>
      <c r="R267" s="174" t="str">
        <f t="shared" si="25"/>
        <v/>
      </c>
      <c r="S267" s="174" t="str">
        <f t="shared" si="25"/>
        <v/>
      </c>
      <c r="T267" s="174" t="str">
        <f t="shared" si="25"/>
        <v/>
      </c>
      <c r="U267" s="174" t="str">
        <f t="shared" si="25"/>
        <v/>
      </c>
      <c r="V267" s="174" t="str">
        <f t="shared" si="25"/>
        <v/>
      </c>
      <c r="W267" s="174" t="str">
        <f t="shared" si="25"/>
        <v/>
      </c>
      <c r="X267" s="174" t="str">
        <f t="shared" si="25"/>
        <v/>
      </c>
      <c r="Y267" s="174" t="str">
        <f t="shared" si="25"/>
        <v/>
      </c>
      <c r="Z267" s="174" t="str">
        <f t="shared" si="25"/>
        <v/>
      </c>
      <c r="AA267" s="174" t="str">
        <f t="shared" si="25"/>
        <v/>
      </c>
      <c r="AB267" s="174" t="str">
        <f t="shared" si="25"/>
        <v/>
      </c>
      <c r="AC267" s="174" t="str">
        <f t="shared" si="25"/>
        <v/>
      </c>
      <c r="AD267" s="174" t="str">
        <f t="shared" si="25"/>
        <v/>
      </c>
      <c r="AE267" s="174" t="str">
        <f t="shared" si="25"/>
        <v/>
      </c>
      <c r="AF267" s="174" t="str">
        <f t="shared" si="25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29">
    <cfRule type="expression" dxfId="298" priority="209">
      <formula>$AH11=0</formula>
    </cfRule>
  </conditionalFormatting>
  <conditionalFormatting sqref="B8 M8 S8 AB8">
    <cfRule type="expression" dxfId="297" priority="330">
      <formula>AND(C$9&gt;=14/24,C$9&lt;20/24)</formula>
    </cfRule>
    <cfRule type="expression" dxfId="296" priority="332">
      <formula>C$9&lt;8/24</formula>
    </cfRule>
    <cfRule type="expression" dxfId="295" priority="331">
      <formula>AND(C$9&gt;=8/24,C$9&lt;14/24)</formula>
    </cfRule>
  </conditionalFormatting>
  <conditionalFormatting sqref="B49:B54">
    <cfRule type="expression" dxfId="294" priority="55">
      <formula>AND(B$9&gt;=14/24,B$9&lt;20/24)</formula>
    </cfRule>
    <cfRule type="expression" dxfId="293" priority="54">
      <formula>B$9&gt;=20/24</formula>
    </cfRule>
    <cfRule type="expression" dxfId="292" priority="57">
      <formula>B$9&lt;8/24</formula>
    </cfRule>
    <cfRule type="expression" dxfId="291" priority="56">
      <formula>AND(B$9&gt;=8/24,B$9&lt;14/24)</formula>
    </cfRule>
  </conditionalFormatting>
  <conditionalFormatting sqref="B66:B72 B87:AF103">
    <cfRule type="expression" dxfId="290" priority="27">
      <formula>B$9&lt;8/24</formula>
    </cfRule>
    <cfRule type="expression" dxfId="289" priority="25">
      <formula>AND(B$9&gt;=14/24,B$9&lt;20/24)</formula>
    </cfRule>
    <cfRule type="expression" dxfId="288" priority="26">
      <formula>AND(B$9&gt;=8/24,B$9&lt;14/24)</formula>
    </cfRule>
    <cfRule type="expression" dxfId="287" priority="24">
      <formula>B$9&gt;=20/24</formula>
    </cfRule>
  </conditionalFormatting>
  <conditionalFormatting sqref="B11:D41 E17:W41">
    <cfRule type="expression" dxfId="282" priority="88">
      <formula>AND(B$9&gt;=8/24,B$9&lt;14/24)</formula>
    </cfRule>
    <cfRule type="expression" dxfId="281" priority="85">
      <formula>B11&gt;$AG11</formula>
    </cfRule>
    <cfRule type="expression" dxfId="280" priority="86">
      <formula>B$9&gt;=20/24</formula>
    </cfRule>
    <cfRule type="expression" dxfId="279" priority="87">
      <formula>AND(B$9&gt;=14/24,B$9&lt;20/24)</formula>
    </cfRule>
    <cfRule type="expression" dxfId="278" priority="89">
      <formula>B$9&lt;8/24</formula>
    </cfRule>
  </conditionalFormatting>
  <conditionalFormatting sqref="B49:V54">
    <cfRule type="expression" dxfId="277" priority="53">
      <formula>B49&gt;$AG49</formula>
    </cfRule>
  </conditionalFormatting>
  <conditionalFormatting sqref="B42:W42">
    <cfRule type="expression" dxfId="276" priority="62">
      <formula>B$9&lt;8/24</formula>
    </cfRule>
    <cfRule type="expression" dxfId="275" priority="60">
      <formula>AND(B$9&gt;=14/24,B$9&lt;20/24)</formula>
    </cfRule>
    <cfRule type="expression" dxfId="274" priority="59">
      <formula>B$9&gt;=20/24</formula>
    </cfRule>
    <cfRule type="expression" dxfId="273" priority="58">
      <formula>B42&gt;$AG42</formula>
    </cfRule>
    <cfRule type="expression" dxfId="272" priority="61">
      <formula>AND(B$9&gt;=8/24,B$9&lt;14/24)</formula>
    </cfRule>
  </conditionalFormatting>
  <conditionalFormatting sqref="B55:W60">
    <cfRule type="expression" dxfId="271" priority="5">
      <formula>B55&gt;$AG55</formula>
    </cfRule>
    <cfRule type="expression" dxfId="270" priority="7">
      <formula>AND(B$9&gt;=14/24,B$9&lt;20/24)</formula>
    </cfRule>
    <cfRule type="expression" dxfId="269" priority="8">
      <formula>AND(B$9&gt;=8/24,B$9&lt;14/24)</formula>
    </cfRule>
    <cfRule type="expression" dxfId="268" priority="9">
      <formula>B$9&lt;8/24</formula>
    </cfRule>
    <cfRule type="expression" dxfId="267" priority="6">
      <formula>B$9&gt;=20/24</formula>
    </cfRule>
  </conditionalFormatting>
  <conditionalFormatting sqref="B9:AF10 B220:AF220 D222:AF223 B222:B228 D224:H224 J224:AF224 D225:AF228 U241:AF241">
    <cfRule type="expression" dxfId="266" priority="326">
      <formula>B$9&lt;8/24</formula>
    </cfRule>
    <cfRule type="expression" dxfId="265" priority="325">
      <formula>AND(B$9&gt;=8/24,B$9&lt;14/24)</formula>
    </cfRule>
    <cfRule type="expression" dxfId="264" priority="324">
      <formula>AND(B$9&gt;=14/24,B$9&lt;20/24)</formula>
    </cfRule>
    <cfRule type="expression" dxfId="263" priority="323">
      <formula>B$9&gt;=20/24</formula>
    </cfRule>
  </conditionalFormatting>
  <conditionalFormatting sqref="B43:AF43 B63:AF65">
    <cfRule type="expression" dxfId="262" priority="71">
      <formula>B$9&lt;8/24</formula>
    </cfRule>
    <cfRule type="expression" dxfId="261" priority="70">
      <formula>AND(B$9&gt;=8/24,B$9&lt;14/24)</formula>
    </cfRule>
    <cfRule type="expression" dxfId="260" priority="69">
      <formula>AND(B$9&gt;=14/24,B$9&lt;20/24)</formula>
    </cfRule>
  </conditionalFormatting>
  <conditionalFormatting sqref="B43:AF48">
    <cfRule type="expression" dxfId="259" priority="14">
      <formula>B43&gt;$AG43</formula>
    </cfRule>
  </conditionalFormatting>
  <conditionalFormatting sqref="B45:AF48">
    <cfRule type="expression" dxfId="258" priority="15">
      <formula>B$9&gt;=20/24</formula>
    </cfRule>
    <cfRule type="expression" dxfId="257" priority="16">
      <formula>AND(B$9&gt;=14/24,B$9&lt;20/24)</formula>
    </cfRule>
    <cfRule type="expression" dxfId="256" priority="18">
      <formula>B$9&lt;8/24</formula>
    </cfRule>
    <cfRule type="expression" dxfId="255" priority="17">
      <formula>AND(B$9&gt;=8/24,B$9&lt;14/24)</formula>
    </cfRule>
  </conditionalFormatting>
  <conditionalFormatting sqref="B63:AF65 B43:AF43">
    <cfRule type="expression" dxfId="254" priority="68">
      <formula>B$9&gt;=20/24</formula>
    </cfRule>
  </conditionalFormatting>
  <conditionalFormatting sqref="B63:AF65">
    <cfRule type="expression" dxfId="253" priority="67">
      <formula>B63&gt;$AG63</formula>
    </cfRule>
  </conditionalFormatting>
  <conditionalFormatting sqref="B73:AF85">
    <cfRule type="expression" dxfId="252" priority="2">
      <formula>AND(B$9&gt;=14/24,B$9&lt;20/24)</formula>
    </cfRule>
    <cfRule type="expression" dxfId="251" priority="3">
      <formula>AND(B$9&gt;=8/24,B$9&lt;14/24)</formula>
    </cfRule>
    <cfRule type="expression" dxfId="250" priority="4">
      <formula>B$9&lt;8/24</formula>
    </cfRule>
    <cfRule type="expression" dxfId="249" priority="1">
      <formula>B$9&gt;=20/24</formula>
    </cfRule>
  </conditionalFormatting>
  <conditionalFormatting sqref="B105:AF112">
    <cfRule type="expression" dxfId="244" priority="33">
      <formula>AND(B$9&gt;=14/24,B$9&lt;20/24)</formula>
    </cfRule>
    <cfRule type="expression" dxfId="243" priority="35">
      <formula>B$9&lt;8/24</formula>
    </cfRule>
    <cfRule type="expression" dxfId="242" priority="34">
      <formula>AND(B$9&gt;=8/24,B$9&lt;14/24)</formula>
    </cfRule>
    <cfRule type="expression" dxfId="241" priority="32">
      <formula>B$9&gt;=20/24</formula>
    </cfRule>
  </conditionalFormatting>
  <conditionalFormatting sqref="B61:AG62 B66:AG66">
    <cfRule type="expression" dxfId="240" priority="23">
      <formula>B61&gt;$AG61</formula>
    </cfRule>
  </conditionalFormatting>
  <conditionalFormatting sqref="C67:D72 E70:W72 X71:AF72">
    <cfRule type="expression" dxfId="239" priority="178">
      <formula>C$9&lt;8/24</formula>
    </cfRule>
  </conditionalFormatting>
  <conditionalFormatting sqref="C68:D72 E70:W72 X71:AF72">
    <cfRule type="expression" dxfId="238" priority="177">
      <formula>AND(C$9&gt;=8/24,C$9&lt;14/24)</formula>
    </cfRule>
    <cfRule type="expression" dxfId="237" priority="176">
      <formula>AND(C$9&gt;=14/24,C$9&lt;20/24)</formula>
    </cfRule>
    <cfRule type="expression" dxfId="236" priority="175">
      <formula>C$9&gt;=20/24</formula>
    </cfRule>
  </conditionalFormatting>
  <conditionalFormatting sqref="C49:L51">
    <cfRule type="expression" dxfId="235" priority="181">
      <formula>AND(C$9&gt;=14/24,C$9&lt;20/24)</formula>
    </cfRule>
    <cfRule type="expression" dxfId="234" priority="180">
      <formula>C$9&gt;=20/24</formula>
    </cfRule>
    <cfRule type="expression" dxfId="233" priority="183">
      <formula>C$9&lt;8/24</formula>
    </cfRule>
    <cfRule type="expression" dxfId="232" priority="182">
      <formula>AND(C$9&gt;=8/24,C$9&lt;14/24)</formula>
    </cfRule>
  </conditionalFormatting>
  <conditionalFormatting sqref="C54:R54">
    <cfRule type="expression" dxfId="231" priority="171">
      <formula>AND(C$9&gt;=14/24,C$9&lt;20/24)</formula>
    </cfRule>
    <cfRule type="expression" dxfId="230" priority="173">
      <formula>C$9&lt;8/24</formula>
    </cfRule>
    <cfRule type="expression" dxfId="229" priority="172">
      <formula>AND(C$9&gt;=8/24,C$9&lt;14/24)</formula>
    </cfRule>
    <cfRule type="expression" dxfId="228" priority="170">
      <formula>C$9&gt;=20/24</formula>
    </cfRule>
  </conditionalFormatting>
  <conditionalFormatting sqref="C66:AF66">
    <cfRule type="expression" dxfId="227" priority="159">
      <formula>C$9&lt;8/24</formula>
    </cfRule>
  </conditionalFormatting>
  <conditionalFormatting sqref="C66:AF67">
    <cfRule type="expression" dxfId="226" priority="158">
      <formula>AND(C$9&gt;=8/24,C$9&lt;14/24)</formula>
    </cfRule>
    <cfRule type="expression" dxfId="225" priority="157">
      <formula>AND(C$9&gt;=14/24,C$9&lt;20/24)</formula>
    </cfRule>
    <cfRule type="expression" dxfId="224" priority="156">
      <formula>C$9&gt;=20/24</formula>
    </cfRule>
  </conditionalFormatting>
  <conditionalFormatting sqref="E11:W11">
    <cfRule type="expression" dxfId="219" priority="111">
      <formula>E$9&gt;=20/24</formula>
    </cfRule>
    <cfRule type="expression" dxfId="218" priority="114">
      <formula>E$9&lt;8/24</formula>
    </cfRule>
    <cfRule type="expression" dxfId="217" priority="113">
      <formula>AND(E$9&gt;=8/24,E$9&lt;14/24)</formula>
    </cfRule>
    <cfRule type="expression" dxfId="216" priority="112">
      <formula>AND(E$9&gt;=14/24,E$9&lt;20/24)</formula>
    </cfRule>
  </conditionalFormatting>
  <conditionalFormatting sqref="E11:W16">
    <cfRule type="expression" dxfId="215" priority="110">
      <formula>E11&gt;$AG11</formula>
    </cfRule>
  </conditionalFormatting>
  <conditionalFormatting sqref="E12:W14">
    <cfRule type="expression" dxfId="214" priority="106">
      <formula>E$9&gt;=20/24</formula>
    </cfRule>
    <cfRule type="expression" dxfId="213" priority="108">
      <formula>AND(E$9&gt;=8/24,E$9&lt;14/24)</formula>
    </cfRule>
    <cfRule type="expression" dxfId="212" priority="109">
      <formula>E$9&lt;8/24</formula>
    </cfRule>
    <cfRule type="expression" dxfId="211" priority="107">
      <formula>AND(E$9&gt;=14/24,E$9&lt;20/24)</formula>
    </cfRule>
  </conditionalFormatting>
  <conditionalFormatting sqref="E15:W16">
    <cfRule type="expression" dxfId="210" priority="200">
      <formula>E$9&lt;8/24</formula>
    </cfRule>
    <cfRule type="expression" dxfId="209" priority="199">
      <formula>AND(E$9&gt;=8/24,E$9&lt;14/24)</formula>
    </cfRule>
    <cfRule type="expression" dxfId="208" priority="197">
      <formula>E$9&gt;=20/24</formula>
    </cfRule>
    <cfRule type="expression" dxfId="207" priority="198">
      <formula>AND(E$9&gt;=14/24,E$9&lt;20/24)</formula>
    </cfRule>
  </conditionalFormatting>
  <conditionalFormatting sqref="E68:Y69 Z68:AF70 X70:Y70">
    <cfRule type="expression" dxfId="206" priority="286">
      <formula>AND(E$9&gt;=8/24,E$9&lt;14/24)</formula>
    </cfRule>
    <cfRule type="expression" dxfId="205" priority="287">
      <formula>E$9&lt;8/24</formula>
    </cfRule>
    <cfRule type="expression" dxfId="204" priority="284">
      <formula>E$9&gt;=20/24</formula>
    </cfRule>
    <cfRule type="expression" dxfId="203" priority="285">
      <formula>AND(E$9&gt;=14/24,E$9&lt;20/24)</formula>
    </cfRule>
  </conditionalFormatting>
  <conditionalFormatting sqref="M49:R52 AB49:AF53">
    <cfRule type="expression" dxfId="202" priority="290">
      <formula>AND(M$9&gt;=14/24,M$9&lt;20/24)</formula>
    </cfRule>
    <cfRule type="expression" dxfId="201" priority="291">
      <formula>AND(M$9&gt;=8/24,M$9&lt;14/24)</formula>
    </cfRule>
    <cfRule type="expression" dxfId="200" priority="292">
      <formula>M$9&lt;8/24</formula>
    </cfRule>
  </conditionalFormatting>
  <conditionalFormatting sqref="O3:P3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199" priority="329">
      <formula>C$9&gt;=20/24</formula>
    </cfRule>
  </conditionalFormatting>
  <conditionalFormatting sqref="S8">
    <cfRule type="expression" dxfId="198" priority="304">
      <formula>AND(U$9&gt;=8/24,U$9&lt;14/24)</formula>
    </cfRule>
    <cfRule type="expression" dxfId="197" priority="303">
      <formula>AND(U$9&gt;=14/24,U$9&lt;20/24)</formula>
    </cfRule>
    <cfRule type="expression" dxfId="196" priority="305">
      <formula>U$9&lt;8/24</formula>
    </cfRule>
    <cfRule type="expression" dxfId="195" priority="302">
      <formula>U$9&gt;=20/24</formula>
    </cfRule>
  </conditionalFormatting>
  <conditionalFormatting sqref="T241">
    <cfRule type="expression" dxfId="194" priority="345">
      <formula>AX$9&lt;8/24</formula>
    </cfRule>
    <cfRule type="expression" dxfId="193" priority="344">
      <formula>AND(AX$9&gt;=8/24,AX$9&lt;14/24)</formula>
    </cfRule>
    <cfRule type="expression" dxfId="192" priority="343">
      <formula>AND(AX$9&gt;=14/24,AX$9&lt;20/24)</formula>
    </cfRule>
    <cfRule type="expression" dxfId="191" priority="342">
      <formula>AX$9&gt;=20/24</formula>
    </cfRule>
  </conditionalFormatting>
  <conditionalFormatting sqref="V3 AB3">
    <cfRule type="iconSet" priority="328">
      <iconSet iconSet="3TrafficLights2" reverse="1">
        <cfvo type="percent" val="0"/>
        <cfvo type="num" val="1"/>
        <cfvo type="num" val="1"/>
      </iconSet>
    </cfRule>
  </conditionalFormatting>
  <conditionalFormatting sqref="W49:AA51 S49:V54 W52:W54">
    <cfRule type="expression" dxfId="190" priority="280">
      <formula>AND(S$9&gt;=14/24,S$9&lt;20/24)</formula>
    </cfRule>
    <cfRule type="expression" dxfId="189" priority="281">
      <formula>AND(S$9&gt;=8/24,S$9&lt;14/24)</formula>
    </cfRule>
    <cfRule type="expression" dxfId="188" priority="282">
      <formula>S$9&lt;8/24</formula>
    </cfRule>
  </conditionalFormatting>
  <conditionalFormatting sqref="W49:AA51 W52:W54 S49:V54">
    <cfRule type="expression" dxfId="187" priority="279">
      <formula>S$9&gt;=20/24</formula>
    </cfRule>
  </conditionalFormatting>
  <conditionalFormatting sqref="W49:AA51 W52:W54">
    <cfRule type="expression" dxfId="186" priority="278">
      <formula>W49&gt;$AG49</formula>
    </cfRule>
  </conditionalFormatting>
  <conditionalFormatting sqref="X52:AA53 E67:AF67">
    <cfRule type="expression" dxfId="185" priority="296">
      <formula>E$9&lt;8/24</formula>
    </cfRule>
  </conditionalFormatting>
  <conditionalFormatting sqref="X52:AA53">
    <cfRule type="expression" dxfId="184" priority="295">
      <formula>AND(X$9&gt;=8/24,X$9&lt;14/24)</formula>
    </cfRule>
    <cfRule type="expression" dxfId="183" priority="293">
      <formula>X$9&gt;=20/24</formula>
    </cfRule>
    <cfRule type="expression" dxfId="182" priority="294">
      <formula>AND(X$9&gt;=14/24,X$9&lt;20/24)</formula>
    </cfRule>
  </conditionalFormatting>
  <conditionalFormatting sqref="X11:AF42">
    <cfRule type="expression" dxfId="181" priority="268">
      <formula>X$9&lt;8/24</formula>
    </cfRule>
    <cfRule type="expression" dxfId="180" priority="267">
      <formula>AND(X$9&gt;=8/24,X$9&lt;14/24)</formula>
    </cfRule>
    <cfRule type="expression" dxfId="179" priority="266">
      <formula>AND(X$9&gt;=14/24,X$9&lt;20/24)</formula>
    </cfRule>
    <cfRule type="expression" dxfId="178" priority="265">
      <formula>X$9&gt;=20/24</formula>
    </cfRule>
    <cfRule type="expression" dxfId="177" priority="260">
      <formula>X11&gt;$AG11</formula>
    </cfRule>
  </conditionalFormatting>
  <conditionalFormatting sqref="X54:AF60">
    <cfRule type="expression" dxfId="176" priority="120">
      <formula>X$9&lt;8/24</formula>
    </cfRule>
    <cfRule type="expression" dxfId="175" priority="119">
      <formula>AND(X$9&gt;=8/24,X$9&lt;14/24)</formula>
    </cfRule>
    <cfRule type="expression" dxfId="174" priority="117">
      <formula>X$9&gt;=20/24</formula>
    </cfRule>
    <cfRule type="expression" dxfId="173" priority="116">
      <formula>X54&gt;$AG54</formula>
    </cfRule>
    <cfRule type="expression" dxfId="172" priority="118">
      <formula>AND(X$9&gt;=14/24,X$9&lt;20/24)</formula>
    </cfRule>
  </conditionalFormatting>
  <conditionalFormatting sqref="AB8">
    <cfRule type="expression" dxfId="171" priority="301">
      <formula>AD$9&lt;8/24</formula>
    </cfRule>
    <cfRule type="expression" dxfId="170" priority="299">
      <formula>AND(AD$9&gt;=14/24,AD$9&lt;20/24)</formula>
    </cfRule>
    <cfRule type="expression" dxfId="169" priority="300">
      <formula>AND(AD$9&gt;=8/24,AD$9&lt;14/24)</formula>
    </cfRule>
    <cfRule type="expression" dxfId="168" priority="298">
      <formula>AD$9&gt;=20/24</formula>
    </cfRule>
  </conditionalFormatting>
  <conditionalFormatting sqref="AB49:AF53 M49:R52">
    <cfRule type="expression" dxfId="167" priority="289">
      <formula>M$9&gt;=20/24</formula>
    </cfRule>
  </conditionalFormatting>
  <conditionalFormatting sqref="AB49:AF53 X52:AA53">
    <cfRule type="expression" dxfId="166" priority="288">
      <formula>X49&gt;$AG49</formula>
    </cfRule>
  </conditionalFormatting>
  <conditionalFormatting sqref="AG44">
    <cfRule type="expression" dxfId="165" priority="255">
      <formula>AG44&gt;$AG44</formula>
    </cfRule>
  </conditionalFormatting>
  <conditionalFormatting sqref="AG48">
    <cfRule type="expression" dxfId="164" priority="235">
      <formula>AG48&gt;$AG48</formula>
    </cfRule>
    <cfRule type="expression" dxfId="163" priority="236">
      <formula>AG$9&gt;=20/24</formula>
    </cfRule>
    <cfRule type="expression" dxfId="162" priority="237">
      <formula>AND(AG$9&gt;=14/24,AG$9&lt;20/24)</formula>
    </cfRule>
    <cfRule type="expression" dxfId="161" priority="238">
      <formula>AND(AG$9&gt;=8/24,AG$9&lt;14/24)</formula>
    </cfRule>
    <cfRule type="expression" dxfId="160" priority="239">
      <formula>AG$9&lt;8/24</formula>
    </cfRule>
  </conditionalFormatting>
  <conditionalFormatting sqref="AG66 AG83">
    <cfRule type="expression" dxfId="159" priority="256">
      <formula>AG$9&gt;=20/24</formula>
    </cfRule>
    <cfRule type="expression" dxfId="158" priority="258">
      <formula>AND(AG$9&gt;=8/24,AG$9&lt;14/24)</formula>
    </cfRule>
    <cfRule type="expression" dxfId="157" priority="259">
      <formula>AG$9&lt;8/24</formula>
    </cfRule>
    <cfRule type="expression" dxfId="156" priority="257">
      <formula>AND(AG$9&gt;=14/24,AG$9&lt;20/24)</formula>
    </cfRule>
  </conditionalFormatting>
  <conditionalFormatting sqref="AG241">
    <cfRule type="expression" dxfId="155" priority="334">
      <formula>B$9&gt;=20/24</formula>
    </cfRule>
    <cfRule type="expression" dxfId="154" priority="335">
      <formula>AND(B$9&gt;=14/24,B$9&lt;20/24)</formula>
    </cfRule>
    <cfRule type="expression" dxfId="153" priority="336">
      <formula>AND(B$9&gt;=8/24,B$9&lt;14/24)</formula>
    </cfRule>
    <cfRule type="expression" dxfId="152" priority="337">
      <formula>B$9&lt;8/24</formula>
    </cfRule>
  </conditionalFormatting>
  <conditionalFormatting sqref="AH241:AX241">
    <cfRule type="expression" dxfId="151" priority="340">
      <formula>AND(AG$9&gt;=8/24,AG$9&lt;14/24)</formula>
    </cfRule>
    <cfRule type="expression" dxfId="150" priority="338">
      <formula>AG$9&gt;=20/24</formula>
    </cfRule>
    <cfRule type="expression" dxfId="149" priority="339">
      <formula>AND(AG$9&gt;=14/24,AG$9&lt;20/24)</formula>
    </cfRule>
    <cfRule type="expression" dxfId="148" priority="341">
      <formula>AG$9&lt;8/24</formula>
    </cfRule>
  </conditionalFormatting>
  <conditionalFormatting sqref="AL4:AL6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212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210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318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306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346">
      <iconSet iconSet="3TrafficLights2" reverse="1">
        <cfvo type="percent" val="0"/>
        <cfvo type="num" val="1"/>
        <cfvo type="num" val="1"/>
      </iconSet>
    </cfRule>
  </conditionalFormatting>
  <conditionalFormatting sqref="AL75:AM79">
    <cfRule type="expression" dxfId="147" priority="350">
      <formula>AJ$9&lt;8/24</formula>
    </cfRule>
    <cfRule type="expression" dxfId="146" priority="349">
      <formula>AND(AJ$9&gt;=8/24,AJ$9&lt;14/24)</formula>
    </cfRule>
    <cfRule type="expression" dxfId="145" priority="347">
      <formula>AJ$9&gt;=20/24</formula>
    </cfRule>
    <cfRule type="expression" dxfId="144" priority="348">
      <formula>AND(AJ$9&gt;=14/24,AJ$9&lt;20/24)</formula>
    </cfRule>
  </conditionalFormatting>
  <conditionalFormatting sqref="AL74:AN74 AL80:AN80">
    <cfRule type="expression" dxfId="143" priority="97">
      <formula>AL$9&lt;8/24</formula>
    </cfRule>
    <cfRule type="expression" dxfId="142" priority="95">
      <formula>AND(AL$9&gt;=14/24,AL$9&lt;20/24)</formula>
    </cfRule>
    <cfRule type="expression" dxfId="141" priority="94">
      <formula>AL$9&gt;=20/24</formula>
    </cfRule>
    <cfRule type="expression" dxfId="140" priority="96">
      <formula>AND(AL$9&gt;=8/24,AL$9&lt;14/24)</formula>
    </cfRule>
  </conditionalFormatting>
  <conditionalFormatting sqref="AN75:AN78">
    <cfRule type="expression" dxfId="139" priority="90">
      <formula>AN$9&gt;=20/24</formula>
    </cfRule>
    <cfRule type="expression" dxfId="138" priority="91">
      <formula>AND(AN$9&gt;=14/24,AN$9&lt;20/24)</formula>
    </cfRule>
    <cfRule type="expression" dxfId="137" priority="92">
      <formula>AND(AN$9&gt;=8/24,AN$9&lt;14/24)</formula>
    </cfRule>
    <cfRule type="expression" dxfId="136" priority="93">
      <formula>AN$9&lt;8/24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7" id="{6D180075-E8B9-4590-9F59-9E0C3A1AC9CE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1AFEBE68-F492-4B69-84F0-35B962B021F5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9D92A550-71CA-4D0A-B35E-DE565892F96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36" id="{0940CF8E-17E0-424B-9772-480DC8DEDD9F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m:sqref>B113:C113</xm:sqref>
        </x14:conditionalFormatting>
        <x14:conditionalFormatting xmlns:xm="http://schemas.microsoft.com/office/excel/2006/main">
          <x14:cfRule type="expression" priority="13" id="{499E32BB-2FAD-41C9-BC4B-B908CE32A85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2" id="{937FF418-566B-482B-895F-069757B1277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1" id="{BC4BFE82-820A-4057-B18C-0C7536A8DB6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0" id="{2DC0BF19-243E-4054-A2F2-36796845F2D1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226" id="{4588DAEA-0725-4705-9024-69E909F3D024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223" id="{F248314F-049D-43E5-B16E-0533A7AF3A6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24" id="{8611AEA3-B9C5-4F6A-9B50-48D5F822B42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25" id="{69299F02-EB17-4986-AE00-925A50111DD0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m:sqref>D113:AF113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J274"/>
  <sheetViews>
    <sheetView workbookViewId="0">
      <pane ySplit="10" topLeftCell="A47" activePane="bottomLeft" state="frozen"/>
      <selection activeCell="U80" sqref="U80"/>
      <selection pane="bottomLeft" activeCell="AH11" sqref="AH11:AI11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/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str">
        <f ca="1">"2079/"&amp;"09/"&amp;INT(MID(CELL("filename",D6),FIND("]",CELL("filename",D6))+1,200))</f>
        <v>2079/09/8</v>
      </c>
      <c r="C4" s="771"/>
      <c r="D4" s="771"/>
      <c r="E4" s="772" t="str">
        <f ca="1">"2079/"&amp;"09/"&amp;INT(MID(CELL("filename",G6),FIND("]",CELL("filename",G6))+1,200))</f>
        <v>2079/09/8</v>
      </c>
      <c r="F4" s="772"/>
      <c r="G4" s="772"/>
      <c r="H4" s="772" t="str">
        <f ca="1">TEXT(E4,"dddd")</f>
        <v>Friday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416.09999999999997</v>
      </c>
      <c r="C5" s="30">
        <f t="shared" si="0"/>
        <v>405.70000000000005</v>
      </c>
      <c r="D5" s="30">
        <f t="shared" si="0"/>
        <v>372.8</v>
      </c>
      <c r="E5" s="30">
        <f t="shared" si="0"/>
        <v>386</v>
      </c>
      <c r="F5" s="30">
        <f t="shared" si="0"/>
        <v>411</v>
      </c>
      <c r="G5" s="30">
        <f t="shared" si="0"/>
        <v>433.90000000000003</v>
      </c>
      <c r="H5" s="30">
        <f t="shared" si="0"/>
        <v>428.00000000000006</v>
      </c>
      <c r="I5" s="30">
        <f t="shared" si="0"/>
        <v>460.8</v>
      </c>
      <c r="J5" s="30">
        <f t="shared" si="0"/>
        <v>426</v>
      </c>
      <c r="K5" s="30">
        <f t="shared" si="0"/>
        <v>418.9</v>
      </c>
      <c r="L5" s="30">
        <f t="shared" si="0"/>
        <v>400.29999999999995</v>
      </c>
      <c r="M5" s="30">
        <f t="shared" si="0"/>
        <v>386.4</v>
      </c>
      <c r="N5" s="30">
        <f t="shared" si="0"/>
        <v>391.4</v>
      </c>
      <c r="O5" s="30">
        <f t="shared" si="0"/>
        <v>463.4</v>
      </c>
      <c r="P5" s="30">
        <f t="shared" si="0"/>
        <v>463.69999999999993</v>
      </c>
      <c r="Q5" s="30">
        <f t="shared" si="0"/>
        <v>491.3</v>
      </c>
      <c r="R5" s="30">
        <f t="shared" si="0"/>
        <v>492</v>
      </c>
      <c r="S5" s="30">
        <f t="shared" si="0"/>
        <v>535</v>
      </c>
      <c r="T5" s="30">
        <f t="shared" si="0"/>
        <v>523</v>
      </c>
      <c r="U5" s="30">
        <f t="shared" si="0"/>
        <v>391.4</v>
      </c>
      <c r="V5" s="30">
        <f t="shared" si="0"/>
        <v>385</v>
      </c>
      <c r="W5" s="30">
        <f t="shared" si="0"/>
        <v>383</v>
      </c>
      <c r="X5" s="30">
        <f t="shared" si="0"/>
        <v>382.4</v>
      </c>
      <c r="Y5" s="30">
        <f t="shared" si="0"/>
        <v>426.8</v>
      </c>
      <c r="Z5" s="30">
        <f t="shared" si="0"/>
        <v>410</v>
      </c>
      <c r="AA5" s="30">
        <f t="shared" si="0"/>
        <v>427</v>
      </c>
      <c r="AB5" s="30">
        <f t="shared" si="0"/>
        <v>425.29999999999995</v>
      </c>
      <c r="AC5" s="30">
        <f t="shared" si="0"/>
        <v>400.3</v>
      </c>
      <c r="AD5" s="30">
        <f t="shared" si="0"/>
        <v>405.3</v>
      </c>
      <c r="AE5" s="30">
        <f t="shared" si="0"/>
        <v>430.7</v>
      </c>
      <c r="AF5" s="30">
        <f>B78</f>
        <v>357.7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1626MW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Load=978</v>
      </c>
      <c r="B7" s="35">
        <f t="shared" ref="B7:AF7" si="1">B85</f>
        <v>1092.04</v>
      </c>
      <c r="C7" s="35">
        <f t="shared" si="1"/>
        <v>1024.54</v>
      </c>
      <c r="D7" s="35">
        <f t="shared" si="1"/>
        <v>1011.44</v>
      </c>
      <c r="E7" s="35">
        <f t="shared" si="1"/>
        <v>978.33999999999992</v>
      </c>
      <c r="F7" s="35">
        <f t="shared" si="1"/>
        <v>998.24</v>
      </c>
      <c r="G7" s="35">
        <f t="shared" si="1"/>
        <v>1058.24</v>
      </c>
      <c r="H7" s="35">
        <f t="shared" si="1"/>
        <v>1137.74</v>
      </c>
      <c r="I7" s="35">
        <f t="shared" si="1"/>
        <v>1199.24</v>
      </c>
      <c r="J7" s="35">
        <f t="shared" si="1"/>
        <v>1275.3399999999999</v>
      </c>
      <c r="K7" s="35">
        <f t="shared" si="1"/>
        <v>1436.3400000000001</v>
      </c>
      <c r="L7" s="35">
        <f t="shared" si="1"/>
        <v>1489.1399999999999</v>
      </c>
      <c r="M7" s="35">
        <f t="shared" si="1"/>
        <v>1625.6399999999999</v>
      </c>
      <c r="N7" s="35">
        <f>N85</f>
        <v>1623.94</v>
      </c>
      <c r="O7" s="35">
        <f t="shared" si="1"/>
        <v>1543.54</v>
      </c>
      <c r="P7" s="35">
        <f t="shared" si="1"/>
        <v>1374.8399999999997</v>
      </c>
      <c r="Q7" s="35">
        <f>Q85</f>
        <v>1374.9399999999998</v>
      </c>
      <c r="R7" s="35">
        <f t="shared" si="1"/>
        <v>1333.5</v>
      </c>
      <c r="S7" s="35">
        <f t="shared" si="1"/>
        <v>1317.74</v>
      </c>
      <c r="T7" s="35">
        <f t="shared" si="1"/>
        <v>1335.54</v>
      </c>
      <c r="U7" s="35">
        <f t="shared" si="1"/>
        <v>1355.1399999999999</v>
      </c>
      <c r="V7" s="35">
        <f t="shared" si="1"/>
        <v>1226.54</v>
      </c>
      <c r="W7" s="35">
        <f t="shared" si="1"/>
        <v>1376.6399999999999</v>
      </c>
      <c r="X7" s="35">
        <f t="shared" si="1"/>
        <v>1522.84</v>
      </c>
      <c r="Y7" s="35">
        <f t="shared" si="1"/>
        <v>1658.8399999999997</v>
      </c>
      <c r="Z7" s="35">
        <f t="shared" si="1"/>
        <v>1624.04</v>
      </c>
      <c r="AA7" s="35">
        <f t="shared" si="1"/>
        <v>1540.3400000000001</v>
      </c>
      <c r="AB7" s="35">
        <f t="shared" si="1"/>
        <v>1561.1399999999999</v>
      </c>
      <c r="AC7" s="35">
        <f t="shared" si="1"/>
        <v>1540.7399999999998</v>
      </c>
      <c r="AD7" s="35">
        <f t="shared" si="1"/>
        <v>1375.74</v>
      </c>
      <c r="AE7" s="35">
        <f t="shared" si="1"/>
        <v>1293.54</v>
      </c>
      <c r="AF7" s="35">
        <f t="shared" si="1"/>
        <v>1151.04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19</v>
      </c>
      <c r="C11" s="45">
        <v>19</v>
      </c>
      <c r="D11" s="45">
        <v>19.100000000000001</v>
      </c>
      <c r="E11" s="45">
        <v>19.100000000000001</v>
      </c>
      <c r="F11" s="45">
        <v>19.100000000000001</v>
      </c>
      <c r="G11" s="45">
        <v>19.100000000000001</v>
      </c>
      <c r="H11" s="45">
        <v>19.100000000000001</v>
      </c>
      <c r="I11" s="45">
        <v>19.100000000000001</v>
      </c>
      <c r="J11" s="45">
        <v>19.100000000000001</v>
      </c>
      <c r="K11" s="45">
        <v>19.100000000000001</v>
      </c>
      <c r="L11" s="45">
        <v>19</v>
      </c>
      <c r="M11" s="45">
        <v>19</v>
      </c>
      <c r="N11" s="45">
        <v>19</v>
      </c>
      <c r="O11" s="45">
        <v>19</v>
      </c>
      <c r="P11" s="45">
        <v>19</v>
      </c>
      <c r="Q11" s="45">
        <v>19</v>
      </c>
      <c r="R11" s="45">
        <v>19</v>
      </c>
      <c r="S11" s="45">
        <v>19</v>
      </c>
      <c r="T11" s="45">
        <v>16.600000000000001</v>
      </c>
      <c r="U11" s="45">
        <v>16.600000000000001</v>
      </c>
      <c r="V11" s="45">
        <v>16.5</v>
      </c>
      <c r="W11" s="45">
        <v>18.3</v>
      </c>
      <c r="X11" s="45">
        <v>18.399999999999999</v>
      </c>
      <c r="Y11" s="45">
        <v>18.3</v>
      </c>
      <c r="Z11" s="45">
        <v>18.3</v>
      </c>
      <c r="AA11" s="45">
        <v>18.3</v>
      </c>
      <c r="AB11" s="45">
        <v>18.3</v>
      </c>
      <c r="AC11" s="45">
        <v>18.3</v>
      </c>
      <c r="AD11" s="45">
        <v>18.3</v>
      </c>
      <c r="AE11" s="45">
        <v>18.3</v>
      </c>
      <c r="AF11" s="45">
        <v>18.3</v>
      </c>
      <c r="AG11" s="46">
        <v>52.4</v>
      </c>
      <c r="AH11" s="47">
        <f t="shared" ref="AH11:AH74" si="2">MAX(B11:AF11)</f>
        <v>19.100000000000001</v>
      </c>
      <c r="AI11" s="48">
        <f t="shared" ref="AI11:AI74" si="3">MIN(B11:AF11)</f>
        <v>16.5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33.9</v>
      </c>
      <c r="C12" s="45">
        <v>33.9</v>
      </c>
      <c r="D12" s="45">
        <v>35.299999999999997</v>
      </c>
      <c r="E12" s="45">
        <v>35.1</v>
      </c>
      <c r="F12" s="45">
        <v>35.1</v>
      </c>
      <c r="G12" s="45">
        <v>36.6</v>
      </c>
      <c r="H12" s="45">
        <v>35.1</v>
      </c>
      <c r="I12" s="45">
        <v>35.1</v>
      </c>
      <c r="J12" s="45">
        <v>35.1</v>
      </c>
      <c r="K12" s="45">
        <v>35.1</v>
      </c>
      <c r="L12" s="45">
        <v>35.1</v>
      </c>
      <c r="M12" s="45">
        <v>35.1</v>
      </c>
      <c r="N12" s="45">
        <v>35.1</v>
      </c>
      <c r="O12" s="45">
        <v>35.1</v>
      </c>
      <c r="P12" s="45">
        <v>35.1</v>
      </c>
      <c r="Q12" s="45">
        <v>35.1</v>
      </c>
      <c r="R12" s="45">
        <v>35.1</v>
      </c>
      <c r="S12" s="45">
        <v>35.1</v>
      </c>
      <c r="T12" s="45">
        <v>36.4</v>
      </c>
      <c r="U12" s="45">
        <v>36.4</v>
      </c>
      <c r="V12" s="45">
        <v>25</v>
      </c>
      <c r="W12" s="45">
        <v>25.4</v>
      </c>
      <c r="X12" s="45">
        <v>25.4</v>
      </c>
      <c r="Y12" s="45">
        <v>25.6</v>
      </c>
      <c r="Z12" s="45">
        <v>25.6</v>
      </c>
      <c r="AA12" s="45">
        <v>25.6</v>
      </c>
      <c r="AB12" s="45">
        <v>25.6</v>
      </c>
      <c r="AC12" s="45">
        <v>38</v>
      </c>
      <c r="AD12" s="45">
        <v>38</v>
      </c>
      <c r="AE12" s="45">
        <v>36</v>
      </c>
      <c r="AF12" s="45">
        <v>36</v>
      </c>
      <c r="AG12" s="50">
        <v>50</v>
      </c>
      <c r="AH12" s="47">
        <f t="shared" si="2"/>
        <v>38</v>
      </c>
      <c r="AI12" s="48">
        <f t="shared" si="3"/>
        <v>25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19.899999999999999</v>
      </c>
      <c r="C13" s="45">
        <v>19.899999999999999</v>
      </c>
      <c r="D13" s="45">
        <v>19.3</v>
      </c>
      <c r="E13" s="45">
        <v>19.3</v>
      </c>
      <c r="F13" s="45">
        <v>19.3</v>
      </c>
      <c r="G13" s="45">
        <v>19.2</v>
      </c>
      <c r="H13" s="45">
        <v>19.2</v>
      </c>
      <c r="I13" s="45">
        <v>19.2</v>
      </c>
      <c r="J13" s="45">
        <v>19.2</v>
      </c>
      <c r="K13" s="45">
        <v>19.2</v>
      </c>
      <c r="L13" s="45">
        <v>19.2</v>
      </c>
      <c r="M13" s="45">
        <v>18.7</v>
      </c>
      <c r="N13" s="45">
        <v>18.7</v>
      </c>
      <c r="O13" s="45">
        <v>18.7</v>
      </c>
      <c r="P13" s="45">
        <v>18.7</v>
      </c>
      <c r="Q13" s="45">
        <v>18.7</v>
      </c>
      <c r="R13" s="45">
        <v>18.7</v>
      </c>
      <c r="S13" s="45">
        <v>18.7</v>
      </c>
      <c r="T13" s="45">
        <v>18.399999999999999</v>
      </c>
      <c r="U13" s="45">
        <v>18.399999999999999</v>
      </c>
      <c r="V13" s="45">
        <v>20.6</v>
      </c>
      <c r="W13" s="45">
        <v>21.2</v>
      </c>
      <c r="X13" s="45">
        <v>21.2</v>
      </c>
      <c r="Y13" s="45">
        <v>21.2</v>
      </c>
      <c r="Z13" s="45">
        <v>21.2</v>
      </c>
      <c r="AA13" s="45">
        <v>21.2</v>
      </c>
      <c r="AB13" s="45">
        <v>21.2</v>
      </c>
      <c r="AC13" s="45">
        <v>21.2</v>
      </c>
      <c r="AD13" s="45">
        <v>21.2</v>
      </c>
      <c r="AE13" s="45">
        <v>21.2</v>
      </c>
      <c r="AF13" s="45">
        <v>21.2</v>
      </c>
      <c r="AG13" s="50">
        <v>45</v>
      </c>
      <c r="AH13" s="47">
        <f t="shared" si="2"/>
        <v>21.2</v>
      </c>
      <c r="AI13" s="48">
        <f t="shared" si="3"/>
        <v>18.399999999999999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9.5</v>
      </c>
      <c r="C14" s="45">
        <v>9.5</v>
      </c>
      <c r="D14" s="45">
        <v>9.5</v>
      </c>
      <c r="E14" s="45">
        <v>9.5</v>
      </c>
      <c r="F14" s="45">
        <v>9.5</v>
      </c>
      <c r="G14" s="45">
        <v>9</v>
      </c>
      <c r="H14" s="45">
        <v>9</v>
      </c>
      <c r="I14" s="45">
        <v>9</v>
      </c>
      <c r="J14" s="45">
        <v>9</v>
      </c>
      <c r="K14" s="45">
        <v>9</v>
      </c>
      <c r="L14" s="45">
        <v>9</v>
      </c>
      <c r="M14" s="45">
        <v>8.5</v>
      </c>
      <c r="N14" s="45">
        <v>8.5</v>
      </c>
      <c r="O14" s="45">
        <v>8.5</v>
      </c>
      <c r="P14" s="45">
        <v>8.5</v>
      </c>
      <c r="Q14" s="45">
        <v>8.5</v>
      </c>
      <c r="R14" s="45">
        <v>8.5</v>
      </c>
      <c r="S14" s="45">
        <v>8.5</v>
      </c>
      <c r="T14" s="45">
        <v>8.5</v>
      </c>
      <c r="U14" s="45">
        <v>8.5</v>
      </c>
      <c r="V14" s="45">
        <v>8.5</v>
      </c>
      <c r="W14" s="45">
        <v>8.5</v>
      </c>
      <c r="X14" s="45">
        <v>8.5</v>
      </c>
      <c r="Y14" s="45">
        <v>8.5</v>
      </c>
      <c r="Z14" s="45">
        <v>8.5</v>
      </c>
      <c r="AA14" s="45">
        <v>8.5</v>
      </c>
      <c r="AB14" s="45">
        <v>8.5</v>
      </c>
      <c r="AC14" s="45">
        <v>8.5</v>
      </c>
      <c r="AD14" s="45">
        <v>8.5</v>
      </c>
      <c r="AE14" s="45">
        <v>8.5</v>
      </c>
      <c r="AF14" s="45">
        <v>8.5</v>
      </c>
      <c r="AG14" s="50">
        <v>42</v>
      </c>
      <c r="AH14" s="47">
        <f t="shared" si="2"/>
        <v>9.5</v>
      </c>
      <c r="AI14" s="48">
        <f t="shared" si="3"/>
        <v>8.5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13</v>
      </c>
      <c r="C15" s="45">
        <v>13</v>
      </c>
      <c r="D15" s="45">
        <v>13</v>
      </c>
      <c r="E15" s="45">
        <v>13</v>
      </c>
      <c r="F15" s="45">
        <v>13</v>
      </c>
      <c r="G15" s="45">
        <v>13</v>
      </c>
      <c r="H15" s="45">
        <v>13</v>
      </c>
      <c r="I15" s="45">
        <v>13</v>
      </c>
      <c r="J15" s="45">
        <v>13</v>
      </c>
      <c r="K15" s="45">
        <v>13</v>
      </c>
      <c r="L15" s="45">
        <v>13</v>
      </c>
      <c r="M15" s="45">
        <v>13</v>
      </c>
      <c r="N15" s="45">
        <v>13</v>
      </c>
      <c r="O15" s="45">
        <v>13</v>
      </c>
      <c r="P15" s="45">
        <v>13</v>
      </c>
      <c r="Q15" s="45">
        <v>13</v>
      </c>
      <c r="R15" s="45">
        <v>13</v>
      </c>
      <c r="S15" s="45">
        <v>13</v>
      </c>
      <c r="T15" s="45">
        <v>13</v>
      </c>
      <c r="U15" s="45">
        <v>13</v>
      </c>
      <c r="V15" s="45">
        <v>13</v>
      </c>
      <c r="W15" s="45">
        <v>13</v>
      </c>
      <c r="X15" s="45">
        <v>13</v>
      </c>
      <c r="Y15" s="45">
        <v>13</v>
      </c>
      <c r="Z15" s="45">
        <v>13</v>
      </c>
      <c r="AA15" s="45">
        <v>13</v>
      </c>
      <c r="AB15" s="45">
        <v>13</v>
      </c>
      <c r="AC15" s="45">
        <v>13</v>
      </c>
      <c r="AD15" s="45">
        <v>13</v>
      </c>
      <c r="AE15" s="45">
        <v>13</v>
      </c>
      <c r="AF15" s="45">
        <v>13</v>
      </c>
      <c r="AG15" s="50">
        <v>36</v>
      </c>
      <c r="AH15" s="47">
        <f t="shared" si="2"/>
        <v>13</v>
      </c>
      <c r="AI15" s="48">
        <f t="shared" si="3"/>
        <v>13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9.5</v>
      </c>
      <c r="C16" s="45">
        <v>9.5</v>
      </c>
      <c r="D16" s="45">
        <v>9.5</v>
      </c>
      <c r="E16" s="45">
        <v>9.1</v>
      </c>
      <c r="F16" s="45">
        <v>9.1</v>
      </c>
      <c r="G16" s="45">
        <v>8.4</v>
      </c>
      <c r="H16" s="45">
        <v>8.4</v>
      </c>
      <c r="I16" s="45">
        <v>8.4</v>
      </c>
      <c r="J16" s="45">
        <v>8.4</v>
      </c>
      <c r="K16" s="45">
        <v>8.4</v>
      </c>
      <c r="L16" s="45">
        <v>8.4</v>
      </c>
      <c r="M16" s="45">
        <v>8.4</v>
      </c>
      <c r="N16" s="45">
        <v>8.4</v>
      </c>
      <c r="O16" s="45">
        <v>8.4</v>
      </c>
      <c r="P16" s="45">
        <v>8.4</v>
      </c>
      <c r="Q16" s="45">
        <v>8.4</v>
      </c>
      <c r="R16" s="45">
        <v>8.4</v>
      </c>
      <c r="S16" s="45">
        <v>8.4</v>
      </c>
      <c r="T16" s="45">
        <v>8.4</v>
      </c>
      <c r="U16" s="45">
        <v>8.4</v>
      </c>
      <c r="V16" s="45">
        <v>8.4</v>
      </c>
      <c r="W16" s="45">
        <v>8.4</v>
      </c>
      <c r="X16" s="45">
        <v>8.4</v>
      </c>
      <c r="Y16" s="45">
        <v>8.4</v>
      </c>
      <c r="Z16" s="45">
        <v>8.4</v>
      </c>
      <c r="AA16" s="45">
        <v>8.4</v>
      </c>
      <c r="AB16" s="45">
        <v>8.4</v>
      </c>
      <c r="AC16" s="45">
        <v>8.4</v>
      </c>
      <c r="AD16" s="45">
        <v>8.4</v>
      </c>
      <c r="AE16" s="45">
        <v>8.4</v>
      </c>
      <c r="AF16" s="45">
        <v>8.4</v>
      </c>
      <c r="AG16" s="51">
        <v>30</v>
      </c>
      <c r="AH16" s="47">
        <f t="shared" si="2"/>
        <v>9.5</v>
      </c>
      <c r="AI16" s="48">
        <f t="shared" si="3"/>
        <v>8.4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8.5</v>
      </c>
      <c r="C17" s="45">
        <v>8.5</v>
      </c>
      <c r="D17" s="45">
        <v>8.5</v>
      </c>
      <c r="E17" s="45">
        <v>8.5</v>
      </c>
      <c r="F17" s="45">
        <v>8.5</v>
      </c>
      <c r="G17" s="45">
        <v>8.5</v>
      </c>
      <c r="H17" s="45">
        <v>8.5</v>
      </c>
      <c r="I17" s="45">
        <v>8.5</v>
      </c>
      <c r="J17" s="45">
        <v>8.5</v>
      </c>
      <c r="K17" s="45">
        <v>8.5</v>
      </c>
      <c r="L17" s="45">
        <v>8.5</v>
      </c>
      <c r="M17" s="45">
        <v>8.5</v>
      </c>
      <c r="N17" s="45">
        <v>8.5</v>
      </c>
      <c r="O17" s="45">
        <v>8.5</v>
      </c>
      <c r="P17" s="45">
        <v>8.5</v>
      </c>
      <c r="Q17" s="45">
        <v>8.5</v>
      </c>
      <c r="R17" s="45">
        <v>8.5</v>
      </c>
      <c r="S17" s="45">
        <v>8.5</v>
      </c>
      <c r="T17" s="45">
        <v>8.5</v>
      </c>
      <c r="U17" s="45">
        <v>8.5</v>
      </c>
      <c r="V17" s="45">
        <v>8.5</v>
      </c>
      <c r="W17" s="45">
        <v>8.5</v>
      </c>
      <c r="X17" s="45">
        <v>8.5</v>
      </c>
      <c r="Y17" s="45">
        <v>8.5</v>
      </c>
      <c r="Z17" s="45">
        <v>8.5</v>
      </c>
      <c r="AA17" s="45">
        <v>8.5</v>
      </c>
      <c r="AB17" s="45">
        <v>8.5</v>
      </c>
      <c r="AC17" s="45">
        <v>8.5</v>
      </c>
      <c r="AD17" s="45">
        <v>8.5</v>
      </c>
      <c r="AE17" s="45">
        <v>8.5</v>
      </c>
      <c r="AF17" s="45">
        <v>8.5</v>
      </c>
      <c r="AG17" s="50">
        <v>24.2</v>
      </c>
      <c r="AH17" s="47">
        <f t="shared" si="2"/>
        <v>8.5</v>
      </c>
      <c r="AI17" s="48">
        <f t="shared" si="3"/>
        <v>8.5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0">
        <v>28</v>
      </c>
      <c r="AH18" s="47">
        <f t="shared" si="2"/>
        <v>13</v>
      </c>
      <c r="AI18" s="48">
        <f t="shared" si="3"/>
        <v>13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10</v>
      </c>
      <c r="C20" s="45">
        <v>10</v>
      </c>
      <c r="D20" s="45">
        <v>10</v>
      </c>
      <c r="E20" s="45">
        <v>10</v>
      </c>
      <c r="F20" s="45">
        <v>10</v>
      </c>
      <c r="G20" s="45">
        <v>9.3000000000000007</v>
      </c>
      <c r="H20" s="45">
        <v>9.3000000000000007</v>
      </c>
      <c r="I20" s="45">
        <v>9.3000000000000007</v>
      </c>
      <c r="J20" s="45">
        <v>9.3000000000000007</v>
      </c>
      <c r="K20" s="45">
        <v>9.3000000000000007</v>
      </c>
      <c r="L20" s="45">
        <v>9.3000000000000007</v>
      </c>
      <c r="M20" s="45">
        <v>9.3000000000000007</v>
      </c>
      <c r="N20" s="45">
        <v>9.3000000000000007</v>
      </c>
      <c r="O20" s="45">
        <v>9.3000000000000007</v>
      </c>
      <c r="P20" s="45">
        <v>9.3000000000000007</v>
      </c>
      <c r="Q20" s="45">
        <v>9.3000000000000007</v>
      </c>
      <c r="R20" s="45">
        <v>9.3000000000000007</v>
      </c>
      <c r="S20" s="45">
        <v>9.3000000000000007</v>
      </c>
      <c r="T20" s="45">
        <v>9.3000000000000007</v>
      </c>
      <c r="U20" s="45">
        <v>9.3000000000000007</v>
      </c>
      <c r="V20" s="45">
        <v>9.3000000000000007</v>
      </c>
      <c r="W20" s="45">
        <v>9.3000000000000007</v>
      </c>
      <c r="X20" s="45">
        <v>9.3000000000000007</v>
      </c>
      <c r="Y20" s="45">
        <v>9.3000000000000007</v>
      </c>
      <c r="Z20" s="45">
        <v>9.3000000000000007</v>
      </c>
      <c r="AA20" s="45">
        <v>9.3000000000000007</v>
      </c>
      <c r="AB20" s="45">
        <v>9.3000000000000007</v>
      </c>
      <c r="AC20" s="45">
        <v>9.3000000000000007</v>
      </c>
      <c r="AD20" s="45">
        <v>9.3000000000000007</v>
      </c>
      <c r="AE20" s="45">
        <v>9.3000000000000007</v>
      </c>
      <c r="AF20" s="45">
        <v>9.3000000000000007</v>
      </c>
      <c r="AG20" s="50">
        <v>25</v>
      </c>
      <c r="AH20" s="47">
        <f t="shared" si="2"/>
        <v>10</v>
      </c>
      <c r="AI20" s="48">
        <f t="shared" si="3"/>
        <v>9.3000000000000007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0">
        <v>25</v>
      </c>
      <c r="AH22" s="47">
        <f t="shared" si="2"/>
        <v>11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8.9</v>
      </c>
      <c r="C24" s="45">
        <v>8.9</v>
      </c>
      <c r="D24" s="45">
        <v>8.9</v>
      </c>
      <c r="E24" s="45">
        <v>8.9</v>
      </c>
      <c r="F24" s="45">
        <v>8.9</v>
      </c>
      <c r="G24" s="45">
        <v>8.9</v>
      </c>
      <c r="H24" s="45">
        <v>8.9</v>
      </c>
      <c r="I24" s="45">
        <v>8.9</v>
      </c>
      <c r="J24" s="45">
        <v>8.9</v>
      </c>
      <c r="K24" s="45">
        <v>8.9</v>
      </c>
      <c r="L24" s="45">
        <v>8.9</v>
      </c>
      <c r="M24" s="45">
        <v>8.9</v>
      </c>
      <c r="N24" s="45">
        <v>8.9</v>
      </c>
      <c r="O24" s="45">
        <v>8.9</v>
      </c>
      <c r="P24" s="45">
        <v>8.9</v>
      </c>
      <c r="Q24" s="45">
        <v>8.9</v>
      </c>
      <c r="R24" s="45">
        <v>8.9</v>
      </c>
      <c r="S24" s="45">
        <v>8.9</v>
      </c>
      <c r="T24" s="45">
        <v>8.9</v>
      </c>
      <c r="U24" s="45">
        <v>8.9</v>
      </c>
      <c r="V24" s="45">
        <v>8.9</v>
      </c>
      <c r="W24" s="45">
        <v>8.9</v>
      </c>
      <c r="X24" s="45">
        <v>8.9</v>
      </c>
      <c r="Y24" s="45">
        <v>8.9</v>
      </c>
      <c r="Z24" s="45">
        <v>8.9</v>
      </c>
      <c r="AA24" s="45">
        <v>8.9</v>
      </c>
      <c r="AB24" s="45">
        <v>8.9</v>
      </c>
      <c r="AC24" s="45">
        <v>8.9</v>
      </c>
      <c r="AD24" s="45">
        <v>8.9</v>
      </c>
      <c r="AE24" s="45">
        <v>8.9</v>
      </c>
      <c r="AF24" s="45">
        <v>8.9</v>
      </c>
      <c r="AG24" s="50">
        <v>23.5</v>
      </c>
      <c r="AH24" s="47">
        <f t="shared" si="2"/>
        <v>8.9</v>
      </c>
      <c r="AI24" s="48">
        <f t="shared" si="3"/>
        <v>8.9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0">
        <v>22</v>
      </c>
      <c r="AH28" s="47">
        <f t="shared" si="2"/>
        <v>12</v>
      </c>
      <c r="AI28" s="48">
        <f t="shared" si="3"/>
        <v>12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>
        <v>10</v>
      </c>
      <c r="L35" s="45">
        <v>10</v>
      </c>
      <c r="M35" s="45">
        <v>10</v>
      </c>
      <c r="N35" s="45">
        <v>10</v>
      </c>
      <c r="O35" s="45">
        <v>10</v>
      </c>
      <c r="P35" s="45">
        <v>10</v>
      </c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45">
        <v>10</v>
      </c>
      <c r="Z35" s="45">
        <v>10</v>
      </c>
      <c r="AA35" s="45">
        <v>10</v>
      </c>
      <c r="AB35" s="45">
        <v>10</v>
      </c>
      <c r="AC35" s="45">
        <v>10</v>
      </c>
      <c r="AD35" s="45">
        <v>10</v>
      </c>
      <c r="AE35" s="45">
        <v>10</v>
      </c>
      <c r="AF35" s="45">
        <v>10</v>
      </c>
      <c r="AG35" s="50">
        <v>12</v>
      </c>
      <c r="AH35" s="47">
        <f t="shared" si="2"/>
        <v>10</v>
      </c>
      <c r="AI35" s="48">
        <f t="shared" si="3"/>
        <v>10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150</v>
      </c>
      <c r="C42" s="56">
        <v>150</v>
      </c>
      <c r="D42" s="56">
        <v>150</v>
      </c>
      <c r="E42" s="56">
        <v>150</v>
      </c>
      <c r="F42" s="56">
        <v>150</v>
      </c>
      <c r="G42" s="56">
        <v>150</v>
      </c>
      <c r="H42" s="56">
        <v>150</v>
      </c>
      <c r="I42" s="56">
        <v>150</v>
      </c>
      <c r="J42" s="56">
        <v>150</v>
      </c>
      <c r="K42" s="56">
        <v>150</v>
      </c>
      <c r="L42" s="56">
        <v>150</v>
      </c>
      <c r="M42" s="56">
        <v>150</v>
      </c>
      <c r="N42" s="56">
        <v>150</v>
      </c>
      <c r="O42" s="56">
        <v>150</v>
      </c>
      <c r="P42" s="56">
        <v>150</v>
      </c>
      <c r="Q42" s="56">
        <v>150</v>
      </c>
      <c r="R42" s="56">
        <v>150</v>
      </c>
      <c r="S42" s="56">
        <v>150</v>
      </c>
      <c r="T42" s="56">
        <v>150</v>
      </c>
      <c r="U42" s="56">
        <v>150</v>
      </c>
      <c r="V42" s="56">
        <v>150</v>
      </c>
      <c r="W42" s="56">
        <v>150</v>
      </c>
      <c r="X42" s="56">
        <v>150</v>
      </c>
      <c r="Y42" s="56">
        <v>150</v>
      </c>
      <c r="Z42" s="56">
        <v>150</v>
      </c>
      <c r="AA42" s="56">
        <v>150</v>
      </c>
      <c r="AB42" s="56">
        <v>150</v>
      </c>
      <c r="AC42" s="56">
        <v>150</v>
      </c>
      <c r="AD42" s="56">
        <v>150</v>
      </c>
      <c r="AE42" s="56">
        <v>150</v>
      </c>
      <c r="AF42" s="56">
        <v>150</v>
      </c>
      <c r="AG42" s="54">
        <v>85</v>
      </c>
      <c r="AH42" s="47">
        <f t="shared" si="2"/>
        <v>150</v>
      </c>
      <c r="AI42" s="48">
        <f t="shared" si="3"/>
        <v>150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v>447.90000000000003</v>
      </c>
      <c r="C44" s="60">
        <f t="shared" ref="C44:AG44" si="4">SUM(C11:C42)</f>
        <v>445.90000000000003</v>
      </c>
      <c r="D44" s="60">
        <f t="shared" si="4"/>
        <v>446.8</v>
      </c>
      <c r="E44" s="60">
        <f t="shared" si="4"/>
        <v>446.2</v>
      </c>
      <c r="F44" s="60">
        <f t="shared" si="4"/>
        <v>446.2</v>
      </c>
      <c r="G44" s="60">
        <f t="shared" si="4"/>
        <v>445.7</v>
      </c>
      <c r="H44" s="60">
        <f t="shared" si="4"/>
        <v>444.2</v>
      </c>
      <c r="I44" s="60">
        <f t="shared" si="4"/>
        <v>444.2</v>
      </c>
      <c r="J44" s="60">
        <f t="shared" si="4"/>
        <v>444.2</v>
      </c>
      <c r="K44" s="60">
        <f t="shared" si="4"/>
        <v>444.2</v>
      </c>
      <c r="L44" s="60">
        <f t="shared" si="4"/>
        <v>444.09999999999997</v>
      </c>
      <c r="M44" s="60">
        <f t="shared" si="4"/>
        <v>443.09999999999997</v>
      </c>
      <c r="N44" s="60">
        <f t="shared" si="4"/>
        <v>443.09999999999997</v>
      </c>
      <c r="O44" s="60">
        <f t="shared" si="4"/>
        <v>443.09999999999997</v>
      </c>
      <c r="P44" s="60">
        <f t="shared" si="4"/>
        <v>443.09999999999997</v>
      </c>
      <c r="Q44" s="60">
        <f t="shared" si="4"/>
        <v>443.09999999999997</v>
      </c>
      <c r="R44" s="60">
        <f t="shared" si="4"/>
        <v>443.09999999999997</v>
      </c>
      <c r="S44" s="60">
        <f t="shared" si="4"/>
        <v>443.09999999999997</v>
      </c>
      <c r="T44" s="60">
        <f t="shared" si="4"/>
        <v>441.7</v>
      </c>
      <c r="U44" s="60">
        <f t="shared" si="4"/>
        <v>441.7</v>
      </c>
      <c r="V44" s="60">
        <f t="shared" si="4"/>
        <v>432.40000000000003</v>
      </c>
      <c r="W44" s="60">
        <f t="shared" si="4"/>
        <v>435.2</v>
      </c>
      <c r="X44" s="60">
        <f t="shared" si="4"/>
        <v>435.3</v>
      </c>
      <c r="Y44" s="60">
        <v>435.40000000000003</v>
      </c>
      <c r="Z44" s="60">
        <f t="shared" si="4"/>
        <v>435.40000000000003</v>
      </c>
      <c r="AA44" s="60">
        <f t="shared" si="4"/>
        <v>435.40000000000003</v>
      </c>
      <c r="AB44" s="60">
        <f t="shared" si="4"/>
        <v>435.40000000000003</v>
      </c>
      <c r="AC44" s="60">
        <f t="shared" si="4"/>
        <v>447.8</v>
      </c>
      <c r="AD44" s="60">
        <f t="shared" si="4"/>
        <v>447.8</v>
      </c>
      <c r="AE44" s="60">
        <f t="shared" si="4"/>
        <v>445.8</v>
      </c>
      <c r="AF44" s="60">
        <f t="shared" si="4"/>
        <v>445.8</v>
      </c>
      <c r="AG44" s="61">
        <f t="shared" si="4"/>
        <v>814.78000000000009</v>
      </c>
      <c r="AH44" s="47">
        <f t="shared" si="2"/>
        <v>447.90000000000003</v>
      </c>
      <c r="AI44" s="48">
        <f t="shared" si="3"/>
        <v>432.40000000000003</v>
      </c>
      <c r="AK44" s="49"/>
    </row>
    <row r="45" spans="1:88" x14ac:dyDescent="0.25">
      <c r="A45" s="62" t="s">
        <v>53</v>
      </c>
      <c r="B45" s="45">
        <v>100</v>
      </c>
      <c r="C45" s="45">
        <v>0</v>
      </c>
      <c r="D45" s="45">
        <v>0</v>
      </c>
      <c r="E45" s="45">
        <v>0</v>
      </c>
      <c r="F45" s="45">
        <v>0</v>
      </c>
      <c r="G45" s="45">
        <v>15</v>
      </c>
      <c r="H45" s="45">
        <v>30</v>
      </c>
      <c r="I45" s="45">
        <v>50</v>
      </c>
      <c r="J45" s="45">
        <v>50</v>
      </c>
      <c r="K45" s="45">
        <v>90</v>
      </c>
      <c r="L45" s="45">
        <v>100</v>
      </c>
      <c r="M45" s="63">
        <v>150</v>
      </c>
      <c r="N45" s="63">
        <v>165</v>
      </c>
      <c r="O45" s="45">
        <v>155</v>
      </c>
      <c r="P45" s="45">
        <v>110</v>
      </c>
      <c r="Q45" s="45">
        <v>110</v>
      </c>
      <c r="R45" s="45">
        <v>50</v>
      </c>
      <c r="S45" s="45">
        <v>50</v>
      </c>
      <c r="T45" s="45">
        <v>50</v>
      </c>
      <c r="U45" s="45">
        <v>50</v>
      </c>
      <c r="V45" s="45">
        <v>50</v>
      </c>
      <c r="W45" s="45">
        <v>125</v>
      </c>
      <c r="X45" s="45">
        <v>170</v>
      </c>
      <c r="Y45" s="45">
        <v>160</v>
      </c>
      <c r="Z45" s="45">
        <v>140</v>
      </c>
      <c r="AA45" s="45">
        <v>140</v>
      </c>
      <c r="AB45" s="45">
        <v>130</v>
      </c>
      <c r="AC45" s="45">
        <v>110</v>
      </c>
      <c r="AD45" s="45">
        <v>140</v>
      </c>
      <c r="AE45" s="45">
        <v>110</v>
      </c>
      <c r="AF45" s="45">
        <v>60</v>
      </c>
      <c r="AG45" s="51">
        <v>456</v>
      </c>
      <c r="AH45" s="47">
        <f t="shared" si="2"/>
        <v>170</v>
      </c>
      <c r="AI45" s="48">
        <f t="shared" si="3"/>
        <v>0</v>
      </c>
      <c r="AK45" s="49"/>
    </row>
    <row r="46" spans="1:88" x14ac:dyDescent="0.25">
      <c r="A46" s="64" t="s">
        <v>54</v>
      </c>
      <c r="B46" s="65">
        <v>35</v>
      </c>
      <c r="C46" s="65">
        <v>35</v>
      </c>
      <c r="D46" s="65">
        <v>35</v>
      </c>
      <c r="E46" s="65">
        <v>35</v>
      </c>
      <c r="F46" s="65">
        <v>35</v>
      </c>
      <c r="G46" s="65">
        <v>35</v>
      </c>
      <c r="H46" s="65">
        <v>35</v>
      </c>
      <c r="I46" s="65">
        <v>35</v>
      </c>
      <c r="J46" s="65">
        <v>35</v>
      </c>
      <c r="K46" s="65">
        <v>35</v>
      </c>
      <c r="L46" s="65">
        <v>35</v>
      </c>
      <c r="M46" s="65">
        <v>35</v>
      </c>
      <c r="N46" s="65">
        <v>35</v>
      </c>
      <c r="O46" s="65">
        <v>35</v>
      </c>
      <c r="P46" s="65">
        <v>35</v>
      </c>
      <c r="Q46" s="65">
        <v>35</v>
      </c>
      <c r="R46" s="65">
        <v>35</v>
      </c>
      <c r="S46" s="65">
        <v>35</v>
      </c>
      <c r="T46" s="65">
        <v>35</v>
      </c>
      <c r="U46" s="65">
        <v>35</v>
      </c>
      <c r="V46" s="65">
        <v>35</v>
      </c>
      <c r="W46" s="65">
        <v>35</v>
      </c>
      <c r="X46" s="65">
        <v>35</v>
      </c>
      <c r="Y46" s="65">
        <v>35</v>
      </c>
      <c r="Z46" s="65">
        <v>35</v>
      </c>
      <c r="AA46" s="65">
        <v>35</v>
      </c>
      <c r="AB46" s="65">
        <v>35</v>
      </c>
      <c r="AC46" s="65">
        <v>35</v>
      </c>
      <c r="AD46" s="65">
        <v>35</v>
      </c>
      <c r="AE46" s="65">
        <v>35</v>
      </c>
      <c r="AF46" s="65">
        <v>35</v>
      </c>
      <c r="AG46" s="54">
        <v>60</v>
      </c>
      <c r="AH46" s="47">
        <f t="shared" si="2"/>
        <v>35</v>
      </c>
      <c r="AI46" s="48">
        <f t="shared" si="3"/>
        <v>35</v>
      </c>
      <c r="AK46" s="49"/>
    </row>
    <row r="47" spans="1:88" ht="15.75" thickBot="1" x14ac:dyDescent="0.3">
      <c r="A47" s="66" t="s">
        <v>55</v>
      </c>
      <c r="B47" s="67">
        <v>11.6</v>
      </c>
      <c r="C47" s="67">
        <v>11.6</v>
      </c>
      <c r="D47" s="67">
        <v>11</v>
      </c>
      <c r="E47" s="67">
        <v>11</v>
      </c>
      <c r="F47" s="67">
        <v>11</v>
      </c>
      <c r="G47" s="67">
        <v>11</v>
      </c>
      <c r="H47" s="67">
        <v>11</v>
      </c>
      <c r="I47" s="67">
        <v>11</v>
      </c>
      <c r="J47" s="67">
        <v>11</v>
      </c>
      <c r="K47" s="67">
        <v>11</v>
      </c>
      <c r="L47" s="67">
        <v>11</v>
      </c>
      <c r="M47" s="67">
        <v>11</v>
      </c>
      <c r="N47" s="67">
        <v>11</v>
      </c>
      <c r="O47" s="67">
        <v>11</v>
      </c>
      <c r="P47" s="67">
        <v>9.6</v>
      </c>
      <c r="Q47" s="67">
        <v>9.6</v>
      </c>
      <c r="R47" s="67">
        <v>9.6999999999999993</v>
      </c>
      <c r="S47" s="67">
        <v>9.6999999999999993</v>
      </c>
      <c r="T47" s="67">
        <v>9.6999999999999993</v>
      </c>
      <c r="U47" s="67">
        <v>9.6999999999999993</v>
      </c>
      <c r="V47" s="67">
        <v>9.6999999999999993</v>
      </c>
      <c r="W47" s="67">
        <v>9.6999999999999993</v>
      </c>
      <c r="X47" s="67">
        <v>9.6999999999999993</v>
      </c>
      <c r="Y47" s="67">
        <v>9.6999999999999993</v>
      </c>
      <c r="Z47" s="67">
        <v>9.6999999999999993</v>
      </c>
      <c r="AA47" s="67">
        <v>9.6999999999999993</v>
      </c>
      <c r="AB47" s="67">
        <v>11.3</v>
      </c>
      <c r="AC47" s="67">
        <v>11.3</v>
      </c>
      <c r="AD47" s="67">
        <v>11.2</v>
      </c>
      <c r="AE47" s="67">
        <v>11.2</v>
      </c>
      <c r="AF47" s="67">
        <v>11.2</v>
      </c>
      <c r="AG47" s="68">
        <v>22.1</v>
      </c>
      <c r="AH47" s="47">
        <f t="shared" si="2"/>
        <v>11.6</v>
      </c>
      <c r="AI47" s="48">
        <f t="shared" si="3"/>
        <v>9.6</v>
      </c>
      <c r="AK47" s="49"/>
    </row>
    <row r="48" spans="1:88" ht="15.75" thickBot="1" x14ac:dyDescent="0.3">
      <c r="A48" s="69" t="s">
        <v>56</v>
      </c>
      <c r="B48" s="60">
        <v>106.6</v>
      </c>
      <c r="C48" s="60">
        <f t="shared" ref="C48:AG48" si="5">SUM(C45:C47)</f>
        <v>46.6</v>
      </c>
      <c r="D48" s="60">
        <f t="shared" si="5"/>
        <v>46</v>
      </c>
      <c r="E48" s="60">
        <f t="shared" si="5"/>
        <v>46</v>
      </c>
      <c r="F48" s="60">
        <f t="shared" si="5"/>
        <v>46</v>
      </c>
      <c r="G48" s="60">
        <f t="shared" si="5"/>
        <v>61</v>
      </c>
      <c r="H48" s="60">
        <f t="shared" si="5"/>
        <v>76</v>
      </c>
      <c r="I48" s="60">
        <f t="shared" si="5"/>
        <v>96</v>
      </c>
      <c r="J48" s="60">
        <f t="shared" si="5"/>
        <v>96</v>
      </c>
      <c r="K48" s="60">
        <f t="shared" si="5"/>
        <v>136</v>
      </c>
      <c r="L48" s="60">
        <f t="shared" si="5"/>
        <v>146</v>
      </c>
      <c r="M48" s="60">
        <f t="shared" si="5"/>
        <v>196</v>
      </c>
      <c r="N48" s="60">
        <f t="shared" si="5"/>
        <v>211</v>
      </c>
      <c r="O48" s="60">
        <f t="shared" si="5"/>
        <v>201</v>
      </c>
      <c r="P48" s="60">
        <f t="shared" si="5"/>
        <v>154.6</v>
      </c>
      <c r="Q48" s="60">
        <f t="shared" si="5"/>
        <v>154.6</v>
      </c>
      <c r="R48" s="60">
        <f t="shared" si="5"/>
        <v>94.7</v>
      </c>
      <c r="S48" s="60">
        <f t="shared" si="5"/>
        <v>94.7</v>
      </c>
      <c r="T48" s="60">
        <f t="shared" si="5"/>
        <v>94.7</v>
      </c>
      <c r="U48" s="60">
        <f t="shared" si="5"/>
        <v>94.7</v>
      </c>
      <c r="V48" s="60">
        <f t="shared" si="5"/>
        <v>94.7</v>
      </c>
      <c r="W48" s="60">
        <f t="shared" si="5"/>
        <v>169.7</v>
      </c>
      <c r="X48" s="60">
        <f t="shared" si="5"/>
        <v>214.7</v>
      </c>
      <c r="Y48" s="60">
        <v>214.7</v>
      </c>
      <c r="Z48" s="60">
        <f t="shared" si="5"/>
        <v>184.7</v>
      </c>
      <c r="AA48" s="60">
        <f t="shared" si="5"/>
        <v>184.7</v>
      </c>
      <c r="AB48" s="60">
        <f t="shared" si="5"/>
        <v>176.3</v>
      </c>
      <c r="AC48" s="60">
        <f t="shared" si="5"/>
        <v>156.30000000000001</v>
      </c>
      <c r="AD48" s="60">
        <f t="shared" si="5"/>
        <v>186.2</v>
      </c>
      <c r="AE48" s="60">
        <f t="shared" si="5"/>
        <v>156.19999999999999</v>
      </c>
      <c r="AF48" s="60">
        <f t="shared" si="5"/>
        <v>106.2</v>
      </c>
      <c r="AG48" s="61">
        <f t="shared" si="5"/>
        <v>538.1</v>
      </c>
      <c r="AH48" s="47">
        <f t="shared" si="2"/>
        <v>214.7</v>
      </c>
      <c r="AI48" s="48">
        <f t="shared" si="3"/>
        <v>46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37.799999999999997</v>
      </c>
      <c r="I49" s="45">
        <v>61.2</v>
      </c>
      <c r="J49" s="45">
        <v>104.1</v>
      </c>
      <c r="K49" s="45">
        <v>123</v>
      </c>
      <c r="L49" s="45">
        <v>142.19999999999999</v>
      </c>
      <c r="M49" s="45">
        <v>142.19999999999999</v>
      </c>
      <c r="N49" s="45">
        <v>142.19999999999999</v>
      </c>
      <c r="O49" s="45">
        <v>114.9</v>
      </c>
      <c r="P49" s="45">
        <v>104</v>
      </c>
      <c r="Q49" s="45">
        <v>102</v>
      </c>
      <c r="R49" s="45">
        <v>81</v>
      </c>
      <c r="S49" s="45">
        <v>92</v>
      </c>
      <c r="T49" s="45">
        <v>71.3</v>
      </c>
      <c r="U49" s="45">
        <v>52</v>
      </c>
      <c r="V49" s="45">
        <v>31.7</v>
      </c>
      <c r="W49" s="45">
        <v>61.5</v>
      </c>
      <c r="X49" s="45">
        <v>103.7</v>
      </c>
      <c r="Y49" s="45">
        <v>132.19999999999999</v>
      </c>
      <c r="Z49" s="45">
        <v>100</v>
      </c>
      <c r="AA49" s="45">
        <v>71.8</v>
      </c>
      <c r="AB49" s="45">
        <v>94.2</v>
      </c>
      <c r="AC49" s="45">
        <v>94.2</v>
      </c>
      <c r="AD49" s="45">
        <v>94.2</v>
      </c>
      <c r="AE49" s="45">
        <v>94.2</v>
      </c>
      <c r="AF49" s="45">
        <v>25.4</v>
      </c>
      <c r="AG49" s="51">
        <v>144</v>
      </c>
      <c r="AH49" s="47">
        <f t="shared" si="2"/>
        <v>142.19999999999999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23</v>
      </c>
      <c r="J50" s="65">
        <v>22.8</v>
      </c>
      <c r="K50" s="65">
        <v>49.6</v>
      </c>
      <c r="L50" s="65">
        <v>62.3</v>
      </c>
      <c r="M50" s="65">
        <v>70.3</v>
      </c>
      <c r="N50" s="65">
        <v>70.3</v>
      </c>
      <c r="O50" s="65">
        <v>50</v>
      </c>
      <c r="P50" s="65">
        <v>45</v>
      </c>
      <c r="Q50" s="65">
        <v>46.7</v>
      </c>
      <c r="R50" s="45">
        <v>45.9</v>
      </c>
      <c r="S50" s="45">
        <v>35</v>
      </c>
      <c r="T50" s="45">
        <v>35.6</v>
      </c>
      <c r="U50" s="45">
        <v>35.6</v>
      </c>
      <c r="V50" s="45">
        <v>30.1</v>
      </c>
      <c r="W50" s="45">
        <v>30.1</v>
      </c>
      <c r="X50" s="45">
        <v>48.7</v>
      </c>
      <c r="Y50" s="45">
        <v>60.5</v>
      </c>
      <c r="Z50" s="45">
        <v>60.5</v>
      </c>
      <c r="AA50" s="45">
        <v>51.9</v>
      </c>
      <c r="AB50" s="65">
        <v>68</v>
      </c>
      <c r="AC50" s="65">
        <v>68</v>
      </c>
      <c r="AD50" s="65">
        <v>68</v>
      </c>
      <c r="AE50" s="65">
        <v>18.899999999999999</v>
      </c>
      <c r="AF50" s="65">
        <v>0</v>
      </c>
      <c r="AG50" s="54">
        <v>70</v>
      </c>
      <c r="AH50" s="47">
        <f t="shared" si="2"/>
        <v>70.3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16.600000000000001</v>
      </c>
      <c r="C51" s="65">
        <v>16.7</v>
      </c>
      <c r="D51" s="65">
        <v>15.6</v>
      </c>
      <c r="E51" s="65">
        <v>15.7</v>
      </c>
      <c r="F51" s="65">
        <v>22.4</v>
      </c>
      <c r="G51" s="65">
        <v>33</v>
      </c>
      <c r="H51" s="65">
        <v>33.200000000000003</v>
      </c>
      <c r="I51" s="65">
        <v>34.200000000000003</v>
      </c>
      <c r="J51" s="65">
        <v>34.799999999999997</v>
      </c>
      <c r="K51" s="65">
        <v>34.5</v>
      </c>
      <c r="L51" s="65">
        <v>55.6</v>
      </c>
      <c r="M51" s="65">
        <v>69.8</v>
      </c>
      <c r="N51" s="65">
        <v>67</v>
      </c>
      <c r="O51" s="65">
        <v>50.4</v>
      </c>
      <c r="P51" s="65">
        <v>52</v>
      </c>
      <c r="Q51" s="65">
        <v>52.1</v>
      </c>
      <c r="R51" s="45">
        <v>61.2</v>
      </c>
      <c r="S51" s="45">
        <v>46</v>
      </c>
      <c r="T51" s="45">
        <v>46.4</v>
      </c>
      <c r="U51" s="45">
        <v>46.4</v>
      </c>
      <c r="V51" s="45">
        <v>36.6</v>
      </c>
      <c r="W51" s="45">
        <v>57.6</v>
      </c>
      <c r="X51" s="45">
        <v>55.8</v>
      </c>
      <c r="Y51" s="45">
        <v>67</v>
      </c>
      <c r="Z51" s="45">
        <v>55</v>
      </c>
      <c r="AA51" s="45">
        <v>55</v>
      </c>
      <c r="AB51" s="65">
        <v>67.7</v>
      </c>
      <c r="AC51" s="65">
        <v>67.7</v>
      </c>
      <c r="AD51" s="65">
        <v>67.7</v>
      </c>
      <c r="AE51" s="65">
        <v>61.6</v>
      </c>
      <c r="AF51" s="65">
        <v>32.1</v>
      </c>
      <c r="AG51" s="54">
        <v>69</v>
      </c>
      <c r="AH51" s="47">
        <f t="shared" si="2"/>
        <v>69.8</v>
      </c>
      <c r="AI51" s="48">
        <f t="shared" si="3"/>
        <v>15.6</v>
      </c>
      <c r="AK51" s="49"/>
    </row>
    <row r="52" spans="1:41" x14ac:dyDescent="0.25">
      <c r="A52" s="53" t="s">
        <v>60</v>
      </c>
      <c r="B52" s="56">
        <v>48.3</v>
      </c>
      <c r="C52" s="56">
        <v>50.2</v>
      </c>
      <c r="D52" s="56">
        <v>48.3</v>
      </c>
      <c r="E52" s="56">
        <v>48.6</v>
      </c>
      <c r="F52" s="56">
        <v>48.6</v>
      </c>
      <c r="G52" s="56">
        <v>48.6</v>
      </c>
      <c r="H52" s="56">
        <v>48.6</v>
      </c>
      <c r="I52" s="56">
        <v>48.6</v>
      </c>
      <c r="J52" s="56">
        <v>48.6</v>
      </c>
      <c r="K52" s="56">
        <v>48.6</v>
      </c>
      <c r="L52" s="56">
        <v>48.6</v>
      </c>
      <c r="M52" s="65">
        <v>49.1</v>
      </c>
      <c r="N52" s="65">
        <v>49.1</v>
      </c>
      <c r="O52" s="65">
        <v>49.4</v>
      </c>
      <c r="P52" s="65">
        <v>49.4</v>
      </c>
      <c r="Q52" s="65">
        <v>49.4</v>
      </c>
      <c r="R52" s="45">
        <v>48.1</v>
      </c>
      <c r="S52" s="45">
        <v>48.1</v>
      </c>
      <c r="T52" s="45">
        <v>46.1</v>
      </c>
      <c r="U52" s="45">
        <v>46.1</v>
      </c>
      <c r="V52" s="45">
        <v>46.1</v>
      </c>
      <c r="W52" s="45">
        <v>44.3</v>
      </c>
      <c r="X52" s="45">
        <v>44.3</v>
      </c>
      <c r="Y52" s="65">
        <v>44.3</v>
      </c>
      <c r="Z52" s="65">
        <v>44.3</v>
      </c>
      <c r="AA52" s="65">
        <v>44.3</v>
      </c>
      <c r="AB52" s="65">
        <v>48.9</v>
      </c>
      <c r="AC52" s="65">
        <v>48.9</v>
      </c>
      <c r="AD52" s="65">
        <v>48.9</v>
      </c>
      <c r="AE52" s="65">
        <v>48.9</v>
      </c>
      <c r="AF52" s="65">
        <v>53.2</v>
      </c>
      <c r="AG52" s="54">
        <v>60</v>
      </c>
      <c r="AH52" s="47">
        <f t="shared" si="2"/>
        <v>53.2</v>
      </c>
      <c r="AI52" s="48">
        <f t="shared" si="3"/>
        <v>44.3</v>
      </c>
      <c r="AK52" s="49"/>
    </row>
    <row r="53" spans="1:41" x14ac:dyDescent="0.25">
      <c r="A53" s="53" t="s">
        <v>61</v>
      </c>
      <c r="B53" s="56">
        <v>0</v>
      </c>
      <c r="C53" s="56">
        <v>0</v>
      </c>
      <c r="D53" s="56">
        <v>0</v>
      </c>
      <c r="E53" s="56">
        <v>0</v>
      </c>
      <c r="F53" s="56">
        <v>0</v>
      </c>
      <c r="G53" s="56">
        <v>9.9</v>
      </c>
      <c r="H53" s="56">
        <v>15</v>
      </c>
      <c r="I53" s="56">
        <v>15</v>
      </c>
      <c r="J53" s="56">
        <v>15</v>
      </c>
      <c r="K53" s="56">
        <v>25.4</v>
      </c>
      <c r="L53" s="56">
        <v>22.4</v>
      </c>
      <c r="M53" s="65">
        <v>27.6</v>
      </c>
      <c r="N53" s="65">
        <v>27.6</v>
      </c>
      <c r="O53" s="65">
        <v>10</v>
      </c>
      <c r="P53" s="65">
        <v>10</v>
      </c>
      <c r="Q53" s="65">
        <v>10</v>
      </c>
      <c r="R53" s="45">
        <v>9</v>
      </c>
      <c r="S53" s="45">
        <v>9</v>
      </c>
      <c r="T53" s="45">
        <v>6.9</v>
      </c>
      <c r="U53" s="45">
        <v>6.9</v>
      </c>
      <c r="V53" s="45">
        <v>6.9</v>
      </c>
      <c r="W53" s="45">
        <v>6.9</v>
      </c>
      <c r="X53" s="45">
        <v>6.9</v>
      </c>
      <c r="Y53" s="65">
        <v>6.9</v>
      </c>
      <c r="Z53" s="65">
        <v>6.9</v>
      </c>
      <c r="AA53" s="65">
        <v>6.9</v>
      </c>
      <c r="AB53" s="65">
        <v>14.8</v>
      </c>
      <c r="AC53" s="65">
        <v>14.8</v>
      </c>
      <c r="AD53" s="65">
        <v>14.8</v>
      </c>
      <c r="AE53" s="65">
        <v>14.8</v>
      </c>
      <c r="AF53" s="65">
        <v>9.8000000000000007</v>
      </c>
      <c r="AG53" s="54">
        <v>30</v>
      </c>
      <c r="AH53" s="47">
        <f t="shared" si="2"/>
        <v>27.6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65">
        <v>0</v>
      </c>
      <c r="N54" s="65">
        <v>0</v>
      </c>
      <c r="O54" s="65">
        <v>6</v>
      </c>
      <c r="P54" s="65">
        <v>6</v>
      </c>
      <c r="Q54" s="65">
        <v>6</v>
      </c>
      <c r="R54" s="45">
        <v>10</v>
      </c>
      <c r="S54" s="45">
        <v>10</v>
      </c>
      <c r="T54" s="45">
        <v>10</v>
      </c>
      <c r="U54" s="45">
        <v>10</v>
      </c>
      <c r="V54" s="45">
        <v>10</v>
      </c>
      <c r="W54" s="45">
        <v>0</v>
      </c>
      <c r="X54" s="4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10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17.100000000000001</v>
      </c>
      <c r="C55" s="65">
        <v>17.100000000000001</v>
      </c>
      <c r="D55" s="65">
        <v>17.100000000000001</v>
      </c>
      <c r="E55" s="65">
        <v>17.100000000000001</v>
      </c>
      <c r="F55" s="65">
        <v>17.100000000000001</v>
      </c>
      <c r="G55" s="65">
        <v>17.100000000000001</v>
      </c>
      <c r="H55" s="65">
        <v>17.100000000000001</v>
      </c>
      <c r="I55" s="65">
        <v>17.100000000000001</v>
      </c>
      <c r="J55" s="65">
        <v>17.100000000000001</v>
      </c>
      <c r="K55" s="65">
        <v>17.100000000000001</v>
      </c>
      <c r="L55" s="65">
        <v>17.100000000000001</v>
      </c>
      <c r="M55" s="65">
        <v>16</v>
      </c>
      <c r="N55" s="65">
        <v>16</v>
      </c>
      <c r="O55" s="65">
        <v>16</v>
      </c>
      <c r="P55" s="65">
        <v>16</v>
      </c>
      <c r="Q55" s="65">
        <v>16</v>
      </c>
      <c r="R55" s="45">
        <v>16</v>
      </c>
      <c r="S55" s="45">
        <v>16</v>
      </c>
      <c r="T55" s="45">
        <v>16</v>
      </c>
      <c r="U55" s="45">
        <v>16</v>
      </c>
      <c r="V55" s="45">
        <v>16</v>
      </c>
      <c r="W55" s="45">
        <v>16</v>
      </c>
      <c r="X55" s="45">
        <v>16</v>
      </c>
      <c r="Y55" s="65">
        <v>16</v>
      </c>
      <c r="Z55" s="65">
        <v>16</v>
      </c>
      <c r="AA55" s="65">
        <v>16</v>
      </c>
      <c r="AB55" s="65">
        <v>16</v>
      </c>
      <c r="AC55" s="65">
        <v>16</v>
      </c>
      <c r="AD55" s="65">
        <v>16</v>
      </c>
      <c r="AE55" s="65">
        <v>16</v>
      </c>
      <c r="AF55" s="65">
        <v>16</v>
      </c>
      <c r="AG55" s="54">
        <v>24</v>
      </c>
      <c r="AH55" s="47">
        <f t="shared" si="2"/>
        <v>17.100000000000001</v>
      </c>
      <c r="AI55" s="48">
        <f t="shared" si="3"/>
        <v>16</v>
      </c>
      <c r="AK55" s="49"/>
    </row>
    <row r="56" spans="1:41" x14ac:dyDescent="0.25">
      <c r="A56" s="53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45">
        <v>3.2</v>
      </c>
      <c r="S56" s="45">
        <v>3.2</v>
      </c>
      <c r="T56" s="45">
        <v>3.2</v>
      </c>
      <c r="U56" s="45">
        <v>3.2</v>
      </c>
      <c r="V56" s="45">
        <v>3.2</v>
      </c>
      <c r="W56" s="45">
        <v>3.2</v>
      </c>
      <c r="X56" s="4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4">
        <v>15</v>
      </c>
      <c r="AH56" s="47">
        <f t="shared" si="2"/>
        <v>3.2</v>
      </c>
      <c r="AI56" s="48">
        <f t="shared" si="3"/>
        <v>3.2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12.1</v>
      </c>
      <c r="C57" s="65">
        <v>12.1</v>
      </c>
      <c r="D57" s="65">
        <v>12.1</v>
      </c>
      <c r="E57" s="65">
        <v>12.1</v>
      </c>
      <c r="F57" s="65">
        <v>12.1</v>
      </c>
      <c r="G57" s="65">
        <v>12.1</v>
      </c>
      <c r="H57" s="65">
        <v>12.1</v>
      </c>
      <c r="I57" s="65">
        <v>12.1</v>
      </c>
      <c r="J57" s="65">
        <v>12.1</v>
      </c>
      <c r="K57" s="65">
        <v>12.1</v>
      </c>
      <c r="L57" s="65">
        <v>12.1</v>
      </c>
      <c r="M57" s="65">
        <v>11.4</v>
      </c>
      <c r="N57" s="65">
        <v>11.4</v>
      </c>
      <c r="O57" s="65">
        <v>11.5</v>
      </c>
      <c r="P57" s="65">
        <v>11.5</v>
      </c>
      <c r="Q57" s="65">
        <v>11.5</v>
      </c>
      <c r="R57" s="65">
        <v>12</v>
      </c>
      <c r="S57" s="65">
        <v>12</v>
      </c>
      <c r="T57" s="65">
        <v>12</v>
      </c>
      <c r="U57" s="65">
        <v>12</v>
      </c>
      <c r="V57" s="65">
        <v>12</v>
      </c>
      <c r="W57" s="65">
        <v>12</v>
      </c>
      <c r="X57" s="65">
        <v>12</v>
      </c>
      <c r="Y57" s="65">
        <v>12</v>
      </c>
      <c r="Z57" s="65">
        <v>12</v>
      </c>
      <c r="AA57" s="65">
        <v>12</v>
      </c>
      <c r="AB57" s="65">
        <v>12</v>
      </c>
      <c r="AC57" s="65">
        <v>12</v>
      </c>
      <c r="AD57" s="65">
        <v>12</v>
      </c>
      <c r="AE57" s="65">
        <v>12</v>
      </c>
      <c r="AF57" s="65">
        <v>12</v>
      </c>
      <c r="AG57" s="54">
        <v>14.1</v>
      </c>
      <c r="AH57" s="47">
        <f t="shared" si="2"/>
        <v>12.1</v>
      </c>
      <c r="AI57" s="48">
        <f t="shared" si="3"/>
        <v>11.4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4.7</v>
      </c>
      <c r="C58" s="65">
        <v>4.7</v>
      </c>
      <c r="D58" s="65">
        <v>4.7</v>
      </c>
      <c r="E58" s="65">
        <v>4.7</v>
      </c>
      <c r="F58" s="65">
        <v>4.7</v>
      </c>
      <c r="G58" s="65">
        <v>4.7</v>
      </c>
      <c r="H58" s="65">
        <v>4.7</v>
      </c>
      <c r="I58" s="65">
        <v>4.7</v>
      </c>
      <c r="J58" s="65">
        <v>4.7</v>
      </c>
      <c r="K58" s="65">
        <v>4.7</v>
      </c>
      <c r="L58" s="65">
        <v>4.7</v>
      </c>
      <c r="M58" s="65">
        <v>4.7</v>
      </c>
      <c r="N58" s="65">
        <v>4.7</v>
      </c>
      <c r="O58" s="65">
        <v>4.7</v>
      </c>
      <c r="P58" s="65">
        <v>4.7</v>
      </c>
      <c r="Q58" s="65">
        <v>4.7</v>
      </c>
      <c r="R58" s="65">
        <v>4.7</v>
      </c>
      <c r="S58" s="65">
        <v>4.7</v>
      </c>
      <c r="T58" s="65">
        <v>4.7</v>
      </c>
      <c r="U58" s="65">
        <v>4.7</v>
      </c>
      <c r="V58" s="65">
        <v>4.7</v>
      </c>
      <c r="W58" s="65">
        <v>4.7</v>
      </c>
      <c r="X58" s="65">
        <v>4.7</v>
      </c>
      <c r="Y58" s="65">
        <v>4.7</v>
      </c>
      <c r="Z58" s="65">
        <v>4.7</v>
      </c>
      <c r="AA58" s="65">
        <v>4.7</v>
      </c>
      <c r="AB58" s="65">
        <v>4.7</v>
      </c>
      <c r="AC58" s="65">
        <v>4.7</v>
      </c>
      <c r="AD58" s="65">
        <v>4.7</v>
      </c>
      <c r="AE58" s="65">
        <v>4.7</v>
      </c>
      <c r="AF58" s="65">
        <v>4.7</v>
      </c>
      <c r="AG58" s="54">
        <v>14</v>
      </c>
      <c r="AH58" s="47">
        <f t="shared" si="2"/>
        <v>4.7</v>
      </c>
      <c r="AI58" s="48">
        <f t="shared" si="3"/>
        <v>4.7</v>
      </c>
      <c r="AK58" s="49"/>
    </row>
    <row r="59" spans="1:41" x14ac:dyDescent="0.25">
      <c r="A59" s="53" t="s">
        <v>67</v>
      </c>
      <c r="B59" s="65">
        <v>5.2</v>
      </c>
      <c r="C59" s="65">
        <v>5.2</v>
      </c>
      <c r="D59" s="65">
        <v>5.2</v>
      </c>
      <c r="E59" s="65">
        <v>5.2</v>
      </c>
      <c r="F59" s="65">
        <v>5.2</v>
      </c>
      <c r="G59" s="65">
        <v>5.2</v>
      </c>
      <c r="H59" s="65">
        <v>5.2</v>
      </c>
      <c r="I59" s="65">
        <v>5.2</v>
      </c>
      <c r="J59" s="65">
        <v>5.2</v>
      </c>
      <c r="K59" s="65">
        <v>5.2</v>
      </c>
      <c r="L59" s="65">
        <v>5.2</v>
      </c>
      <c r="M59" s="65">
        <v>5.2</v>
      </c>
      <c r="N59" s="65">
        <v>5.2</v>
      </c>
      <c r="O59" s="65">
        <v>5.2</v>
      </c>
      <c r="P59" s="65">
        <v>5.2</v>
      </c>
      <c r="Q59" s="65">
        <v>5.2</v>
      </c>
      <c r="R59" s="65">
        <v>5.2</v>
      </c>
      <c r="S59" s="65">
        <v>5.2</v>
      </c>
      <c r="T59" s="65">
        <v>5.2</v>
      </c>
      <c r="U59" s="65">
        <v>5.2</v>
      </c>
      <c r="V59" s="65">
        <v>5.2</v>
      </c>
      <c r="W59" s="65">
        <v>5.2</v>
      </c>
      <c r="X59" s="65">
        <v>5.2</v>
      </c>
      <c r="Y59" s="65">
        <v>5.2</v>
      </c>
      <c r="Z59" s="65">
        <v>5.2</v>
      </c>
      <c r="AA59" s="65">
        <v>5.2</v>
      </c>
      <c r="AB59" s="65">
        <v>5.2</v>
      </c>
      <c r="AC59" s="65">
        <v>5.2</v>
      </c>
      <c r="AD59" s="65">
        <v>5.2</v>
      </c>
      <c r="AE59" s="65">
        <v>5.2</v>
      </c>
      <c r="AF59" s="65">
        <v>5.2</v>
      </c>
      <c r="AG59" s="54">
        <v>10.050000000000001</v>
      </c>
      <c r="AH59" s="47">
        <f t="shared" si="2"/>
        <v>5.2</v>
      </c>
      <c r="AI59" s="48">
        <f t="shared" si="3"/>
        <v>5.2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v>179.83999999999995</v>
      </c>
      <c r="C62" s="60">
        <f t="shared" ref="C62:AG62" si="6">SUM(C49:C61)</f>
        <v>115.94000000000001</v>
      </c>
      <c r="D62" s="60">
        <f t="shared" si="6"/>
        <v>112.94000000000001</v>
      </c>
      <c r="E62" s="60">
        <f t="shared" si="6"/>
        <v>113.34000000000002</v>
      </c>
      <c r="F62" s="60">
        <f t="shared" si="6"/>
        <v>120.04</v>
      </c>
      <c r="G62" s="60">
        <f t="shared" si="6"/>
        <v>140.53999999999996</v>
      </c>
      <c r="H62" s="60">
        <f t="shared" si="6"/>
        <v>183.63999999999993</v>
      </c>
      <c r="I62" s="60">
        <f t="shared" si="6"/>
        <v>231.03999999999994</v>
      </c>
      <c r="J62" s="60">
        <f t="shared" si="6"/>
        <v>274.33999999999997</v>
      </c>
      <c r="K62" s="60">
        <f t="shared" si="6"/>
        <v>330.14</v>
      </c>
      <c r="L62" s="60">
        <f t="shared" si="6"/>
        <v>380.14000000000004</v>
      </c>
      <c r="M62" s="60">
        <f t="shared" si="6"/>
        <v>406.24</v>
      </c>
      <c r="N62" s="60">
        <f t="shared" si="6"/>
        <v>403.44</v>
      </c>
      <c r="O62" s="60">
        <f t="shared" si="6"/>
        <v>328.03999999999996</v>
      </c>
      <c r="P62" s="60">
        <f t="shared" si="6"/>
        <v>313.73999999999995</v>
      </c>
      <c r="Q62" s="60">
        <f t="shared" si="6"/>
        <v>313.53999999999996</v>
      </c>
      <c r="R62" s="60">
        <f t="shared" si="6"/>
        <v>303.04000000000002</v>
      </c>
      <c r="S62" s="60">
        <f t="shared" si="6"/>
        <v>287.94</v>
      </c>
      <c r="T62" s="60">
        <f t="shared" si="6"/>
        <v>264.14</v>
      </c>
      <c r="U62" s="60">
        <f t="shared" si="6"/>
        <v>244.83999999999995</v>
      </c>
      <c r="V62" s="60">
        <f t="shared" si="6"/>
        <v>209.23999999999995</v>
      </c>
      <c r="W62" s="60">
        <f t="shared" si="6"/>
        <v>248.23999999999995</v>
      </c>
      <c r="X62" s="60">
        <f t="shared" si="6"/>
        <v>307.23999999999995</v>
      </c>
      <c r="Y62" s="60">
        <v>368.73999999999995</v>
      </c>
      <c r="Z62" s="60">
        <f t="shared" si="6"/>
        <v>314.53999999999996</v>
      </c>
      <c r="AA62" s="60">
        <f t="shared" si="6"/>
        <v>277.74</v>
      </c>
      <c r="AB62" s="60">
        <f t="shared" si="6"/>
        <v>341.43999999999994</v>
      </c>
      <c r="AC62" s="60">
        <f t="shared" si="6"/>
        <v>341.43999999999994</v>
      </c>
      <c r="AD62" s="60">
        <f t="shared" si="6"/>
        <v>341.43999999999994</v>
      </c>
      <c r="AE62" s="60">
        <f t="shared" si="6"/>
        <v>286.24</v>
      </c>
      <c r="AF62" s="60">
        <f t="shared" si="6"/>
        <v>168.33999999999995</v>
      </c>
      <c r="AG62" s="61">
        <f t="shared" si="6"/>
        <v>489.91</v>
      </c>
      <c r="AH62" s="47">
        <f t="shared" si="2"/>
        <v>406.24</v>
      </c>
      <c r="AI62" s="48">
        <f t="shared" si="3"/>
        <v>112.94000000000001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30</v>
      </c>
      <c r="V63" s="45">
        <v>60</v>
      </c>
      <c r="W63" s="45">
        <v>40</v>
      </c>
      <c r="X63" s="45">
        <v>40</v>
      </c>
      <c r="Y63" s="45">
        <v>35</v>
      </c>
      <c r="Z63" s="45">
        <v>40</v>
      </c>
      <c r="AA63" s="45">
        <v>30</v>
      </c>
      <c r="AB63" s="45">
        <v>25</v>
      </c>
      <c r="AC63" s="45">
        <v>25</v>
      </c>
      <c r="AD63" s="45">
        <v>0</v>
      </c>
      <c r="AE63" s="45">
        <v>0</v>
      </c>
      <c r="AF63" s="45">
        <v>0</v>
      </c>
      <c r="AG63" s="51">
        <v>60</v>
      </c>
      <c r="AH63" s="47">
        <f t="shared" si="2"/>
        <v>60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45">
        <v>0</v>
      </c>
      <c r="S64" s="65">
        <v>0</v>
      </c>
      <c r="T64" s="65">
        <v>0</v>
      </c>
      <c r="U64" s="65">
        <v>15</v>
      </c>
      <c r="V64" s="65">
        <v>28.4</v>
      </c>
      <c r="W64" s="65">
        <v>20</v>
      </c>
      <c r="X64" s="65">
        <v>14.1</v>
      </c>
      <c r="Y64" s="65">
        <v>14.1</v>
      </c>
      <c r="Z64" s="65">
        <v>14.1</v>
      </c>
      <c r="AA64" s="65">
        <v>16.5</v>
      </c>
      <c r="AB64" s="65">
        <v>10</v>
      </c>
      <c r="AC64" s="65">
        <v>10.9</v>
      </c>
      <c r="AD64" s="65">
        <v>0</v>
      </c>
      <c r="AE64" s="65">
        <v>0</v>
      </c>
      <c r="AF64" s="45">
        <v>0</v>
      </c>
      <c r="AG64" s="54">
        <v>32</v>
      </c>
      <c r="AH64" s="47">
        <f t="shared" si="2"/>
        <v>28.4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0</v>
      </c>
      <c r="N65" s="67">
        <v>0</v>
      </c>
      <c r="O65" s="67">
        <v>0</v>
      </c>
      <c r="P65" s="67">
        <v>0</v>
      </c>
      <c r="Q65" s="67">
        <v>0</v>
      </c>
      <c r="R65" s="45">
        <v>1.36</v>
      </c>
      <c r="S65" s="67">
        <v>0</v>
      </c>
      <c r="T65" s="67">
        <v>0</v>
      </c>
      <c r="U65" s="67">
        <v>5.9</v>
      </c>
      <c r="V65" s="67">
        <v>10.4</v>
      </c>
      <c r="W65" s="67">
        <v>8.5</v>
      </c>
      <c r="X65" s="67">
        <v>8.5</v>
      </c>
      <c r="Y65" s="67">
        <v>8.5</v>
      </c>
      <c r="Z65" s="67">
        <v>8.5</v>
      </c>
      <c r="AA65" s="67">
        <v>6</v>
      </c>
      <c r="AB65" s="67">
        <v>6</v>
      </c>
      <c r="AC65" s="67">
        <v>4</v>
      </c>
      <c r="AD65" s="67">
        <v>0</v>
      </c>
      <c r="AE65" s="67">
        <v>0</v>
      </c>
      <c r="AF65" s="45">
        <v>0</v>
      </c>
      <c r="AG65" s="68">
        <v>14</v>
      </c>
      <c r="AH65" s="47">
        <f t="shared" si="2"/>
        <v>10.4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0</v>
      </c>
      <c r="M66" s="60">
        <f t="shared" ref="M66:AF66" si="7">M63+M64+M65</f>
        <v>0</v>
      </c>
      <c r="N66" s="60">
        <f t="shared" si="7"/>
        <v>0</v>
      </c>
      <c r="O66" s="60">
        <f t="shared" si="7"/>
        <v>0</v>
      </c>
      <c r="P66" s="60">
        <f t="shared" si="7"/>
        <v>0</v>
      </c>
      <c r="Q66" s="60">
        <f t="shared" si="7"/>
        <v>0</v>
      </c>
      <c r="R66" s="60">
        <f t="shared" si="7"/>
        <v>1.36</v>
      </c>
      <c r="S66" s="60">
        <f t="shared" si="7"/>
        <v>0</v>
      </c>
      <c r="T66" s="60">
        <f t="shared" si="7"/>
        <v>0</v>
      </c>
      <c r="U66" s="60">
        <f t="shared" si="7"/>
        <v>50.9</v>
      </c>
      <c r="V66" s="60">
        <f t="shared" si="7"/>
        <v>98.800000000000011</v>
      </c>
      <c r="W66" s="60">
        <f t="shared" si="7"/>
        <v>68.5</v>
      </c>
      <c r="X66" s="60">
        <f t="shared" si="7"/>
        <v>62.6</v>
      </c>
      <c r="Y66" s="60">
        <v>57.6</v>
      </c>
      <c r="Z66" s="60">
        <f t="shared" si="7"/>
        <v>62.6</v>
      </c>
      <c r="AA66" s="60">
        <f t="shared" si="7"/>
        <v>52.5</v>
      </c>
      <c r="AB66" s="60">
        <f t="shared" si="7"/>
        <v>41</v>
      </c>
      <c r="AC66" s="60">
        <f t="shared" si="7"/>
        <v>39.9</v>
      </c>
      <c r="AD66" s="60">
        <f t="shared" si="7"/>
        <v>0</v>
      </c>
      <c r="AE66" s="60">
        <f t="shared" si="7"/>
        <v>0</v>
      </c>
      <c r="AF66" s="60">
        <f t="shared" si="7"/>
        <v>0</v>
      </c>
      <c r="AG66" s="61">
        <f>SUM(AG63:AG65)</f>
        <v>106</v>
      </c>
      <c r="AH66" s="47">
        <f t="shared" si="2"/>
        <v>98.800000000000011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62</v>
      </c>
      <c r="C67" s="45">
        <v>55</v>
      </c>
      <c r="D67" s="45">
        <v>68.3</v>
      </c>
      <c r="E67" s="45">
        <v>69.2</v>
      </c>
      <c r="F67" s="45">
        <v>57.2</v>
      </c>
      <c r="G67" s="45">
        <v>63.8</v>
      </c>
      <c r="H67" s="45">
        <v>69.900000000000006</v>
      </c>
      <c r="I67" s="45">
        <v>67.3</v>
      </c>
      <c r="J67" s="45">
        <v>71</v>
      </c>
      <c r="K67" s="45">
        <v>65</v>
      </c>
      <c r="L67" s="45">
        <v>66.7</v>
      </c>
      <c r="M67" s="45">
        <v>66</v>
      </c>
      <c r="N67" s="45">
        <v>67</v>
      </c>
      <c r="O67" s="45">
        <v>66</v>
      </c>
      <c r="P67" s="45">
        <v>72</v>
      </c>
      <c r="Q67" s="45">
        <v>68.900000000000006</v>
      </c>
      <c r="R67" s="45">
        <v>65</v>
      </c>
      <c r="S67" s="45">
        <v>68</v>
      </c>
      <c r="T67" s="45">
        <v>66</v>
      </c>
      <c r="U67" s="45">
        <v>64</v>
      </c>
      <c r="V67" s="45">
        <v>56</v>
      </c>
      <c r="W67" s="45">
        <v>67.599999999999994</v>
      </c>
      <c r="X67" s="45">
        <v>62.6</v>
      </c>
      <c r="Y67" s="45">
        <v>67</v>
      </c>
      <c r="Z67" s="45">
        <v>68.8</v>
      </c>
      <c r="AA67" s="45">
        <v>68</v>
      </c>
      <c r="AB67" s="45">
        <v>68</v>
      </c>
      <c r="AC67" s="45">
        <v>68</v>
      </c>
      <c r="AD67" s="45">
        <v>67.5</v>
      </c>
      <c r="AE67" s="45">
        <v>70.099999999999994</v>
      </c>
      <c r="AF67" s="45">
        <v>56.7</v>
      </c>
      <c r="AG67" s="51"/>
      <c r="AH67" s="47">
        <f t="shared" si="2"/>
        <v>72</v>
      </c>
      <c r="AI67" s="48">
        <f t="shared" si="3"/>
        <v>55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215</v>
      </c>
      <c r="C69" s="65">
        <v>280</v>
      </c>
      <c r="D69" s="65">
        <v>261.60000000000002</v>
      </c>
      <c r="E69" s="65">
        <v>275</v>
      </c>
      <c r="F69" s="65">
        <v>300</v>
      </c>
      <c r="G69" s="65">
        <v>294.2</v>
      </c>
      <c r="H69" s="65">
        <v>286.8</v>
      </c>
      <c r="I69" s="65">
        <v>281</v>
      </c>
      <c r="J69" s="65">
        <v>301</v>
      </c>
      <c r="K69" s="65">
        <v>283</v>
      </c>
      <c r="L69" s="65">
        <v>262</v>
      </c>
      <c r="M69" s="65">
        <v>240</v>
      </c>
      <c r="N69" s="65">
        <v>230</v>
      </c>
      <c r="O69" s="65">
        <v>241</v>
      </c>
      <c r="P69" s="65">
        <v>297</v>
      </c>
      <c r="Q69" s="65">
        <v>290</v>
      </c>
      <c r="R69" s="65">
        <v>336</v>
      </c>
      <c r="S69" s="65">
        <v>335</v>
      </c>
      <c r="T69" s="65">
        <v>380</v>
      </c>
      <c r="U69" s="65">
        <v>370</v>
      </c>
      <c r="V69" s="65">
        <v>255</v>
      </c>
      <c r="W69" s="65">
        <v>237</v>
      </c>
      <c r="X69" s="65">
        <v>240</v>
      </c>
      <c r="Y69" s="65">
        <v>235</v>
      </c>
      <c r="Z69" s="65">
        <v>272</v>
      </c>
      <c r="AA69" s="65">
        <v>256</v>
      </c>
      <c r="AB69" s="65">
        <v>269.60000000000002</v>
      </c>
      <c r="AC69" s="65">
        <v>267.89999999999998</v>
      </c>
      <c r="AD69" s="65">
        <v>256.8</v>
      </c>
      <c r="AE69" s="65">
        <v>256</v>
      </c>
      <c r="AF69" s="65">
        <v>289</v>
      </c>
      <c r="AG69" s="75"/>
      <c r="AH69" s="47">
        <f t="shared" si="2"/>
        <v>380</v>
      </c>
      <c r="AI69" s="48">
        <f t="shared" si="3"/>
        <v>215</v>
      </c>
      <c r="AK69" s="49"/>
    </row>
    <row r="70" spans="1:40" x14ac:dyDescent="0.25">
      <c r="A70" s="53" t="s">
        <v>78</v>
      </c>
      <c r="B70" s="76">
        <v>59</v>
      </c>
      <c r="C70" s="76">
        <v>58.2</v>
      </c>
      <c r="D70" s="76">
        <v>53.7</v>
      </c>
      <c r="E70" s="76">
        <v>10</v>
      </c>
      <c r="F70" s="76">
        <v>10</v>
      </c>
      <c r="G70" s="76">
        <v>53</v>
      </c>
      <c r="H70" s="76">
        <v>59.8</v>
      </c>
      <c r="I70" s="76">
        <v>60.1</v>
      </c>
      <c r="J70" s="76">
        <v>61.8</v>
      </c>
      <c r="K70" s="76">
        <v>61</v>
      </c>
      <c r="L70" s="76">
        <v>58.9</v>
      </c>
      <c r="M70" s="76">
        <v>58.9</v>
      </c>
      <c r="N70" s="76">
        <v>54.2</v>
      </c>
      <c r="O70" s="76">
        <v>49</v>
      </c>
      <c r="P70" s="76">
        <v>57.4</v>
      </c>
      <c r="Q70" s="76">
        <v>63.4</v>
      </c>
      <c r="R70" s="76">
        <v>51.7</v>
      </c>
      <c r="S70" s="76">
        <v>51</v>
      </c>
      <c r="T70" s="76">
        <v>51</v>
      </c>
      <c r="U70" s="76">
        <v>51</v>
      </c>
      <c r="V70" s="76">
        <v>42.4</v>
      </c>
      <c r="W70" s="76">
        <v>42.4</v>
      </c>
      <c r="X70" s="76">
        <v>42.4</v>
      </c>
      <c r="Y70" s="65">
        <v>42.4</v>
      </c>
      <c r="Z70" s="65">
        <v>48</v>
      </c>
      <c r="AA70" s="65">
        <v>48</v>
      </c>
      <c r="AB70" s="65">
        <v>59.4</v>
      </c>
      <c r="AC70" s="65">
        <v>59.4</v>
      </c>
      <c r="AD70" s="65">
        <v>46</v>
      </c>
      <c r="AE70" s="65">
        <v>52.2</v>
      </c>
      <c r="AF70" s="65">
        <v>58</v>
      </c>
      <c r="AG70" s="75"/>
      <c r="AH70" s="47">
        <f t="shared" si="2"/>
        <v>63.4</v>
      </c>
      <c r="AI70" s="48">
        <f t="shared" si="3"/>
        <v>10</v>
      </c>
      <c r="AK70" s="49"/>
    </row>
    <row r="71" spans="1:40" x14ac:dyDescent="0.25">
      <c r="A71" s="53" t="s">
        <v>79</v>
      </c>
      <c r="B71" s="45">
        <v>16.7</v>
      </c>
      <c r="C71" s="45">
        <v>17.899999999999999</v>
      </c>
      <c r="D71" s="45">
        <v>17.100000000000001</v>
      </c>
      <c r="E71" s="45">
        <v>18.600000000000001</v>
      </c>
      <c r="F71" s="45">
        <v>18.8</v>
      </c>
      <c r="G71" s="45">
        <v>0</v>
      </c>
      <c r="H71" s="45">
        <v>17.399999999999999</v>
      </c>
      <c r="I71" s="45">
        <v>19.600000000000001</v>
      </c>
      <c r="J71" s="45">
        <v>22</v>
      </c>
      <c r="K71" s="45">
        <v>12</v>
      </c>
      <c r="L71" s="45">
        <v>26.3</v>
      </c>
      <c r="M71" s="45">
        <v>30.4</v>
      </c>
      <c r="N71" s="45">
        <v>30.2</v>
      </c>
      <c r="O71" s="45">
        <v>30.4</v>
      </c>
      <c r="P71" s="45">
        <v>32</v>
      </c>
      <c r="Q71" s="45">
        <v>36.4</v>
      </c>
      <c r="R71" s="45">
        <v>33.6</v>
      </c>
      <c r="S71" s="45">
        <v>33</v>
      </c>
      <c r="T71" s="45">
        <v>33</v>
      </c>
      <c r="U71" s="45">
        <v>33</v>
      </c>
      <c r="V71" s="45">
        <v>33</v>
      </c>
      <c r="W71" s="45">
        <v>33</v>
      </c>
      <c r="X71" s="45">
        <v>33</v>
      </c>
      <c r="Y71" s="45">
        <v>33</v>
      </c>
      <c r="Z71" s="45">
        <v>33</v>
      </c>
      <c r="AA71" s="45">
        <v>33</v>
      </c>
      <c r="AB71" s="45">
        <v>25</v>
      </c>
      <c r="AC71" s="45">
        <v>25</v>
      </c>
      <c r="AD71" s="45">
        <v>25</v>
      </c>
      <c r="AE71" s="45">
        <v>22</v>
      </c>
      <c r="AF71" s="45">
        <v>22</v>
      </c>
      <c r="AG71" s="75"/>
      <c r="AH71" s="47">
        <f t="shared" si="2"/>
        <v>36.4</v>
      </c>
      <c r="AI71" s="48">
        <f t="shared" si="3"/>
        <v>0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5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0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8">MAX(B75:AF75)</f>
        <v>0</v>
      </c>
      <c r="AI75" s="48">
        <f t="shared" ref="AI75:AI113" si="9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8"/>
        <v>0</v>
      </c>
      <c r="AI76" s="48">
        <f t="shared" si="9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8"/>
        <v>0</v>
      </c>
      <c r="AI77" s="48">
        <f t="shared" si="9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F78" si="10">SUMIF(B67:B77,"&gt;0")</f>
        <v>357.7</v>
      </c>
      <c r="C78" s="60">
        <f t="shared" si="10"/>
        <v>416.09999999999997</v>
      </c>
      <c r="D78" s="60">
        <f t="shared" si="10"/>
        <v>405.70000000000005</v>
      </c>
      <c r="E78" s="60">
        <f t="shared" si="10"/>
        <v>372.8</v>
      </c>
      <c r="F78" s="60">
        <f t="shared" si="10"/>
        <v>386</v>
      </c>
      <c r="G78" s="60">
        <f t="shared" si="10"/>
        <v>411</v>
      </c>
      <c r="H78" s="60">
        <f t="shared" si="10"/>
        <v>433.90000000000003</v>
      </c>
      <c r="I78" s="60">
        <f t="shared" si="10"/>
        <v>428.00000000000006</v>
      </c>
      <c r="J78" s="60">
        <f t="shared" si="10"/>
        <v>460.8</v>
      </c>
      <c r="K78" s="60">
        <f t="shared" si="10"/>
        <v>426</v>
      </c>
      <c r="L78" s="60">
        <f t="shared" si="10"/>
        <v>418.9</v>
      </c>
      <c r="M78" s="60">
        <f t="shared" si="10"/>
        <v>400.29999999999995</v>
      </c>
      <c r="N78" s="60">
        <f t="shared" si="10"/>
        <v>386.4</v>
      </c>
      <c r="O78" s="60">
        <f t="shared" si="10"/>
        <v>391.4</v>
      </c>
      <c r="P78" s="60">
        <f t="shared" si="10"/>
        <v>463.4</v>
      </c>
      <c r="Q78" s="60">
        <f t="shared" si="10"/>
        <v>463.69999999999993</v>
      </c>
      <c r="R78" s="60">
        <f t="shared" si="10"/>
        <v>491.3</v>
      </c>
      <c r="S78" s="60">
        <f t="shared" si="10"/>
        <v>492</v>
      </c>
      <c r="T78" s="60">
        <f t="shared" si="10"/>
        <v>535</v>
      </c>
      <c r="U78" s="60">
        <f t="shared" si="10"/>
        <v>523</v>
      </c>
      <c r="V78" s="60">
        <f t="shared" si="10"/>
        <v>391.4</v>
      </c>
      <c r="W78" s="60">
        <f t="shared" si="10"/>
        <v>385</v>
      </c>
      <c r="X78" s="60">
        <f t="shared" si="10"/>
        <v>383</v>
      </c>
      <c r="Y78" s="60">
        <v>382.4</v>
      </c>
      <c r="Z78" s="60">
        <f t="shared" si="10"/>
        <v>426.8</v>
      </c>
      <c r="AA78" s="60">
        <f t="shared" si="10"/>
        <v>410</v>
      </c>
      <c r="AB78" s="60">
        <f t="shared" si="10"/>
        <v>427</v>
      </c>
      <c r="AC78" s="60">
        <f t="shared" si="10"/>
        <v>425.29999999999995</v>
      </c>
      <c r="AD78" s="60">
        <f t="shared" si="10"/>
        <v>400.3</v>
      </c>
      <c r="AE78" s="60">
        <f t="shared" si="10"/>
        <v>405.3</v>
      </c>
      <c r="AF78" s="60">
        <f t="shared" si="10"/>
        <v>430.7</v>
      </c>
      <c r="AG78" s="88">
        <f>SUM(AG67:AG77)</f>
        <v>0</v>
      </c>
      <c r="AH78" s="47">
        <f t="shared" si="8"/>
        <v>535</v>
      </c>
      <c r="AI78" s="48">
        <f t="shared" si="9"/>
        <v>357.7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8"/>
        <v>0</v>
      </c>
      <c r="AI79" s="48">
        <f t="shared" si="9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8"/>
        <v>0</v>
      </c>
      <c r="AI80" s="48">
        <f t="shared" si="9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8"/>
        <v>0</v>
      </c>
      <c r="AI81" s="48">
        <f t="shared" si="9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>
        <v>0</v>
      </c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8"/>
        <v>0</v>
      </c>
      <c r="AI82" s="48">
        <f t="shared" si="9"/>
        <v>0</v>
      </c>
    </row>
    <row r="83" spans="1:37" ht="15.75" thickBot="1" x14ac:dyDescent="0.3">
      <c r="A83" s="74" t="s">
        <v>94</v>
      </c>
      <c r="B83" s="95">
        <f>B44+B48+B66+B62+B78+B82</f>
        <v>1092.04</v>
      </c>
      <c r="C83" s="95">
        <f t="shared" ref="C83:AG83" si="11">C44+C48+C66+C62+C78+C82</f>
        <v>1024.54</v>
      </c>
      <c r="D83" s="95">
        <f t="shared" si="11"/>
        <v>1011.44</v>
      </c>
      <c r="E83" s="95">
        <f t="shared" si="11"/>
        <v>978.33999999999992</v>
      </c>
      <c r="F83" s="95">
        <f t="shared" si="11"/>
        <v>998.24</v>
      </c>
      <c r="G83" s="95">
        <f t="shared" si="11"/>
        <v>1058.24</v>
      </c>
      <c r="H83" s="95">
        <f t="shared" si="11"/>
        <v>1137.74</v>
      </c>
      <c r="I83" s="95">
        <f t="shared" si="11"/>
        <v>1199.24</v>
      </c>
      <c r="J83" s="95">
        <f t="shared" si="11"/>
        <v>1275.3399999999999</v>
      </c>
      <c r="K83" s="95">
        <f t="shared" si="11"/>
        <v>1336.3400000000001</v>
      </c>
      <c r="L83" s="95">
        <f t="shared" si="11"/>
        <v>1389.1399999999999</v>
      </c>
      <c r="M83" s="95">
        <f t="shared" si="11"/>
        <v>1445.6399999999999</v>
      </c>
      <c r="N83" s="95">
        <f t="shared" si="11"/>
        <v>1443.94</v>
      </c>
      <c r="O83" s="95">
        <f t="shared" si="11"/>
        <v>1363.54</v>
      </c>
      <c r="P83" s="95">
        <f t="shared" si="11"/>
        <v>1374.8399999999997</v>
      </c>
      <c r="Q83" s="95">
        <f t="shared" si="11"/>
        <v>1374.9399999999998</v>
      </c>
      <c r="R83" s="95">
        <f t="shared" si="11"/>
        <v>1333.5</v>
      </c>
      <c r="S83" s="95">
        <f t="shared" si="11"/>
        <v>1317.74</v>
      </c>
      <c r="T83" s="95">
        <f t="shared" si="11"/>
        <v>1335.54</v>
      </c>
      <c r="U83" s="95">
        <f t="shared" si="11"/>
        <v>1355.1399999999999</v>
      </c>
      <c r="V83" s="95">
        <f t="shared" si="11"/>
        <v>1226.54</v>
      </c>
      <c r="W83" s="95">
        <f t="shared" si="11"/>
        <v>1306.6399999999999</v>
      </c>
      <c r="X83" s="95">
        <f t="shared" si="11"/>
        <v>1402.84</v>
      </c>
      <c r="Y83" s="95">
        <v>1458.8399999999997</v>
      </c>
      <c r="Z83" s="95">
        <f t="shared" si="11"/>
        <v>1424.04</v>
      </c>
      <c r="AA83" s="95">
        <f t="shared" si="11"/>
        <v>1360.3400000000001</v>
      </c>
      <c r="AB83" s="95">
        <f t="shared" si="11"/>
        <v>1421.1399999999999</v>
      </c>
      <c r="AC83" s="95">
        <f t="shared" si="11"/>
        <v>1410.7399999999998</v>
      </c>
      <c r="AD83" s="95">
        <f t="shared" si="11"/>
        <v>1375.74</v>
      </c>
      <c r="AE83" s="95">
        <f t="shared" si="11"/>
        <v>1293.54</v>
      </c>
      <c r="AF83" s="95">
        <f t="shared" si="11"/>
        <v>1151.04</v>
      </c>
      <c r="AG83" s="61">
        <f t="shared" si="11"/>
        <v>2004.1900000000003</v>
      </c>
      <c r="AH83" s="47">
        <f>MAX(B83:AF83)</f>
        <v>1458.8399999999997</v>
      </c>
      <c r="AI83" s="48">
        <f>MIN(B83:AF83)</f>
        <v>978.33999999999992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>
        <v>100</v>
      </c>
      <c r="L84" s="97">
        <v>100</v>
      </c>
      <c r="M84" s="97">
        <v>180</v>
      </c>
      <c r="N84" s="97">
        <v>180</v>
      </c>
      <c r="O84" s="97">
        <v>180</v>
      </c>
      <c r="P84" s="97"/>
      <c r="Q84" s="97"/>
      <c r="R84" s="97"/>
      <c r="S84" s="97"/>
      <c r="T84" s="97"/>
      <c r="U84" s="97"/>
      <c r="V84" s="97"/>
      <c r="W84" s="97">
        <v>70</v>
      </c>
      <c r="X84" s="97">
        <v>120</v>
      </c>
      <c r="Y84" s="97">
        <v>200</v>
      </c>
      <c r="Z84" s="97">
        <v>200</v>
      </c>
      <c r="AA84" s="97">
        <v>180</v>
      </c>
      <c r="AB84" s="97">
        <v>140</v>
      </c>
      <c r="AC84" s="97">
        <v>130</v>
      </c>
      <c r="AD84" s="97"/>
      <c r="AE84" s="97"/>
      <c r="AF84" s="97"/>
      <c r="AG84" s="88"/>
      <c r="AH84" s="47">
        <f t="shared" si="8"/>
        <v>200</v>
      </c>
      <c r="AI84" s="48">
        <f t="shared" si="9"/>
        <v>70</v>
      </c>
    </row>
    <row r="85" spans="1:37" ht="15.75" thickBot="1" x14ac:dyDescent="0.3">
      <c r="A85" s="74" t="s">
        <v>96</v>
      </c>
      <c r="B85" s="95">
        <f>B83+B84</f>
        <v>1092.04</v>
      </c>
      <c r="C85" s="95">
        <f t="shared" ref="C85:AF85" si="12">C83+C84</f>
        <v>1024.54</v>
      </c>
      <c r="D85" s="95">
        <f t="shared" si="12"/>
        <v>1011.44</v>
      </c>
      <c r="E85" s="95">
        <f t="shared" si="12"/>
        <v>978.33999999999992</v>
      </c>
      <c r="F85" s="95">
        <f t="shared" si="12"/>
        <v>998.24</v>
      </c>
      <c r="G85" s="95">
        <f t="shared" si="12"/>
        <v>1058.24</v>
      </c>
      <c r="H85" s="95">
        <f t="shared" si="12"/>
        <v>1137.74</v>
      </c>
      <c r="I85" s="95">
        <f t="shared" si="12"/>
        <v>1199.24</v>
      </c>
      <c r="J85" s="95">
        <f t="shared" si="12"/>
        <v>1275.3399999999999</v>
      </c>
      <c r="K85" s="95">
        <f t="shared" si="12"/>
        <v>1436.3400000000001</v>
      </c>
      <c r="L85" s="95">
        <f t="shared" si="12"/>
        <v>1489.1399999999999</v>
      </c>
      <c r="M85" s="95">
        <f t="shared" si="12"/>
        <v>1625.6399999999999</v>
      </c>
      <c r="N85" s="95">
        <f t="shared" si="12"/>
        <v>1623.94</v>
      </c>
      <c r="O85" s="95">
        <f t="shared" si="12"/>
        <v>1543.54</v>
      </c>
      <c r="P85" s="95">
        <f t="shared" si="12"/>
        <v>1374.8399999999997</v>
      </c>
      <c r="Q85" s="95">
        <f t="shared" si="12"/>
        <v>1374.9399999999998</v>
      </c>
      <c r="R85" s="95">
        <f t="shared" si="12"/>
        <v>1333.5</v>
      </c>
      <c r="S85" s="95">
        <f t="shared" si="12"/>
        <v>1317.74</v>
      </c>
      <c r="T85" s="95">
        <f t="shared" si="12"/>
        <v>1335.54</v>
      </c>
      <c r="U85" s="95">
        <f t="shared" si="12"/>
        <v>1355.1399999999999</v>
      </c>
      <c r="V85" s="95">
        <f t="shared" si="12"/>
        <v>1226.54</v>
      </c>
      <c r="W85" s="95">
        <f t="shared" si="12"/>
        <v>1376.6399999999999</v>
      </c>
      <c r="X85" s="95">
        <f t="shared" si="12"/>
        <v>1522.84</v>
      </c>
      <c r="Y85" s="95">
        <v>1658.8399999999997</v>
      </c>
      <c r="Z85" s="95">
        <f t="shared" si="12"/>
        <v>1624.04</v>
      </c>
      <c r="AA85" s="95">
        <f t="shared" si="12"/>
        <v>1540.3400000000001</v>
      </c>
      <c r="AB85" s="95">
        <f t="shared" si="12"/>
        <v>1561.1399999999999</v>
      </c>
      <c r="AC85" s="95">
        <f t="shared" si="12"/>
        <v>1540.7399999999998</v>
      </c>
      <c r="AD85" s="95">
        <f t="shared" si="12"/>
        <v>1375.74</v>
      </c>
      <c r="AE85" s="95">
        <f t="shared" si="12"/>
        <v>1293.54</v>
      </c>
      <c r="AF85" s="95">
        <f t="shared" si="12"/>
        <v>1151.04</v>
      </c>
      <c r="AG85" s="88">
        <f>AG82+AG78+AG66+AG62+AG44+AG84</f>
        <v>1466.0900000000001</v>
      </c>
      <c r="AH85" s="47">
        <f t="shared" si="8"/>
        <v>1658.8399999999997</v>
      </c>
      <c r="AI85" s="48">
        <f t="shared" si="9"/>
        <v>978.33999999999992</v>
      </c>
    </row>
    <row r="86" spans="1:37" ht="15.75" thickBot="1" x14ac:dyDescent="0.3">
      <c r="A86" s="74" t="s">
        <v>97</v>
      </c>
      <c r="B86" s="95">
        <f t="shared" ref="B86:AF86" si="13">B85-B93</f>
        <v>1092.04</v>
      </c>
      <c r="C86" s="95">
        <f t="shared" si="13"/>
        <v>1024.54</v>
      </c>
      <c r="D86" s="95">
        <f t="shared" si="13"/>
        <v>1011.44</v>
      </c>
      <c r="E86" s="95">
        <f t="shared" si="13"/>
        <v>978.33999999999992</v>
      </c>
      <c r="F86" s="95">
        <f t="shared" si="13"/>
        <v>998.24</v>
      </c>
      <c r="G86" s="95">
        <f t="shared" si="13"/>
        <v>1058.24</v>
      </c>
      <c r="H86" s="95">
        <f t="shared" si="13"/>
        <v>1137.74</v>
      </c>
      <c r="I86" s="95">
        <f t="shared" si="13"/>
        <v>1199.24</v>
      </c>
      <c r="J86" s="95">
        <f t="shared" si="13"/>
        <v>1275.3399999999999</v>
      </c>
      <c r="K86" s="95">
        <f t="shared" si="13"/>
        <v>1436.3400000000001</v>
      </c>
      <c r="L86" s="95">
        <f t="shared" si="13"/>
        <v>1489.1399999999999</v>
      </c>
      <c r="M86" s="95">
        <f t="shared" si="13"/>
        <v>1625.6399999999999</v>
      </c>
      <c r="N86" s="95">
        <f t="shared" si="13"/>
        <v>1623.94</v>
      </c>
      <c r="O86" s="95">
        <f t="shared" si="13"/>
        <v>1543.54</v>
      </c>
      <c r="P86" s="95">
        <f t="shared" si="13"/>
        <v>1374.8399999999997</v>
      </c>
      <c r="Q86" s="95">
        <f t="shared" si="13"/>
        <v>1374.9399999999998</v>
      </c>
      <c r="R86" s="95">
        <f t="shared" si="13"/>
        <v>1333.5</v>
      </c>
      <c r="S86" s="95">
        <f t="shared" si="13"/>
        <v>1317.74</v>
      </c>
      <c r="T86" s="95">
        <f t="shared" si="13"/>
        <v>1335.54</v>
      </c>
      <c r="U86" s="95">
        <f t="shared" si="13"/>
        <v>1355.1399999999999</v>
      </c>
      <c r="V86" s="95">
        <f t="shared" si="13"/>
        <v>1226.54</v>
      </c>
      <c r="W86" s="95">
        <f t="shared" si="13"/>
        <v>1376.6399999999999</v>
      </c>
      <c r="X86" s="95">
        <f t="shared" si="13"/>
        <v>1522.84</v>
      </c>
      <c r="Y86" s="95">
        <v>1658.8399999999997</v>
      </c>
      <c r="Z86" s="95">
        <f t="shared" si="13"/>
        <v>1624.04</v>
      </c>
      <c r="AA86" s="95">
        <f t="shared" si="13"/>
        <v>1540.3400000000001</v>
      </c>
      <c r="AB86" s="95">
        <f t="shared" si="13"/>
        <v>1561.1399999999999</v>
      </c>
      <c r="AC86" s="95">
        <f t="shared" si="13"/>
        <v>1540.7399999999998</v>
      </c>
      <c r="AD86" s="95">
        <f t="shared" si="13"/>
        <v>1375.74</v>
      </c>
      <c r="AE86" s="95">
        <f t="shared" si="13"/>
        <v>1293.54</v>
      </c>
      <c r="AF86" s="95">
        <f t="shared" si="13"/>
        <v>1151.04</v>
      </c>
      <c r="AG86" s="88"/>
      <c r="AH86" s="47">
        <f t="shared" si="8"/>
        <v>1658.8399999999997</v>
      </c>
      <c r="AI86" s="48">
        <f t="shared" si="9"/>
        <v>978.33999999999992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8"/>
        <v>0</v>
      </c>
      <c r="AI87" s="48">
        <f t="shared" si="9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8"/>
        <v>0</v>
      </c>
      <c r="AI88" s="48">
        <f t="shared" si="9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8"/>
        <v>0</v>
      </c>
      <c r="AI89" s="48">
        <f t="shared" si="9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8"/>
        <v>0</v>
      </c>
      <c r="AI90" s="48">
        <f t="shared" si="9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8"/>
        <v>0</v>
      </c>
      <c r="AI91" s="48">
        <f t="shared" si="9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8"/>
        <v>0</v>
      </c>
      <c r="AI92" s="48">
        <f t="shared" si="9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>
        <v>0</v>
      </c>
      <c r="Z93" s="60"/>
      <c r="AA93" s="60"/>
      <c r="AB93" s="60"/>
      <c r="AC93" s="60"/>
      <c r="AD93" s="60"/>
      <c r="AE93" s="60"/>
      <c r="AF93" s="60"/>
      <c r="AG93" s="88"/>
      <c r="AH93" s="47">
        <f t="shared" si="8"/>
        <v>0</v>
      </c>
      <c r="AI93" s="48">
        <f t="shared" si="9"/>
        <v>0</v>
      </c>
      <c r="AK93" s="49"/>
    </row>
    <row r="94" spans="1:37" ht="15.75" thickBot="1" x14ac:dyDescent="0.3">
      <c r="A94" s="74" t="s">
        <v>102</v>
      </c>
      <c r="B94" s="60">
        <f t="shared" ref="B94:AF94" si="14">B78-B93</f>
        <v>357.7</v>
      </c>
      <c r="C94" s="60">
        <f t="shared" si="14"/>
        <v>416.09999999999997</v>
      </c>
      <c r="D94" s="60">
        <f t="shared" si="14"/>
        <v>405.70000000000005</v>
      </c>
      <c r="E94" s="60">
        <f t="shared" si="14"/>
        <v>372.8</v>
      </c>
      <c r="F94" s="60">
        <f t="shared" si="14"/>
        <v>386</v>
      </c>
      <c r="G94" s="60">
        <f t="shared" si="14"/>
        <v>411</v>
      </c>
      <c r="H94" s="60">
        <f t="shared" si="14"/>
        <v>433.90000000000003</v>
      </c>
      <c r="I94" s="60">
        <f t="shared" si="14"/>
        <v>428.00000000000006</v>
      </c>
      <c r="J94" s="60">
        <f t="shared" si="14"/>
        <v>460.8</v>
      </c>
      <c r="K94" s="60">
        <f t="shared" si="14"/>
        <v>426</v>
      </c>
      <c r="L94" s="60">
        <f t="shared" si="14"/>
        <v>418.9</v>
      </c>
      <c r="M94" s="60">
        <f t="shared" si="14"/>
        <v>400.29999999999995</v>
      </c>
      <c r="N94" s="60">
        <f t="shared" si="14"/>
        <v>386.4</v>
      </c>
      <c r="O94" s="60">
        <f t="shared" si="14"/>
        <v>391.4</v>
      </c>
      <c r="P94" s="60">
        <f t="shared" si="14"/>
        <v>463.4</v>
      </c>
      <c r="Q94" s="60">
        <f t="shared" si="14"/>
        <v>463.69999999999993</v>
      </c>
      <c r="R94" s="60">
        <f t="shared" si="14"/>
        <v>491.3</v>
      </c>
      <c r="S94" s="60">
        <f t="shared" si="14"/>
        <v>492</v>
      </c>
      <c r="T94" s="60">
        <f t="shared" si="14"/>
        <v>535</v>
      </c>
      <c r="U94" s="60">
        <f t="shared" si="14"/>
        <v>523</v>
      </c>
      <c r="V94" s="60">
        <f t="shared" si="14"/>
        <v>391.4</v>
      </c>
      <c r="W94" s="60">
        <f t="shared" si="14"/>
        <v>385</v>
      </c>
      <c r="X94" s="60">
        <f t="shared" si="14"/>
        <v>383</v>
      </c>
      <c r="Y94" s="60">
        <v>382.4</v>
      </c>
      <c r="Z94" s="60">
        <f t="shared" si="14"/>
        <v>426.8</v>
      </c>
      <c r="AA94" s="60">
        <f t="shared" si="14"/>
        <v>410</v>
      </c>
      <c r="AB94" s="60">
        <f t="shared" si="14"/>
        <v>427</v>
      </c>
      <c r="AC94" s="60">
        <f t="shared" si="14"/>
        <v>425.29999999999995</v>
      </c>
      <c r="AD94" s="60">
        <f t="shared" si="14"/>
        <v>400.3</v>
      </c>
      <c r="AE94" s="60">
        <f t="shared" si="14"/>
        <v>405.3</v>
      </c>
      <c r="AF94" s="60">
        <f t="shared" si="14"/>
        <v>430.7</v>
      </c>
      <c r="AG94" s="88"/>
      <c r="AH94" s="47">
        <f t="shared" si="8"/>
        <v>535</v>
      </c>
      <c r="AI94" s="48">
        <f t="shared" si="9"/>
        <v>357.7</v>
      </c>
    </row>
    <row r="95" spans="1:37" x14ac:dyDescent="0.25">
      <c r="A95" s="100" t="s">
        <v>103</v>
      </c>
      <c r="B95" s="101">
        <v>49.991</v>
      </c>
      <c r="C95" s="101">
        <v>49.981000000000002</v>
      </c>
      <c r="D95" s="101">
        <v>49.963000000000001</v>
      </c>
      <c r="E95" s="101">
        <v>49.988</v>
      </c>
      <c r="F95" s="101">
        <v>49.975999999999999</v>
      </c>
      <c r="G95" s="101">
        <v>49.945999999999998</v>
      </c>
      <c r="H95" s="101">
        <v>49.999000000000002</v>
      </c>
      <c r="I95" s="101">
        <v>50.01</v>
      </c>
      <c r="J95" s="101">
        <v>50.069000000000003</v>
      </c>
      <c r="K95" s="101">
        <v>50.075000000000003</v>
      </c>
      <c r="L95" s="101">
        <v>50.07</v>
      </c>
      <c r="M95" s="101">
        <v>49.963000000000001</v>
      </c>
      <c r="N95" s="101">
        <v>49.94</v>
      </c>
      <c r="O95" s="101">
        <v>49.921700000000001</v>
      </c>
      <c r="P95" s="101">
        <v>49.987000000000002</v>
      </c>
      <c r="Q95" s="101">
        <v>50.051000000000002</v>
      </c>
      <c r="R95" s="101">
        <v>49.981999999999999</v>
      </c>
      <c r="S95" s="101">
        <v>50.08</v>
      </c>
      <c r="T95" s="101">
        <v>49.93</v>
      </c>
      <c r="U95" s="101">
        <v>49.93</v>
      </c>
      <c r="V95" s="101">
        <v>49.99</v>
      </c>
      <c r="W95" s="101">
        <v>50.06</v>
      </c>
      <c r="X95" s="101">
        <v>50.07</v>
      </c>
      <c r="Y95" s="101">
        <v>49.95</v>
      </c>
      <c r="Z95" s="101">
        <v>49.96</v>
      </c>
      <c r="AA95" s="101">
        <v>49.9</v>
      </c>
      <c r="AB95" s="101">
        <v>50</v>
      </c>
      <c r="AC95" s="101">
        <v>49.972999999999999</v>
      </c>
      <c r="AD95" s="101">
        <v>49.994</v>
      </c>
      <c r="AE95" s="101">
        <v>50.084000000000003</v>
      </c>
      <c r="AF95" s="101">
        <v>49.98</v>
      </c>
      <c r="AG95" s="102"/>
      <c r="AH95" s="47">
        <f t="shared" si="8"/>
        <v>50.084000000000003</v>
      </c>
      <c r="AI95" s="48">
        <f t="shared" si="9"/>
        <v>49.9</v>
      </c>
    </row>
    <row r="96" spans="1:37" x14ac:dyDescent="0.25">
      <c r="A96" s="103" t="s">
        <v>104</v>
      </c>
      <c r="B96" s="65">
        <v>128.4</v>
      </c>
      <c r="C96" s="65">
        <v>128.80000000000001</v>
      </c>
      <c r="D96" s="65">
        <v>128.69999999999999</v>
      </c>
      <c r="E96" s="65">
        <v>127.8</v>
      </c>
      <c r="F96" s="65">
        <v>126.4</v>
      </c>
      <c r="G96" s="65">
        <v>126.8</v>
      </c>
      <c r="H96" s="65">
        <v>127</v>
      </c>
      <c r="I96" s="65">
        <v>126.4</v>
      </c>
      <c r="J96" s="65">
        <v>125.9</v>
      </c>
      <c r="K96" s="65">
        <v>127.3</v>
      </c>
      <c r="L96" s="65">
        <v>125.1</v>
      </c>
      <c r="M96" s="65">
        <v>123.6</v>
      </c>
      <c r="N96" s="65">
        <v>125.4</v>
      </c>
      <c r="O96" s="65">
        <v>126.3</v>
      </c>
      <c r="P96" s="65">
        <v>124.4</v>
      </c>
      <c r="Q96" s="65">
        <v>124.4</v>
      </c>
      <c r="R96" s="65">
        <v>124.7</v>
      </c>
      <c r="S96" s="65">
        <v>125</v>
      </c>
      <c r="T96" s="65">
        <v>125.3</v>
      </c>
      <c r="U96" s="65">
        <v>125.8</v>
      </c>
      <c r="V96" s="65">
        <v>128.80000000000001</v>
      </c>
      <c r="W96" s="65">
        <v>129.6</v>
      </c>
      <c r="X96" s="65">
        <v>129.9</v>
      </c>
      <c r="Y96" s="65">
        <v>129.69999999999999</v>
      </c>
      <c r="Z96" s="65">
        <v>129.9</v>
      </c>
      <c r="AA96" s="65">
        <v>129.69999999999999</v>
      </c>
      <c r="AB96" s="65">
        <v>129</v>
      </c>
      <c r="AC96" s="65">
        <v>129.19999999999999</v>
      </c>
      <c r="AD96" s="65">
        <v>127.4</v>
      </c>
      <c r="AE96" s="65">
        <v>126.5</v>
      </c>
      <c r="AF96" s="65">
        <v>127.1</v>
      </c>
      <c r="AG96" s="104"/>
      <c r="AH96" s="47">
        <f t="shared" si="8"/>
        <v>129.9</v>
      </c>
      <c r="AI96" s="48">
        <f t="shared" si="9"/>
        <v>123.6</v>
      </c>
    </row>
    <row r="97" spans="1:35" x14ac:dyDescent="0.25">
      <c r="A97" s="103" t="s">
        <v>105</v>
      </c>
      <c r="B97" s="65">
        <v>132.30000000000001</v>
      </c>
      <c r="C97" s="65">
        <v>132.9</v>
      </c>
      <c r="D97" s="65">
        <v>132.80000000000001</v>
      </c>
      <c r="E97" s="65">
        <v>132</v>
      </c>
      <c r="F97" s="65">
        <v>131.4</v>
      </c>
      <c r="G97" s="65">
        <v>131.5</v>
      </c>
      <c r="H97" s="65">
        <v>131.4</v>
      </c>
      <c r="I97" s="65">
        <v>130.6</v>
      </c>
      <c r="J97" s="65">
        <v>129.5</v>
      </c>
      <c r="K97" s="65">
        <v>129.4</v>
      </c>
      <c r="L97" s="65">
        <v>127</v>
      </c>
      <c r="M97" s="65">
        <v>125.8</v>
      </c>
      <c r="N97" s="65">
        <v>127.1</v>
      </c>
      <c r="O97" s="65">
        <v>128</v>
      </c>
      <c r="P97" s="65">
        <v>127.7</v>
      </c>
      <c r="Q97" s="65">
        <v>128</v>
      </c>
      <c r="R97" s="65">
        <v>128.19999999999999</v>
      </c>
      <c r="S97" s="65">
        <v>128</v>
      </c>
      <c r="T97" s="65">
        <v>128.9</v>
      </c>
      <c r="U97" s="65">
        <v>129</v>
      </c>
      <c r="V97" s="65">
        <v>130.69999999999999</v>
      </c>
      <c r="W97" s="65">
        <v>130.69999999999999</v>
      </c>
      <c r="X97" s="65">
        <v>130.80000000000001</v>
      </c>
      <c r="Y97" s="65">
        <v>130.69999999999999</v>
      </c>
      <c r="Z97" s="65">
        <v>130.80000000000001</v>
      </c>
      <c r="AA97" s="65">
        <v>130.9</v>
      </c>
      <c r="AB97" s="65">
        <v>130</v>
      </c>
      <c r="AC97" s="65">
        <v>130.80000000000001</v>
      </c>
      <c r="AD97" s="65">
        <v>130.19999999999999</v>
      </c>
      <c r="AE97" s="65">
        <v>130.19999999999999</v>
      </c>
      <c r="AF97" s="65">
        <v>131.1</v>
      </c>
      <c r="AG97" s="104"/>
      <c r="AH97" s="47">
        <f t="shared" si="8"/>
        <v>132.9</v>
      </c>
      <c r="AI97" s="48">
        <f t="shared" si="9"/>
        <v>125.8</v>
      </c>
    </row>
    <row r="98" spans="1:35" x14ac:dyDescent="0.25">
      <c r="A98" s="103" t="s">
        <v>106</v>
      </c>
      <c r="B98" s="65">
        <v>130.69999999999999</v>
      </c>
      <c r="C98" s="65">
        <v>130.4</v>
      </c>
      <c r="D98" s="65">
        <v>132.6</v>
      </c>
      <c r="E98" s="65">
        <v>133.30000000000001</v>
      </c>
      <c r="F98" s="65">
        <v>131.9</v>
      </c>
      <c r="G98" s="65">
        <v>130.69999999999999</v>
      </c>
      <c r="H98" s="65">
        <v>129.80000000000001</v>
      </c>
      <c r="I98" s="65">
        <v>129.30000000000001</v>
      </c>
      <c r="J98" s="65">
        <v>129.5</v>
      </c>
      <c r="K98" s="65">
        <v>130.4</v>
      </c>
      <c r="L98" s="65">
        <v>128.5</v>
      </c>
      <c r="M98" s="65">
        <v>127.5</v>
      </c>
      <c r="N98" s="65">
        <v>129.30000000000001</v>
      </c>
      <c r="O98" s="65">
        <v>130.80000000000001</v>
      </c>
      <c r="P98" s="65">
        <v>128.69999999999999</v>
      </c>
      <c r="Q98" s="65">
        <v>128.5</v>
      </c>
      <c r="R98" s="65">
        <v>129.30000000000001</v>
      </c>
      <c r="S98" s="65">
        <v>129</v>
      </c>
      <c r="T98" s="65">
        <v>129.69999999999999</v>
      </c>
      <c r="U98" s="65">
        <v>129.6</v>
      </c>
      <c r="V98" s="65">
        <v>130.6</v>
      </c>
      <c r="W98" s="65">
        <v>133.19999999999999</v>
      </c>
      <c r="X98" s="65">
        <v>130.5</v>
      </c>
      <c r="Y98" s="65">
        <v>132.4</v>
      </c>
      <c r="Z98" s="65">
        <v>131.30000000000001</v>
      </c>
      <c r="AA98" s="65">
        <v>131.19999999999999</v>
      </c>
      <c r="AB98" s="65">
        <v>130</v>
      </c>
      <c r="AC98" s="65">
        <v>130.69999999999999</v>
      </c>
      <c r="AD98" s="65">
        <v>132.1</v>
      </c>
      <c r="AE98" s="65">
        <v>131.80000000000001</v>
      </c>
      <c r="AF98" s="65">
        <v>127.3</v>
      </c>
      <c r="AG98" s="104"/>
      <c r="AH98" s="47">
        <f t="shared" si="8"/>
        <v>133.30000000000001</v>
      </c>
      <c r="AI98" s="48">
        <f t="shared" si="9"/>
        <v>127.3</v>
      </c>
    </row>
    <row r="99" spans="1:35" x14ac:dyDescent="0.25">
      <c r="A99" s="105" t="s">
        <v>107</v>
      </c>
      <c r="B99" s="65">
        <v>133.80000000000001</v>
      </c>
      <c r="C99" s="65">
        <v>133.5</v>
      </c>
      <c r="D99" s="65">
        <v>135.4</v>
      </c>
      <c r="E99" s="65">
        <v>136.4</v>
      </c>
      <c r="F99" s="65">
        <v>135.4</v>
      </c>
      <c r="G99" s="65">
        <v>134.69999999999999</v>
      </c>
      <c r="H99" s="65">
        <v>133.80000000000001</v>
      </c>
      <c r="I99" s="65">
        <v>133</v>
      </c>
      <c r="J99" s="65">
        <v>132.19999999999999</v>
      </c>
      <c r="K99" s="65">
        <v>132.1</v>
      </c>
      <c r="L99" s="65">
        <v>131</v>
      </c>
      <c r="M99" s="65">
        <v>129.30000000000001</v>
      </c>
      <c r="N99" s="65">
        <v>131.6</v>
      </c>
      <c r="O99" s="65">
        <v>133.6</v>
      </c>
      <c r="P99" s="65">
        <v>131.4</v>
      </c>
      <c r="Q99" s="65">
        <v>132.80000000000001</v>
      </c>
      <c r="R99" s="65">
        <v>133.19999999999999</v>
      </c>
      <c r="S99" s="65">
        <v>131</v>
      </c>
      <c r="T99" s="65">
        <v>131.19999999999999</v>
      </c>
      <c r="U99" s="65">
        <v>131</v>
      </c>
      <c r="V99" s="65">
        <v>131.69999999999999</v>
      </c>
      <c r="W99" s="65">
        <v>133.5</v>
      </c>
      <c r="X99" s="65">
        <v>130.4</v>
      </c>
      <c r="Y99" s="65">
        <v>133</v>
      </c>
      <c r="Z99" s="65">
        <v>132.80000000000001</v>
      </c>
      <c r="AA99" s="65">
        <v>132.80000000000001</v>
      </c>
      <c r="AB99" s="65">
        <v>133</v>
      </c>
      <c r="AC99" s="65">
        <v>133.80000000000001</v>
      </c>
      <c r="AD99" s="65">
        <v>134.6</v>
      </c>
      <c r="AE99" s="65">
        <v>134.80000000000001</v>
      </c>
      <c r="AF99" s="65">
        <v>130.9</v>
      </c>
      <c r="AG99" s="104"/>
      <c r="AH99" s="47">
        <f t="shared" si="8"/>
        <v>136.4</v>
      </c>
      <c r="AI99" s="48">
        <f t="shared" si="9"/>
        <v>129.30000000000001</v>
      </c>
    </row>
    <row r="100" spans="1:35" x14ac:dyDescent="0.25">
      <c r="A100" s="105" t="s">
        <v>108</v>
      </c>
      <c r="B100" s="106">
        <v>134.1</v>
      </c>
      <c r="C100" s="106">
        <v>134.4</v>
      </c>
      <c r="D100" s="106">
        <v>134.30000000000001</v>
      </c>
      <c r="E100" s="106">
        <v>128.19999999999999</v>
      </c>
      <c r="F100" s="106">
        <v>131.4</v>
      </c>
      <c r="G100" s="106">
        <v>133.5</v>
      </c>
      <c r="H100" s="106">
        <v>136</v>
      </c>
      <c r="I100" s="106">
        <v>136.19999999999999</v>
      </c>
      <c r="J100" s="106">
        <v>135.1</v>
      </c>
      <c r="K100" s="106">
        <v>134.69999999999999</v>
      </c>
      <c r="L100" s="106">
        <v>132.4</v>
      </c>
      <c r="M100" s="106">
        <v>130.19999999999999</v>
      </c>
      <c r="N100" s="106">
        <v>131.6</v>
      </c>
      <c r="O100" s="106">
        <v>133.69999999999999</v>
      </c>
      <c r="P100" s="106">
        <v>133.5</v>
      </c>
      <c r="Q100" s="106">
        <v>126.5</v>
      </c>
      <c r="R100" s="106">
        <v>132.4</v>
      </c>
      <c r="S100" s="106">
        <v>132</v>
      </c>
      <c r="T100" s="106">
        <v>134.1</v>
      </c>
      <c r="U100" s="106">
        <v>132.1</v>
      </c>
      <c r="V100" s="106">
        <v>134.80000000000001</v>
      </c>
      <c r="W100" s="106">
        <v>134.4</v>
      </c>
      <c r="X100" s="106">
        <v>136.1</v>
      </c>
      <c r="Y100" s="106">
        <v>134.4</v>
      </c>
      <c r="Z100" s="106">
        <v>132.9</v>
      </c>
      <c r="AA100" s="106">
        <v>133.19999999999999</v>
      </c>
      <c r="AB100" s="106">
        <v>133.69999999999999</v>
      </c>
      <c r="AC100" s="106">
        <v>133.1</v>
      </c>
      <c r="AD100" s="106">
        <v>133.9</v>
      </c>
      <c r="AE100" s="106">
        <v>133.80000000000001</v>
      </c>
      <c r="AF100" s="106">
        <v>132.6</v>
      </c>
      <c r="AG100" s="107"/>
      <c r="AH100" s="47">
        <f t="shared" si="8"/>
        <v>136.19999999999999</v>
      </c>
      <c r="AI100" s="48">
        <f t="shared" si="9"/>
        <v>126.5</v>
      </c>
    </row>
    <row r="101" spans="1:35" x14ac:dyDescent="0.25">
      <c r="A101" s="103" t="s">
        <v>109</v>
      </c>
      <c r="B101" s="65">
        <v>128.69999999999999</v>
      </c>
      <c r="C101" s="65">
        <v>135.69999999999999</v>
      </c>
      <c r="D101" s="65">
        <v>131.19999999999999</v>
      </c>
      <c r="E101" s="65">
        <v>130.69999999999999</v>
      </c>
      <c r="F101" s="65">
        <v>136.80000000000001</v>
      </c>
      <c r="G101" s="65">
        <v>133.19999999999999</v>
      </c>
      <c r="H101" s="65">
        <v>125.7</v>
      </c>
      <c r="I101" s="65">
        <v>124.9</v>
      </c>
      <c r="J101" s="65">
        <v>123.7</v>
      </c>
      <c r="K101" s="65">
        <v>131.6</v>
      </c>
      <c r="L101" s="65">
        <v>125.4</v>
      </c>
      <c r="M101" s="65">
        <v>128.5</v>
      </c>
      <c r="N101" s="65">
        <v>133.80000000000001</v>
      </c>
      <c r="O101" s="65">
        <v>132.1</v>
      </c>
      <c r="P101" s="65">
        <v>132.30000000000001</v>
      </c>
      <c r="Q101" s="65">
        <v>126.8</v>
      </c>
      <c r="R101" s="65">
        <v>128.30000000000001</v>
      </c>
      <c r="S101" s="65">
        <v>130</v>
      </c>
      <c r="T101" s="65">
        <v>131.69999999999999</v>
      </c>
      <c r="U101" s="65">
        <v>130.80000000000001</v>
      </c>
      <c r="V101" s="65">
        <v>136.5</v>
      </c>
      <c r="W101" s="65">
        <v>132.80000000000001</v>
      </c>
      <c r="X101" s="65">
        <v>132.19999999999999</v>
      </c>
      <c r="Y101" s="65">
        <v>128.9</v>
      </c>
      <c r="Z101" s="65">
        <v>130.1</v>
      </c>
      <c r="AA101" s="65">
        <v>130</v>
      </c>
      <c r="AB101" s="65">
        <v>133</v>
      </c>
      <c r="AC101" s="65">
        <v>128.6</v>
      </c>
      <c r="AD101" s="65">
        <v>126.3</v>
      </c>
      <c r="AE101" s="65">
        <v>125.1</v>
      </c>
      <c r="AF101" s="65">
        <v>129.69999999999999</v>
      </c>
      <c r="AG101" s="104"/>
      <c r="AH101" s="47">
        <f t="shared" si="8"/>
        <v>136.80000000000001</v>
      </c>
      <c r="AI101" s="48">
        <f t="shared" si="9"/>
        <v>123.7</v>
      </c>
    </row>
    <row r="102" spans="1:35" ht="15.75" thickBot="1" x14ac:dyDescent="0.3">
      <c r="A102" s="103" t="s">
        <v>110</v>
      </c>
      <c r="B102" s="92">
        <v>66.599999999999994</v>
      </c>
      <c r="C102" s="92">
        <v>67</v>
      </c>
      <c r="D102" s="92">
        <v>66.900000000000006</v>
      </c>
      <c r="E102" s="92">
        <v>66.599999999999994</v>
      </c>
      <c r="F102" s="92">
        <v>66.099999999999994</v>
      </c>
      <c r="G102" s="92">
        <v>66.5</v>
      </c>
      <c r="H102" s="92">
        <v>66.099999999999994</v>
      </c>
      <c r="I102" s="92">
        <v>66.099999999999994</v>
      </c>
      <c r="J102" s="92">
        <v>65</v>
      </c>
      <c r="K102" s="92">
        <v>64.8</v>
      </c>
      <c r="L102" s="92">
        <v>63.5</v>
      </c>
      <c r="M102" s="92">
        <v>63</v>
      </c>
      <c r="N102" s="92">
        <v>63.6</v>
      </c>
      <c r="O102" s="92">
        <v>64.099999999999994</v>
      </c>
      <c r="P102" s="92">
        <v>63.8</v>
      </c>
      <c r="Q102" s="92">
        <v>63.8</v>
      </c>
      <c r="R102" s="92">
        <v>64.5</v>
      </c>
      <c r="S102" s="92">
        <v>64.400000000000006</v>
      </c>
      <c r="T102" s="92">
        <v>64.5</v>
      </c>
      <c r="U102" s="92">
        <v>64.900000000000006</v>
      </c>
      <c r="V102" s="92">
        <v>65.3</v>
      </c>
      <c r="W102" s="92">
        <v>65.5</v>
      </c>
      <c r="X102" s="92">
        <v>65.5</v>
      </c>
      <c r="Y102" s="92">
        <v>65.3</v>
      </c>
      <c r="Z102" s="92">
        <v>65.3</v>
      </c>
      <c r="AA102" s="92">
        <v>65.400000000000006</v>
      </c>
      <c r="AB102" s="92">
        <v>65</v>
      </c>
      <c r="AC102" s="92">
        <v>65.5</v>
      </c>
      <c r="AD102" s="92">
        <v>65.400000000000006</v>
      </c>
      <c r="AE102" s="92">
        <v>65.599999999999994</v>
      </c>
      <c r="AF102" s="92">
        <v>65.900000000000006</v>
      </c>
      <c r="AG102" s="108"/>
      <c r="AH102" s="47">
        <f t="shared" si="8"/>
        <v>67</v>
      </c>
      <c r="AI102" s="48">
        <f t="shared" si="9"/>
        <v>63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 t="s">
        <v>111</v>
      </c>
      <c r="Z103" s="92"/>
      <c r="AA103" s="92"/>
      <c r="AB103" s="92"/>
      <c r="AC103" s="92"/>
      <c r="AD103" s="92"/>
      <c r="AE103" s="92"/>
      <c r="AF103" s="92"/>
      <c r="AG103" s="108"/>
      <c r="AH103" s="47">
        <f t="shared" si="8"/>
        <v>0</v>
      </c>
      <c r="AI103" s="48">
        <f t="shared" si="9"/>
        <v>0</v>
      </c>
    </row>
    <row r="104" spans="1:35" ht="15.75" thickBot="1" x14ac:dyDescent="0.3">
      <c r="A104" s="110" t="s">
        <v>112</v>
      </c>
      <c r="B104" s="111">
        <f t="shared" ref="B104:AF104" si="15">SUM(B16,B22,B25:B26,B52,B54:B55,B57,B59,B105:B109,B131,B137,B143,B152,B154,B166,B173,B176:B177,B184,B186,B188,B192:B194,B196:B198,B203,B209:B210,B212:B214,B222,B227)</f>
        <v>152.30000000000001</v>
      </c>
      <c r="C104" s="111">
        <f t="shared" si="15"/>
        <v>137.24</v>
      </c>
      <c r="D104" s="111">
        <f t="shared" si="15"/>
        <v>122.74</v>
      </c>
      <c r="E104" s="111">
        <f t="shared" si="15"/>
        <v>125.74000000000001</v>
      </c>
      <c r="F104" s="111">
        <f t="shared" si="15"/>
        <v>127.04000000000002</v>
      </c>
      <c r="G104" s="111">
        <f t="shared" si="15"/>
        <v>149.83999999999997</v>
      </c>
      <c r="H104" s="111">
        <f t="shared" si="15"/>
        <v>168.94</v>
      </c>
      <c r="I104" s="111">
        <f t="shared" si="15"/>
        <v>205.44</v>
      </c>
      <c r="J104" s="111">
        <f t="shared" si="15"/>
        <v>252.44</v>
      </c>
      <c r="K104" s="111">
        <f t="shared" si="15"/>
        <v>311.44</v>
      </c>
      <c r="L104" s="111">
        <f t="shared" si="15"/>
        <v>367.64</v>
      </c>
      <c r="M104" s="111">
        <f t="shared" si="15"/>
        <v>393.54</v>
      </c>
      <c r="N104" s="111">
        <f t="shared" si="15"/>
        <v>381.34</v>
      </c>
      <c r="O104" s="111">
        <f t="shared" si="15"/>
        <v>367.84000000000003</v>
      </c>
      <c r="P104" s="111">
        <v>42</v>
      </c>
      <c r="Q104" s="111">
        <f t="shared" si="15"/>
        <v>319.10000000000002</v>
      </c>
      <c r="R104" s="111">
        <f t="shared" si="15"/>
        <v>297.39999999999998</v>
      </c>
      <c r="S104" s="111">
        <f t="shared" si="15"/>
        <v>293.2</v>
      </c>
      <c r="T104" s="111">
        <f t="shared" si="15"/>
        <v>275.10000000000002</v>
      </c>
      <c r="U104" s="111">
        <f t="shared" si="15"/>
        <v>281.8</v>
      </c>
      <c r="V104" s="111">
        <f t="shared" si="15"/>
        <v>277.7</v>
      </c>
      <c r="W104" s="111">
        <f t="shared" si="15"/>
        <v>319.7</v>
      </c>
      <c r="X104" s="111">
        <f t="shared" si="15"/>
        <v>402.3</v>
      </c>
      <c r="Y104" s="111">
        <v>490.29708333333338</v>
      </c>
      <c r="Z104" s="111">
        <f t="shared" si="15"/>
        <v>416.69</v>
      </c>
      <c r="AA104" s="111">
        <f t="shared" si="15"/>
        <v>409.14</v>
      </c>
      <c r="AB104" s="111">
        <f t="shared" si="15"/>
        <v>391.6</v>
      </c>
      <c r="AC104" s="111">
        <f t="shared" si="15"/>
        <v>383.9</v>
      </c>
      <c r="AD104" s="111">
        <f t="shared" si="15"/>
        <v>315.8</v>
      </c>
      <c r="AE104" s="111">
        <f t="shared" si="15"/>
        <v>268.2</v>
      </c>
      <c r="AF104" s="111">
        <f t="shared" si="15"/>
        <v>194.9</v>
      </c>
      <c r="AG104" s="112"/>
      <c r="AH104" s="47">
        <f t="shared" si="8"/>
        <v>490.29708333333338</v>
      </c>
      <c r="AI104" s="48">
        <f t="shared" si="9"/>
        <v>42</v>
      </c>
    </row>
    <row r="105" spans="1:35" x14ac:dyDescent="0.25">
      <c r="A105" s="100" t="s">
        <v>113</v>
      </c>
      <c r="B105" s="113">
        <v>-6</v>
      </c>
      <c r="C105" s="113">
        <v>-5.0999999999999996</v>
      </c>
      <c r="D105" s="113">
        <v>-2.9</v>
      </c>
      <c r="E105" s="113">
        <v>-14.3</v>
      </c>
      <c r="F105" s="113">
        <v>-15.8</v>
      </c>
      <c r="G105" s="113">
        <v>3.6</v>
      </c>
      <c r="H105" s="113">
        <v>10.7</v>
      </c>
      <c r="I105" s="113">
        <v>14.7</v>
      </c>
      <c r="J105" s="113">
        <v>28.5</v>
      </c>
      <c r="K105" s="113">
        <v>33.299999999999997</v>
      </c>
      <c r="L105" s="113">
        <v>49.1</v>
      </c>
      <c r="M105" s="113">
        <v>52.4</v>
      </c>
      <c r="N105" s="113">
        <v>46.8</v>
      </c>
      <c r="O105" s="113">
        <v>36.799999999999997</v>
      </c>
      <c r="P105" s="113">
        <v>38.200000000000003</v>
      </c>
      <c r="Q105" s="113">
        <v>35.700000000000003</v>
      </c>
      <c r="R105" s="113">
        <v>36.5</v>
      </c>
      <c r="S105" s="113">
        <v>29</v>
      </c>
      <c r="T105" s="113">
        <v>26.1</v>
      </c>
      <c r="U105" s="113">
        <v>15.2</v>
      </c>
      <c r="V105" s="113">
        <v>8</v>
      </c>
      <c r="W105" s="113">
        <v>25.8</v>
      </c>
      <c r="X105" s="113">
        <v>34.799999999999997</v>
      </c>
      <c r="Y105" s="113">
        <v>39.700000000000003</v>
      </c>
      <c r="Z105" s="113">
        <v>32.200000000000003</v>
      </c>
      <c r="AA105" s="113">
        <v>33.5</v>
      </c>
      <c r="AB105" s="113">
        <v>46</v>
      </c>
      <c r="AC105" s="113">
        <v>43.2</v>
      </c>
      <c r="AD105" s="113">
        <v>38.299999999999997</v>
      </c>
      <c r="AE105" s="113">
        <v>33.9</v>
      </c>
      <c r="AF105" s="113">
        <v>4.2</v>
      </c>
      <c r="AG105" s="114">
        <v>75</v>
      </c>
      <c r="AH105" s="47">
        <f t="shared" si="8"/>
        <v>52.4</v>
      </c>
      <c r="AI105" s="48">
        <f t="shared" si="9"/>
        <v>-15.8</v>
      </c>
    </row>
    <row r="106" spans="1:35" x14ac:dyDescent="0.25">
      <c r="A106" s="103" t="s">
        <v>114</v>
      </c>
      <c r="B106" s="115">
        <v>-3</v>
      </c>
      <c r="C106" s="115">
        <v>-2.4</v>
      </c>
      <c r="D106" s="115">
        <v>1.3</v>
      </c>
      <c r="E106" s="115">
        <v>-13.6</v>
      </c>
      <c r="F106" s="115">
        <v>-17.5</v>
      </c>
      <c r="G106" s="115">
        <v>0</v>
      </c>
      <c r="H106" s="115">
        <v>5.3</v>
      </c>
      <c r="I106" s="115">
        <v>23.8</v>
      </c>
      <c r="J106" s="115">
        <v>18</v>
      </c>
      <c r="K106" s="115">
        <v>44.3</v>
      </c>
      <c r="L106" s="115">
        <v>63.4</v>
      </c>
      <c r="M106" s="115">
        <v>68.2</v>
      </c>
      <c r="N106" s="115">
        <v>61.7</v>
      </c>
      <c r="O106" s="115">
        <v>45.9</v>
      </c>
      <c r="P106" s="115">
        <v>48.3</v>
      </c>
      <c r="Q106" s="115">
        <v>48.4</v>
      </c>
      <c r="R106" s="115">
        <v>50.4</v>
      </c>
      <c r="S106" s="115">
        <v>39</v>
      </c>
      <c r="T106" s="115">
        <v>33.700000000000003</v>
      </c>
      <c r="U106" s="115">
        <v>19.7</v>
      </c>
      <c r="V106" s="115">
        <v>6.7</v>
      </c>
      <c r="W106" s="115">
        <v>28.4</v>
      </c>
      <c r="X106" s="115">
        <v>39.299999999999997</v>
      </c>
      <c r="Y106" s="115">
        <v>46.6</v>
      </c>
      <c r="Z106" s="115">
        <v>37.299999999999997</v>
      </c>
      <c r="AA106" s="115">
        <v>38.54</v>
      </c>
      <c r="AB106" s="115">
        <v>59.5</v>
      </c>
      <c r="AC106" s="115">
        <v>57.2</v>
      </c>
      <c r="AD106" s="115">
        <v>49.6</v>
      </c>
      <c r="AE106" s="115">
        <v>44.3</v>
      </c>
      <c r="AF106" s="115">
        <v>4.3</v>
      </c>
      <c r="AG106" s="114">
        <v>240</v>
      </c>
      <c r="AH106" s="47">
        <f t="shared" si="8"/>
        <v>68.2</v>
      </c>
      <c r="AI106" s="48">
        <f t="shared" si="9"/>
        <v>-17.5</v>
      </c>
    </row>
    <row r="107" spans="1:35" x14ac:dyDescent="0.25">
      <c r="A107" s="103" t="s">
        <v>115</v>
      </c>
      <c r="B107" s="115">
        <v>-36.299999999999997</v>
      </c>
      <c r="C107" s="115">
        <v>-39</v>
      </c>
      <c r="D107" s="115">
        <v>-48.8</v>
      </c>
      <c r="E107" s="115">
        <f>-17.6-18.6</f>
        <v>-36.200000000000003</v>
      </c>
      <c r="F107" s="115">
        <f>-18.3-20.2</f>
        <v>-38.5</v>
      </c>
      <c r="G107" s="115">
        <f>-21.2-23.1</f>
        <v>-44.3</v>
      </c>
      <c r="H107" s="115">
        <f>-18.8-20.4</f>
        <v>-39.200000000000003</v>
      </c>
      <c r="I107" s="115">
        <f>-16.4-17.8</f>
        <v>-34.200000000000003</v>
      </c>
      <c r="J107" s="115">
        <f>-6.2-7</f>
        <v>-13.2</v>
      </c>
      <c r="K107" s="115">
        <f>3.1+3.7</f>
        <v>6.8000000000000007</v>
      </c>
      <c r="L107" s="115">
        <f>8.8+9.2</f>
        <v>18</v>
      </c>
      <c r="M107" s="115">
        <v>25.3</v>
      </c>
      <c r="N107" s="115">
        <v>30</v>
      </c>
      <c r="O107" s="115">
        <v>38.6</v>
      </c>
      <c r="P107" s="115">
        <f>8.3+9.1</f>
        <v>17.399999999999999</v>
      </c>
      <c r="Q107" s="115">
        <v>3.5</v>
      </c>
      <c r="R107" s="115">
        <v>-17</v>
      </c>
      <c r="S107" s="115">
        <v>-12</v>
      </c>
      <c r="T107" s="115">
        <f>-14.7-8.4</f>
        <v>-23.1</v>
      </c>
      <c r="U107" s="115">
        <f>-20.4-1.5</f>
        <v>-21.9</v>
      </c>
      <c r="V107" s="115">
        <f>-19.3+12.4</f>
        <v>-6.9</v>
      </c>
      <c r="W107" s="115">
        <f>6+33</f>
        <v>39</v>
      </c>
      <c r="X107" s="115">
        <f>23.8+42.5</f>
        <v>66.3</v>
      </c>
      <c r="Y107" s="115">
        <v>59.4</v>
      </c>
      <c r="Z107" s="115">
        <f>25.7+46.1</f>
        <v>71.8</v>
      </c>
      <c r="AA107" s="115">
        <f>23+44</f>
        <v>67</v>
      </c>
      <c r="AB107" s="115">
        <v>46</v>
      </c>
      <c r="AC107" s="115">
        <v>23</v>
      </c>
      <c r="AD107" s="115">
        <v>-6.5</v>
      </c>
      <c r="AE107" s="115">
        <v>-20</v>
      </c>
      <c r="AF107" s="115">
        <v>-28</v>
      </c>
      <c r="AG107" s="114">
        <v>240</v>
      </c>
      <c r="AH107" s="47">
        <f t="shared" si="8"/>
        <v>71.8</v>
      </c>
      <c r="AI107" s="48">
        <f t="shared" si="9"/>
        <v>-48.8</v>
      </c>
    </row>
    <row r="108" spans="1:35" x14ac:dyDescent="0.25">
      <c r="A108" s="103" t="s">
        <v>116</v>
      </c>
      <c r="B108" s="115">
        <v>-2.8</v>
      </c>
      <c r="C108" s="115">
        <v>-4.8</v>
      </c>
      <c r="D108" s="115">
        <v>-7.6</v>
      </c>
      <c r="E108" s="115">
        <v>-6.2</v>
      </c>
      <c r="F108" s="115">
        <v>-6.6</v>
      </c>
      <c r="G108" s="115">
        <v>-3.9</v>
      </c>
      <c r="H108" s="115">
        <v>-1.5</v>
      </c>
      <c r="I108" s="115">
        <v>-3.9</v>
      </c>
      <c r="J108" s="115">
        <v>4.5999999999999996</v>
      </c>
      <c r="K108" s="115">
        <v>13.1</v>
      </c>
      <c r="L108" s="115">
        <v>19.3</v>
      </c>
      <c r="M108" s="115">
        <v>20.6</v>
      </c>
      <c r="N108" s="115">
        <v>20.2</v>
      </c>
      <c r="O108" s="115">
        <v>20.100000000000001</v>
      </c>
      <c r="P108" s="115">
        <v>13.9</v>
      </c>
      <c r="Q108" s="115">
        <v>11</v>
      </c>
      <c r="R108" s="115">
        <v>6.8</v>
      </c>
      <c r="S108" s="115">
        <v>6.5</v>
      </c>
      <c r="T108" s="115">
        <v>11.3</v>
      </c>
      <c r="U108" s="115">
        <v>41.9</v>
      </c>
      <c r="V108" s="115">
        <v>45.7</v>
      </c>
      <c r="W108" s="115">
        <v>51.7</v>
      </c>
      <c r="X108" s="115">
        <v>53.8</v>
      </c>
      <c r="Y108" s="115">
        <v>60.7</v>
      </c>
      <c r="Z108" s="115">
        <v>58.6</v>
      </c>
      <c r="AA108" s="115">
        <v>56.4</v>
      </c>
      <c r="AB108" s="115">
        <v>43</v>
      </c>
      <c r="AC108" s="115">
        <v>41.9</v>
      </c>
      <c r="AD108" s="115">
        <v>17.399999999999999</v>
      </c>
      <c r="AE108" s="115">
        <v>7.9</v>
      </c>
      <c r="AF108" s="115">
        <v>3.5</v>
      </c>
      <c r="AG108" s="114">
        <v>60</v>
      </c>
      <c r="AH108" s="47">
        <f t="shared" si="8"/>
        <v>60.7</v>
      </c>
      <c r="AI108" s="48">
        <f t="shared" si="9"/>
        <v>-7.6</v>
      </c>
    </row>
    <row r="109" spans="1:35" x14ac:dyDescent="0.25">
      <c r="A109" s="116" t="s">
        <v>117</v>
      </c>
      <c r="B109" s="117">
        <v>83.2</v>
      </c>
      <c r="C109" s="117">
        <v>68.5</v>
      </c>
      <c r="D109" s="117">
        <v>62.6</v>
      </c>
      <c r="E109" s="117">
        <v>78</v>
      </c>
      <c r="F109" s="117">
        <v>87.4</v>
      </c>
      <c r="G109" s="117">
        <v>77.099999999999994</v>
      </c>
      <c r="H109" s="117">
        <v>76.3</v>
      </c>
      <c r="I109" s="117">
        <v>87.7</v>
      </c>
      <c r="J109" s="117">
        <v>97.2</v>
      </c>
      <c r="K109" s="117">
        <v>96.6</v>
      </c>
      <c r="L109" s="117">
        <v>100.5</v>
      </c>
      <c r="M109" s="117">
        <v>111</v>
      </c>
      <c r="N109" s="117">
        <v>106.6</v>
      </c>
      <c r="O109" s="117">
        <v>104</v>
      </c>
      <c r="P109" s="117">
        <v>108.1</v>
      </c>
      <c r="Q109" s="117">
        <v>99</v>
      </c>
      <c r="R109" s="117">
        <v>96</v>
      </c>
      <c r="S109" s="117">
        <v>106</v>
      </c>
      <c r="T109" s="117">
        <v>104.4</v>
      </c>
      <c r="U109" s="117">
        <v>104.2</v>
      </c>
      <c r="V109" s="117">
        <v>101.5</v>
      </c>
      <c r="W109" s="117">
        <v>63.9</v>
      </c>
      <c r="X109" s="117">
        <v>97.2</v>
      </c>
      <c r="Y109" s="117">
        <v>106.8</v>
      </c>
      <c r="Z109" s="117">
        <v>105.89</v>
      </c>
      <c r="AA109" s="117">
        <v>102.8</v>
      </c>
      <c r="AB109" s="117">
        <v>81.599999999999994</v>
      </c>
      <c r="AC109" s="117">
        <v>103.1</v>
      </c>
      <c r="AD109" s="117">
        <v>101.5</v>
      </c>
      <c r="AE109" s="117">
        <v>86.6</v>
      </c>
      <c r="AF109" s="117">
        <v>91.1</v>
      </c>
      <c r="AG109" s="118">
        <v>120</v>
      </c>
      <c r="AH109" s="47">
        <f t="shared" si="8"/>
        <v>111</v>
      </c>
      <c r="AI109" s="48">
        <f t="shared" si="9"/>
        <v>62.6</v>
      </c>
    </row>
    <row r="110" spans="1:35" x14ac:dyDescent="0.25">
      <c r="A110" s="116" t="s">
        <v>118</v>
      </c>
      <c r="B110" s="117">
        <v>93</v>
      </c>
      <c r="C110" s="117">
        <v>85</v>
      </c>
      <c r="D110" s="117">
        <v>80</v>
      </c>
      <c r="E110" s="117">
        <v>84.4</v>
      </c>
      <c r="F110" s="117">
        <v>96.9</v>
      </c>
      <c r="G110" s="117">
        <v>81.8</v>
      </c>
      <c r="H110" s="117">
        <v>76.7</v>
      </c>
      <c r="I110" s="117">
        <v>84.5</v>
      </c>
      <c r="J110" s="117">
        <v>89.9</v>
      </c>
      <c r="K110" s="117">
        <v>77</v>
      </c>
      <c r="L110" s="117">
        <v>76.400000000000006</v>
      </c>
      <c r="M110" s="117">
        <v>78</v>
      </c>
      <c r="N110" s="117">
        <v>71</v>
      </c>
      <c r="O110" s="117">
        <v>72</v>
      </c>
      <c r="P110" s="117">
        <v>85.6</v>
      </c>
      <c r="Q110" s="117">
        <v>101</v>
      </c>
      <c r="R110" s="117">
        <v>90.6</v>
      </c>
      <c r="S110" s="117">
        <v>98</v>
      </c>
      <c r="T110" s="117">
        <v>100.3</v>
      </c>
      <c r="U110" s="117">
        <v>97.7</v>
      </c>
      <c r="V110" s="117">
        <v>76.599999999999994</v>
      </c>
      <c r="W110" s="117">
        <v>74.5</v>
      </c>
      <c r="X110" s="117">
        <v>82.6</v>
      </c>
      <c r="Y110" s="117">
        <v>74</v>
      </c>
      <c r="Z110" s="117">
        <v>87</v>
      </c>
      <c r="AA110" s="117">
        <v>83.5</v>
      </c>
      <c r="AB110" s="117">
        <v>81.3</v>
      </c>
      <c r="AC110" s="117">
        <v>69.099999999999994</v>
      </c>
      <c r="AD110" s="117">
        <v>82.3</v>
      </c>
      <c r="AE110" s="117">
        <v>76.400000000000006</v>
      </c>
      <c r="AF110" s="117">
        <v>89.5</v>
      </c>
      <c r="AG110" s="118"/>
      <c r="AH110" s="47">
        <f t="shared" si="8"/>
        <v>101</v>
      </c>
      <c r="AI110" s="48">
        <f t="shared" si="9"/>
        <v>69.099999999999994</v>
      </c>
    </row>
    <row r="111" spans="1:35" x14ac:dyDescent="0.25">
      <c r="A111" s="116" t="s">
        <v>119</v>
      </c>
      <c r="B111" s="117">
        <v>31</v>
      </c>
      <c r="C111" s="117">
        <v>26.5</v>
      </c>
      <c r="D111" s="117">
        <v>22.9</v>
      </c>
      <c r="E111" s="117">
        <v>46.5</v>
      </c>
      <c r="F111" s="117">
        <v>49.1</v>
      </c>
      <c r="G111" s="117">
        <v>23.8</v>
      </c>
      <c r="H111" s="117">
        <v>17.2</v>
      </c>
      <c r="I111" s="117">
        <v>10.8</v>
      </c>
      <c r="J111" s="117">
        <v>5.3</v>
      </c>
      <c r="K111" s="117">
        <v>1.2</v>
      </c>
      <c r="L111" s="117">
        <v>-3.9</v>
      </c>
      <c r="M111" s="117">
        <v>-5</v>
      </c>
      <c r="N111" s="117">
        <v>0.1</v>
      </c>
      <c r="O111" s="117">
        <v>4.2</v>
      </c>
      <c r="P111" s="117">
        <v>6.9</v>
      </c>
      <c r="Q111" s="117">
        <v>6.1</v>
      </c>
      <c r="R111" s="117">
        <v>8.5</v>
      </c>
      <c r="S111" s="117">
        <v>9</v>
      </c>
      <c r="T111" s="117">
        <v>14.8</v>
      </c>
      <c r="U111" s="117">
        <v>23.8</v>
      </c>
      <c r="V111" s="117">
        <v>26.6</v>
      </c>
      <c r="W111" s="117">
        <v>15.7</v>
      </c>
      <c r="X111" s="117">
        <v>15.1</v>
      </c>
      <c r="Y111" s="117">
        <v>9.6999999999999993</v>
      </c>
      <c r="Z111" s="117">
        <v>22.9</v>
      </c>
      <c r="AA111" s="117">
        <v>21.9</v>
      </c>
      <c r="AB111" s="117">
        <v>13.8</v>
      </c>
      <c r="AC111" s="117">
        <v>13.4</v>
      </c>
      <c r="AD111" s="117">
        <v>10.6</v>
      </c>
      <c r="AE111" s="117">
        <v>7.9</v>
      </c>
      <c r="AF111" s="117">
        <v>29.4</v>
      </c>
      <c r="AG111" s="119"/>
      <c r="AH111" s="47">
        <f t="shared" si="8"/>
        <v>49.1</v>
      </c>
      <c r="AI111" s="48">
        <f t="shared" si="9"/>
        <v>-5</v>
      </c>
    </row>
    <row r="112" spans="1:35" x14ac:dyDescent="0.25">
      <c r="A112" s="120" t="s">
        <v>120</v>
      </c>
      <c r="B112" s="106">
        <v>18.7</v>
      </c>
      <c r="C112" s="106">
        <v>15.6</v>
      </c>
      <c r="D112" s="106">
        <v>32.1</v>
      </c>
      <c r="E112" s="106">
        <v>38.1</v>
      </c>
      <c r="F112" s="106">
        <v>41.7</v>
      </c>
      <c r="G112" s="106">
        <v>39.9</v>
      </c>
      <c r="H112" s="106">
        <v>32</v>
      </c>
      <c r="I112" s="106">
        <v>20.7</v>
      </c>
      <c r="J112" s="106">
        <v>5.8</v>
      </c>
      <c r="K112" s="106">
        <v>-13.6</v>
      </c>
      <c r="L112" s="106">
        <v>-23</v>
      </c>
      <c r="M112" s="106">
        <v>-29</v>
      </c>
      <c r="N112" s="106">
        <v>-36.1</v>
      </c>
      <c r="O112" s="106">
        <v>-20</v>
      </c>
      <c r="P112" s="106">
        <v>-5.3</v>
      </c>
      <c r="Q112" s="106">
        <v>3.9</v>
      </c>
      <c r="R112" s="106">
        <v>13.3</v>
      </c>
      <c r="S112" s="106">
        <v>12</v>
      </c>
      <c r="T112" s="106">
        <v>5.5</v>
      </c>
      <c r="U112" s="106">
        <v>-2.5</v>
      </c>
      <c r="V112" s="106">
        <v>-18.7</v>
      </c>
      <c r="W112" s="106">
        <v>-38.6</v>
      </c>
      <c r="X112" s="106">
        <v>-58.1</v>
      </c>
      <c r="Y112" s="106">
        <v>80.7</v>
      </c>
      <c r="Z112" s="106">
        <v>-34.4</v>
      </c>
      <c r="AA112" s="106">
        <v>-32.6</v>
      </c>
      <c r="AB112" s="106">
        <v>-20.399999999999999</v>
      </c>
      <c r="AC112" s="106">
        <v>-15.4</v>
      </c>
      <c r="AD112" s="106">
        <v>4.4000000000000004</v>
      </c>
      <c r="AE112" s="106">
        <v>10.5</v>
      </c>
      <c r="AF112" s="106">
        <v>22.2</v>
      </c>
      <c r="AG112" s="119"/>
      <c r="AH112" s="47">
        <f t="shared" si="8"/>
        <v>80.7</v>
      </c>
      <c r="AI112" s="48">
        <f t="shared" si="9"/>
        <v>-58.1</v>
      </c>
    </row>
    <row r="113" spans="1:37" ht="15.75" thickBot="1" x14ac:dyDescent="0.3">
      <c r="A113" s="120" t="s">
        <v>121</v>
      </c>
      <c r="B113" s="106">
        <v>12.1</v>
      </c>
      <c r="C113" s="106">
        <v>15.3</v>
      </c>
      <c r="D113" s="106">
        <v>25</v>
      </c>
      <c r="E113" s="106">
        <v>11.5</v>
      </c>
      <c r="F113" s="106">
        <v>7.3</v>
      </c>
      <c r="G113" s="106">
        <v>21.9</v>
      </c>
      <c r="H113" s="106">
        <v>24.8</v>
      </c>
      <c r="I113" s="106">
        <v>20.5</v>
      </c>
      <c r="J113" s="106">
        <v>8.1999999999999993</v>
      </c>
      <c r="K113" s="106">
        <v>-6.6</v>
      </c>
      <c r="L113" s="106">
        <v>-5.9</v>
      </c>
      <c r="M113" s="106">
        <v>-12.6</v>
      </c>
      <c r="N113" s="106">
        <v>-18</v>
      </c>
      <c r="O113" s="106">
        <v>-27.8</v>
      </c>
      <c r="P113" s="106">
        <v>-12</v>
      </c>
      <c r="Q113" s="106">
        <v>-1.1000000000000001</v>
      </c>
      <c r="R113" s="106">
        <v>14.5</v>
      </c>
      <c r="S113" s="106">
        <v>9</v>
      </c>
      <c r="T113" s="106">
        <v>14.1</v>
      </c>
      <c r="U113" s="106">
        <v>-12.8</v>
      </c>
      <c r="V113" s="106">
        <v>-10.7</v>
      </c>
      <c r="W113" s="106">
        <v>-28.6</v>
      </c>
      <c r="X113" s="106">
        <v>-50.3</v>
      </c>
      <c r="Y113" s="106">
        <v>-35</v>
      </c>
      <c r="Z113" s="106">
        <v>-52.3</v>
      </c>
      <c r="AA113" s="106">
        <v>-49</v>
      </c>
      <c r="AB113" s="106">
        <v>-29.2</v>
      </c>
      <c r="AC113" s="106">
        <v>-13.4</v>
      </c>
      <c r="AD113" s="106">
        <v>4.3</v>
      </c>
      <c r="AE113" s="106">
        <v>16.5</v>
      </c>
      <c r="AF113" s="106">
        <v>10.3</v>
      </c>
      <c r="AG113" s="119"/>
      <c r="AH113" s="47">
        <f t="shared" si="8"/>
        <v>25</v>
      </c>
      <c r="AI113" s="48">
        <f t="shared" si="9"/>
        <v>-52.3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6">SUM(B115:B219)</f>
        <v>0</v>
      </c>
      <c r="C220" s="136">
        <f t="shared" si="16"/>
        <v>0</v>
      </c>
      <c r="D220" s="136">
        <f t="shared" si="16"/>
        <v>0</v>
      </c>
      <c r="E220" s="136">
        <f t="shared" si="16"/>
        <v>0</v>
      </c>
      <c r="F220" s="136">
        <f t="shared" si="16"/>
        <v>0</v>
      </c>
      <c r="G220" s="136">
        <f t="shared" si="16"/>
        <v>0</v>
      </c>
      <c r="H220" s="136">
        <f t="shared" si="16"/>
        <v>0</v>
      </c>
      <c r="I220" s="136">
        <f t="shared" si="16"/>
        <v>0</v>
      </c>
      <c r="J220" s="136">
        <f t="shared" si="16"/>
        <v>0</v>
      </c>
      <c r="K220" s="136">
        <f t="shared" si="16"/>
        <v>0</v>
      </c>
      <c r="L220" s="136">
        <f t="shared" si="16"/>
        <v>0</v>
      </c>
      <c r="M220" s="136">
        <f t="shared" si="16"/>
        <v>0</v>
      </c>
      <c r="N220" s="136">
        <f t="shared" si="16"/>
        <v>0</v>
      </c>
      <c r="O220" s="136">
        <f t="shared" si="16"/>
        <v>0</v>
      </c>
      <c r="P220" s="136">
        <f t="shared" si="16"/>
        <v>0</v>
      </c>
      <c r="Q220" s="136">
        <f t="shared" si="16"/>
        <v>0</v>
      </c>
      <c r="R220" s="136">
        <f t="shared" si="16"/>
        <v>0</v>
      </c>
      <c r="S220" s="136">
        <f t="shared" si="16"/>
        <v>0</v>
      </c>
      <c r="T220" s="136">
        <f t="shared" si="16"/>
        <v>0</v>
      </c>
      <c r="U220" s="136">
        <f t="shared" si="16"/>
        <v>0</v>
      </c>
      <c r="V220" s="136">
        <f t="shared" si="16"/>
        <v>0</v>
      </c>
      <c r="W220" s="136">
        <f t="shared" si="16"/>
        <v>0</v>
      </c>
      <c r="X220" s="136">
        <f t="shared" si="16"/>
        <v>0</v>
      </c>
      <c r="Y220" s="136">
        <f t="shared" si="16"/>
        <v>0</v>
      </c>
      <c r="Z220" s="136">
        <f t="shared" si="16"/>
        <v>0</v>
      </c>
      <c r="AA220" s="136">
        <f t="shared" si="16"/>
        <v>0</v>
      </c>
      <c r="AB220" s="136">
        <f t="shared" si="16"/>
        <v>0</v>
      </c>
      <c r="AC220" s="136">
        <f t="shared" si="16"/>
        <v>0</v>
      </c>
      <c r="AD220" s="136">
        <f t="shared" si="16"/>
        <v>0</v>
      </c>
      <c r="AE220" s="136">
        <f t="shared" si="16"/>
        <v>0</v>
      </c>
      <c r="AF220" s="137">
        <f t="shared" si="16"/>
        <v>0</v>
      </c>
      <c r="AG220" s="138">
        <f t="shared" si="16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7">AF222</f>
        <v>0</v>
      </c>
      <c r="C222" s="140">
        <v>0.3</v>
      </c>
      <c r="D222" s="140">
        <f t="shared" ref="D222:P227" si="18">C222</f>
        <v>0.3</v>
      </c>
      <c r="E222" s="140">
        <f t="shared" si="18"/>
        <v>0.3</v>
      </c>
      <c r="F222" s="140">
        <f t="shared" si="18"/>
        <v>0.3</v>
      </c>
      <c r="G222" s="140">
        <f t="shared" si="18"/>
        <v>0.3</v>
      </c>
      <c r="H222" s="140">
        <f t="shared" si="18"/>
        <v>0.3</v>
      </c>
      <c r="I222" s="140">
        <f t="shared" si="18"/>
        <v>0.3</v>
      </c>
      <c r="J222" s="140">
        <f t="shared" si="18"/>
        <v>0.3</v>
      </c>
      <c r="K222" s="140">
        <f t="shared" si="18"/>
        <v>0.3</v>
      </c>
      <c r="L222" s="140">
        <f t="shared" si="18"/>
        <v>0.3</v>
      </c>
      <c r="M222" s="140">
        <f t="shared" si="18"/>
        <v>0.3</v>
      </c>
      <c r="N222" s="140">
        <f t="shared" si="18"/>
        <v>0.3</v>
      </c>
      <c r="O222" s="140">
        <f t="shared" si="18"/>
        <v>0.3</v>
      </c>
      <c r="P222" s="140">
        <f t="shared" si="18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7"/>
        <v>0</v>
      </c>
      <c r="C223" s="128">
        <v>0.4</v>
      </c>
      <c r="D223" s="128">
        <f t="shared" si="18"/>
        <v>0.4</v>
      </c>
      <c r="E223" s="128">
        <f t="shared" si="18"/>
        <v>0.4</v>
      </c>
      <c r="F223" s="128">
        <f t="shared" si="18"/>
        <v>0.4</v>
      </c>
      <c r="G223" s="128">
        <f t="shared" si="18"/>
        <v>0.4</v>
      </c>
      <c r="H223" s="128">
        <f t="shared" si="18"/>
        <v>0.4</v>
      </c>
      <c r="I223" s="128">
        <f t="shared" si="18"/>
        <v>0.4</v>
      </c>
      <c r="J223" s="128">
        <f t="shared" si="18"/>
        <v>0.4</v>
      </c>
      <c r="K223" s="128">
        <f t="shared" si="18"/>
        <v>0.4</v>
      </c>
      <c r="L223" s="128">
        <f t="shared" si="18"/>
        <v>0.4</v>
      </c>
      <c r="M223" s="128">
        <f t="shared" si="18"/>
        <v>0.4</v>
      </c>
      <c r="N223" s="128">
        <f t="shared" si="18"/>
        <v>0.4</v>
      </c>
      <c r="O223" s="128">
        <f t="shared" si="18"/>
        <v>0.4</v>
      </c>
      <c r="P223" s="128">
        <f t="shared" si="18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7"/>
        <v>0</v>
      </c>
      <c r="C224" s="128">
        <v>1.5</v>
      </c>
      <c r="D224" s="128">
        <f t="shared" si="18"/>
        <v>1.5</v>
      </c>
      <c r="E224" s="128">
        <f t="shared" si="18"/>
        <v>1.5</v>
      </c>
      <c r="F224" s="128">
        <f t="shared" si="18"/>
        <v>1.5</v>
      </c>
      <c r="G224" s="128">
        <f t="shared" si="18"/>
        <v>1.5</v>
      </c>
      <c r="H224" s="128">
        <f t="shared" si="18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18"/>
        <v>1.5</v>
      </c>
      <c r="K224" s="128">
        <f t="shared" ca="1" si="18"/>
        <v>1.5</v>
      </c>
      <c r="L224" s="128">
        <f t="shared" ca="1" si="18"/>
        <v>1.5</v>
      </c>
      <c r="M224" s="128">
        <f t="shared" ca="1" si="18"/>
        <v>1.5</v>
      </c>
      <c r="N224" s="128">
        <f t="shared" ca="1" si="18"/>
        <v>1.5</v>
      </c>
      <c r="O224" s="128">
        <f t="shared" ca="1" si="18"/>
        <v>1.5</v>
      </c>
      <c r="P224" s="128">
        <f t="shared" ca="1" si="18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7"/>
        <v>0</v>
      </c>
      <c r="C225" s="128">
        <v>0.3</v>
      </c>
      <c r="D225" s="128">
        <f t="shared" si="18"/>
        <v>0.3</v>
      </c>
      <c r="E225" s="128">
        <f t="shared" si="18"/>
        <v>0.3</v>
      </c>
      <c r="F225" s="128">
        <f t="shared" si="18"/>
        <v>0.3</v>
      </c>
      <c r="G225" s="128">
        <f t="shared" si="18"/>
        <v>0.3</v>
      </c>
      <c r="H225" s="128">
        <f t="shared" si="18"/>
        <v>0.3</v>
      </c>
      <c r="I225" s="128">
        <f t="shared" si="18"/>
        <v>0.3</v>
      </c>
      <c r="J225" s="128">
        <f t="shared" si="18"/>
        <v>0.3</v>
      </c>
      <c r="K225" s="128">
        <f t="shared" si="18"/>
        <v>0.3</v>
      </c>
      <c r="L225" s="128">
        <f t="shared" si="18"/>
        <v>0.3</v>
      </c>
      <c r="M225" s="128">
        <f t="shared" si="18"/>
        <v>0.3</v>
      </c>
      <c r="N225" s="128">
        <f t="shared" si="18"/>
        <v>0.3</v>
      </c>
      <c r="O225" s="128">
        <f t="shared" si="18"/>
        <v>0.3</v>
      </c>
      <c r="P225" s="128">
        <f t="shared" si="18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7"/>
        <v>0</v>
      </c>
      <c r="C226" s="128">
        <v>0.4</v>
      </c>
      <c r="D226" s="128">
        <f t="shared" si="18"/>
        <v>0.4</v>
      </c>
      <c r="E226" s="128">
        <f t="shared" si="18"/>
        <v>0.4</v>
      </c>
      <c r="F226" s="128">
        <f t="shared" si="18"/>
        <v>0.4</v>
      </c>
      <c r="G226" s="128">
        <f t="shared" si="18"/>
        <v>0.4</v>
      </c>
      <c r="H226" s="128">
        <f t="shared" si="18"/>
        <v>0.4</v>
      </c>
      <c r="I226" s="128">
        <f t="shared" si="18"/>
        <v>0.4</v>
      </c>
      <c r="J226" s="128">
        <f t="shared" si="18"/>
        <v>0.4</v>
      </c>
      <c r="K226" s="128">
        <f t="shared" si="18"/>
        <v>0.4</v>
      </c>
      <c r="L226" s="128">
        <f t="shared" si="18"/>
        <v>0.4</v>
      </c>
      <c r="M226" s="128">
        <f t="shared" si="18"/>
        <v>0.4</v>
      </c>
      <c r="N226" s="128">
        <f t="shared" si="18"/>
        <v>0.4</v>
      </c>
      <c r="O226" s="128">
        <f t="shared" si="18"/>
        <v>0.4</v>
      </c>
      <c r="P226" s="128">
        <f t="shared" si="18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7"/>
        <v>0</v>
      </c>
      <c r="C227" s="132">
        <v>0.64</v>
      </c>
      <c r="D227" s="132">
        <f t="shared" si="18"/>
        <v>0.64</v>
      </c>
      <c r="E227" s="132">
        <f t="shared" si="18"/>
        <v>0.64</v>
      </c>
      <c r="F227" s="132">
        <f t="shared" si="18"/>
        <v>0.64</v>
      </c>
      <c r="G227" s="132">
        <f t="shared" si="18"/>
        <v>0.64</v>
      </c>
      <c r="H227" s="132">
        <f t="shared" si="18"/>
        <v>0.64</v>
      </c>
      <c r="I227" s="132">
        <f t="shared" si="18"/>
        <v>0.64</v>
      </c>
      <c r="J227" s="132">
        <f t="shared" si="18"/>
        <v>0.64</v>
      </c>
      <c r="K227" s="132">
        <f t="shared" si="18"/>
        <v>0.64</v>
      </c>
      <c r="L227" s="132">
        <f t="shared" si="18"/>
        <v>0.64</v>
      </c>
      <c r="M227" s="132">
        <f t="shared" si="18"/>
        <v>0.64</v>
      </c>
      <c r="N227" s="132">
        <f t="shared" si="18"/>
        <v>0.64</v>
      </c>
      <c r="O227" s="132">
        <f t="shared" si="18"/>
        <v>0.64</v>
      </c>
      <c r="P227" s="132">
        <f t="shared" si="18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19">SUM(B222:B227)</f>
        <v>0</v>
      </c>
      <c r="C228" s="136">
        <f t="shared" si="19"/>
        <v>3.54</v>
      </c>
      <c r="D228" s="136">
        <f t="shared" si="19"/>
        <v>3.54</v>
      </c>
      <c r="E228" s="136">
        <f t="shared" si="19"/>
        <v>3.54</v>
      </c>
      <c r="F228" s="136">
        <f t="shared" si="19"/>
        <v>3.54</v>
      </c>
      <c r="G228" s="136">
        <f t="shared" si="19"/>
        <v>3.54</v>
      </c>
      <c r="H228" s="136">
        <f t="shared" si="19"/>
        <v>3.54</v>
      </c>
      <c r="I228" s="136">
        <f t="shared" ca="1" si="19"/>
        <v>3.54</v>
      </c>
      <c r="J228" s="136">
        <f t="shared" ca="1" si="19"/>
        <v>3.54</v>
      </c>
      <c r="K228" s="136">
        <f t="shared" ca="1" si="19"/>
        <v>3.54</v>
      </c>
      <c r="L228" s="136">
        <f t="shared" ca="1" si="19"/>
        <v>3.54</v>
      </c>
      <c r="M228" s="136">
        <f t="shared" ca="1" si="19"/>
        <v>3.54</v>
      </c>
      <c r="N228" s="136">
        <f t="shared" ca="1" si="19"/>
        <v>3.54</v>
      </c>
      <c r="O228" s="136">
        <f t="shared" ca="1" si="19"/>
        <v>3.54</v>
      </c>
      <c r="P228" s="136">
        <f t="shared" ca="1" si="19"/>
        <v>3.54</v>
      </c>
      <c r="Q228" s="136">
        <f t="shared" si="19"/>
        <v>0</v>
      </c>
      <c r="R228" s="136">
        <f t="shared" si="19"/>
        <v>0</v>
      </c>
      <c r="S228" s="136">
        <f t="shared" si="19"/>
        <v>0</v>
      </c>
      <c r="T228" s="136">
        <f t="shared" si="19"/>
        <v>0</v>
      </c>
      <c r="U228" s="136">
        <f t="shared" si="19"/>
        <v>0</v>
      </c>
      <c r="V228" s="136">
        <f t="shared" si="19"/>
        <v>0</v>
      </c>
      <c r="W228" s="136">
        <f t="shared" si="19"/>
        <v>0</v>
      </c>
      <c r="X228" s="136">
        <f t="shared" si="19"/>
        <v>0</v>
      </c>
      <c r="Y228" s="136">
        <f t="shared" si="19"/>
        <v>0</v>
      </c>
      <c r="Z228" s="136">
        <f t="shared" si="19"/>
        <v>0</v>
      </c>
      <c r="AA228" s="136">
        <f t="shared" si="19"/>
        <v>0</v>
      </c>
      <c r="AB228" s="136">
        <f t="shared" si="19"/>
        <v>0</v>
      </c>
      <c r="AC228" s="136">
        <f t="shared" si="19"/>
        <v>0</v>
      </c>
      <c r="AD228" s="136">
        <f t="shared" si="19"/>
        <v>0</v>
      </c>
      <c r="AE228" s="136">
        <f t="shared" si="19"/>
        <v>0</v>
      </c>
      <c r="AF228" s="136">
        <f t="shared" si="19"/>
        <v>0</v>
      </c>
      <c r="AG228" s="145">
        <f t="shared" si="19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1625.6399999999999</v>
      </c>
      <c r="C237" s="161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8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str">
        <f ca="1">"Pie Chart of Daily Peak Demand(Inclusive of Export) of Nepal ("&amp;A4&amp;" "&amp;B4&amp;")"</f>
        <v>Pie Chart of Daily Peak Demand(Inclusive of Export) of Nepal (Nepali Date: 2079/09/8)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2079/09/8)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0">B85</f>
        <v>1092.04</v>
      </c>
      <c r="U242" s="170">
        <f t="shared" si="20"/>
        <v>1024.54</v>
      </c>
      <c r="V242" s="170">
        <f t="shared" si="20"/>
        <v>1011.44</v>
      </c>
      <c r="W242" s="170">
        <f t="shared" si="20"/>
        <v>978.33999999999992</v>
      </c>
      <c r="X242" s="170">
        <f t="shared" si="20"/>
        <v>998.24</v>
      </c>
      <c r="Y242" s="170">
        <f t="shared" si="20"/>
        <v>1058.24</v>
      </c>
      <c r="Z242" s="170">
        <f t="shared" si="20"/>
        <v>1137.74</v>
      </c>
      <c r="AA242" s="170">
        <f t="shared" si="20"/>
        <v>1199.24</v>
      </c>
      <c r="AB242" s="170">
        <f t="shared" si="20"/>
        <v>1275.3399999999999</v>
      </c>
      <c r="AC242" s="170">
        <f t="shared" si="20"/>
        <v>1436.3400000000001</v>
      </c>
      <c r="AD242" s="170">
        <f t="shared" si="20"/>
        <v>1489.1399999999999</v>
      </c>
      <c r="AE242" s="170">
        <f t="shared" si="20"/>
        <v>1625.6399999999999</v>
      </c>
      <c r="AF242" s="170">
        <f t="shared" si="20"/>
        <v>1623.94</v>
      </c>
      <c r="AG242" s="170">
        <f t="shared" si="20"/>
        <v>1543.54</v>
      </c>
      <c r="AH242" s="170">
        <f t="shared" si="20"/>
        <v>1374.8399999999997</v>
      </c>
      <c r="AI242" s="170">
        <f t="shared" si="20"/>
        <v>1374.9399999999998</v>
      </c>
      <c r="AJ242" s="170">
        <f t="shared" si="20"/>
        <v>1333.5</v>
      </c>
      <c r="AK242" s="170">
        <f t="shared" si="20"/>
        <v>1317.74</v>
      </c>
      <c r="AL242" s="170">
        <f t="shared" si="20"/>
        <v>1335.54</v>
      </c>
      <c r="AM242" s="170">
        <f t="shared" si="20"/>
        <v>1355.1399999999999</v>
      </c>
      <c r="AN242" s="170">
        <f t="shared" si="20"/>
        <v>1226.54</v>
      </c>
      <c r="AO242" s="170">
        <f t="shared" si="20"/>
        <v>1376.6399999999999</v>
      </c>
      <c r="AP242" s="170">
        <f t="shared" si="20"/>
        <v>1522.84</v>
      </c>
      <c r="AQ242" s="170">
        <f t="shared" si="20"/>
        <v>1658.8399999999997</v>
      </c>
      <c r="AR242" s="170">
        <f t="shared" si="20"/>
        <v>1624.04</v>
      </c>
      <c r="AS242" s="170">
        <f t="shared" si="20"/>
        <v>1540.3400000000001</v>
      </c>
      <c r="AT242" s="170">
        <f t="shared" si="20"/>
        <v>1561.1399999999999</v>
      </c>
      <c r="AU242" s="170">
        <f t="shared" si="20"/>
        <v>1540.7399999999998</v>
      </c>
      <c r="AV242" s="170">
        <f t="shared" si="20"/>
        <v>1375.74</v>
      </c>
      <c r="AW242" s="170">
        <f t="shared" si="20"/>
        <v>1293.54</v>
      </c>
      <c r="AX242" s="170">
        <f t="shared" si="20"/>
        <v>1151.04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1">C227</f>
        <v>0.64</v>
      </c>
      <c r="C263" s="173">
        <f t="shared" si="21"/>
        <v>0.64</v>
      </c>
      <c r="D263" s="173">
        <f t="shared" si="21"/>
        <v>0.64</v>
      </c>
      <c r="E263" s="173">
        <f t="shared" si="21"/>
        <v>0.64</v>
      </c>
      <c r="F263" s="173">
        <f t="shared" si="21"/>
        <v>0.64</v>
      </c>
      <c r="G263" s="173">
        <f t="shared" si="21"/>
        <v>0.64</v>
      </c>
      <c r="H263" s="173">
        <f t="shared" si="21"/>
        <v>0.64</v>
      </c>
      <c r="I263" s="173">
        <f t="shared" si="21"/>
        <v>0.64</v>
      </c>
      <c r="J263" s="173">
        <f t="shared" si="21"/>
        <v>0.64</v>
      </c>
      <c r="K263" s="173">
        <f t="shared" si="21"/>
        <v>0.64</v>
      </c>
      <c r="L263" s="173">
        <f t="shared" si="21"/>
        <v>0.64</v>
      </c>
      <c r="M263" s="173">
        <f t="shared" si="21"/>
        <v>0.64</v>
      </c>
      <c r="N263" s="173">
        <f t="shared" si="21"/>
        <v>0.64</v>
      </c>
      <c r="O263" s="173">
        <f t="shared" si="21"/>
        <v>0.64</v>
      </c>
      <c r="P263" s="173">
        <f t="shared" si="21"/>
        <v>0</v>
      </c>
      <c r="Q263" s="173">
        <f t="shared" si="21"/>
        <v>0</v>
      </c>
      <c r="R263" s="173">
        <f t="shared" si="21"/>
        <v>0</v>
      </c>
      <c r="S263" s="173">
        <f t="shared" si="21"/>
        <v>0</v>
      </c>
      <c r="T263" s="173">
        <f t="shared" si="21"/>
        <v>0</v>
      </c>
      <c r="U263" s="173">
        <f t="shared" si="21"/>
        <v>0</v>
      </c>
      <c r="V263" s="173">
        <f t="shared" si="21"/>
        <v>0</v>
      </c>
      <c r="W263" s="173">
        <f t="shared" si="21"/>
        <v>0</v>
      </c>
      <c r="X263" s="173">
        <f t="shared" si="21"/>
        <v>0</v>
      </c>
      <c r="Y263" s="173">
        <f t="shared" si="21"/>
        <v>0</v>
      </c>
      <c r="Z263" s="173">
        <f t="shared" si="21"/>
        <v>0</v>
      </c>
      <c r="AA263" s="173">
        <f t="shared" si="21"/>
        <v>0</v>
      </c>
      <c r="AB263" s="173">
        <f t="shared" si="21"/>
        <v>0</v>
      </c>
      <c r="AC263" s="173">
        <f t="shared" si="21"/>
        <v>0</v>
      </c>
      <c r="AD263" s="173">
        <f t="shared" si="21"/>
        <v>0</v>
      </c>
      <c r="AE263" s="173">
        <f t="shared" si="21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2">IF(B231&lt;100,"",B231-520)</f>
        <v/>
      </c>
      <c r="C264" s="174" t="str">
        <f t="shared" si="22"/>
        <v/>
      </c>
      <c r="D264" s="174" t="str">
        <f t="shared" si="22"/>
        <v/>
      </c>
      <c r="E264" s="174" t="str">
        <f t="shared" si="22"/>
        <v/>
      </c>
      <c r="F264" s="174" t="str">
        <f t="shared" si="22"/>
        <v/>
      </c>
      <c r="G264" s="174" t="str">
        <f t="shared" si="22"/>
        <v/>
      </c>
      <c r="H264" s="174" t="str">
        <f t="shared" si="22"/>
        <v/>
      </c>
      <c r="I264" s="174" t="str">
        <f t="shared" si="22"/>
        <v/>
      </c>
      <c r="J264" s="174" t="str">
        <f t="shared" si="22"/>
        <v/>
      </c>
      <c r="K264" s="174" t="str">
        <f t="shared" si="22"/>
        <v/>
      </c>
      <c r="L264" s="174" t="str">
        <f t="shared" si="22"/>
        <v/>
      </c>
      <c r="M264" s="174" t="str">
        <f t="shared" si="22"/>
        <v/>
      </c>
      <c r="N264" s="174" t="str">
        <f t="shared" si="22"/>
        <v/>
      </c>
      <c r="O264" s="174" t="str">
        <f t="shared" si="22"/>
        <v/>
      </c>
      <c r="P264" s="174" t="str">
        <f t="shared" si="22"/>
        <v/>
      </c>
      <c r="Q264" s="174" t="str">
        <f t="shared" si="22"/>
        <v/>
      </c>
      <c r="R264" s="174" t="str">
        <f t="shared" si="22"/>
        <v/>
      </c>
      <c r="S264" s="174" t="str">
        <f t="shared" si="22"/>
        <v/>
      </c>
      <c r="T264" s="174" t="str">
        <f t="shared" si="22"/>
        <v/>
      </c>
      <c r="U264" s="174" t="str">
        <f t="shared" si="22"/>
        <v/>
      </c>
      <c r="V264" s="174" t="str">
        <f t="shared" si="22"/>
        <v/>
      </c>
      <c r="W264" s="174" t="str">
        <f t="shared" si="22"/>
        <v/>
      </c>
      <c r="X264" s="174" t="str">
        <f t="shared" si="22"/>
        <v/>
      </c>
      <c r="Y264" s="174" t="str">
        <f t="shared" si="22"/>
        <v/>
      </c>
      <c r="Z264" s="174" t="str">
        <f t="shared" si="22"/>
        <v/>
      </c>
      <c r="AA264" s="174" t="str">
        <f t="shared" si="22"/>
        <v/>
      </c>
      <c r="AB264" s="174" t="str">
        <f t="shared" si="22"/>
        <v/>
      </c>
      <c r="AC264" s="174" t="str">
        <f t="shared" si="22"/>
        <v/>
      </c>
      <c r="AD264" s="174" t="str">
        <f t="shared" si="22"/>
        <v/>
      </c>
      <c r="AE264" s="174" t="str">
        <f t="shared" si="22"/>
        <v/>
      </c>
      <c r="AF264" s="174" t="str">
        <f t="shared" si="22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3">IF(B232&lt;100,"",B232-620)</f>
        <v/>
      </c>
      <c r="C265" s="174" t="str">
        <f t="shared" si="23"/>
        <v/>
      </c>
      <c r="D265" s="174" t="str">
        <f t="shared" si="23"/>
        <v/>
      </c>
      <c r="E265" s="174" t="str">
        <f t="shared" si="23"/>
        <v/>
      </c>
      <c r="F265" s="174" t="str">
        <f t="shared" si="23"/>
        <v/>
      </c>
      <c r="G265" s="174" t="str">
        <f t="shared" si="23"/>
        <v/>
      </c>
      <c r="H265" s="174" t="str">
        <f t="shared" si="23"/>
        <v/>
      </c>
      <c r="I265" s="174" t="str">
        <f t="shared" si="23"/>
        <v/>
      </c>
      <c r="J265" s="174" t="str">
        <f t="shared" si="23"/>
        <v/>
      </c>
      <c r="K265" s="174" t="str">
        <f t="shared" si="23"/>
        <v/>
      </c>
      <c r="L265" s="174" t="str">
        <f t="shared" si="23"/>
        <v/>
      </c>
      <c r="M265" s="174" t="str">
        <f t="shared" si="23"/>
        <v/>
      </c>
      <c r="N265" s="174" t="str">
        <f t="shared" si="23"/>
        <v/>
      </c>
      <c r="O265" s="174" t="str">
        <f t="shared" si="23"/>
        <v/>
      </c>
      <c r="P265" s="174" t="str">
        <f t="shared" si="23"/>
        <v/>
      </c>
      <c r="Q265" s="174" t="str">
        <f t="shared" si="23"/>
        <v/>
      </c>
      <c r="R265" s="174" t="str">
        <f t="shared" si="23"/>
        <v/>
      </c>
      <c r="S265" s="174" t="str">
        <f t="shared" si="23"/>
        <v/>
      </c>
      <c r="T265" s="174" t="str">
        <f t="shared" si="23"/>
        <v/>
      </c>
      <c r="U265" s="174" t="str">
        <f t="shared" si="23"/>
        <v/>
      </c>
      <c r="V265" s="174" t="str">
        <f t="shared" si="23"/>
        <v/>
      </c>
      <c r="W265" s="174" t="str">
        <f t="shared" si="23"/>
        <v/>
      </c>
      <c r="X265" s="174" t="str">
        <f t="shared" si="23"/>
        <v/>
      </c>
      <c r="Y265" s="174" t="str">
        <f t="shared" si="23"/>
        <v/>
      </c>
      <c r="Z265" s="174" t="str">
        <f t="shared" si="23"/>
        <v/>
      </c>
      <c r="AA265" s="174" t="str">
        <f t="shared" si="23"/>
        <v/>
      </c>
      <c r="AB265" s="174" t="str">
        <f t="shared" si="23"/>
        <v/>
      </c>
      <c r="AC265" s="174" t="str">
        <f t="shared" si="23"/>
        <v/>
      </c>
      <c r="AD265" s="174" t="str">
        <f t="shared" si="23"/>
        <v/>
      </c>
      <c r="AE265" s="174" t="str">
        <f t="shared" si="23"/>
        <v/>
      </c>
      <c r="AF265" s="174" t="str">
        <f t="shared" si="23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4">IF(B233&lt;100,"",B233-330)</f>
        <v/>
      </c>
      <c r="C266" s="174" t="str">
        <f t="shared" si="24"/>
        <v/>
      </c>
      <c r="D266" s="174" t="str">
        <f t="shared" si="24"/>
        <v/>
      </c>
      <c r="E266" s="174" t="str">
        <f t="shared" si="24"/>
        <v/>
      </c>
      <c r="F266" s="174" t="str">
        <f t="shared" si="24"/>
        <v/>
      </c>
      <c r="G266" s="174" t="str">
        <f t="shared" si="24"/>
        <v/>
      </c>
      <c r="H266" s="174" t="str">
        <f t="shared" si="24"/>
        <v/>
      </c>
      <c r="I266" s="174" t="str">
        <f t="shared" si="24"/>
        <v/>
      </c>
      <c r="J266" s="174" t="str">
        <f t="shared" si="24"/>
        <v/>
      </c>
      <c r="K266" s="174" t="str">
        <f t="shared" si="24"/>
        <v/>
      </c>
      <c r="L266" s="174" t="str">
        <f t="shared" si="24"/>
        <v/>
      </c>
      <c r="M266" s="174" t="str">
        <f t="shared" si="24"/>
        <v/>
      </c>
      <c r="N266" s="174" t="str">
        <f t="shared" si="24"/>
        <v/>
      </c>
      <c r="O266" s="174" t="str">
        <f t="shared" si="24"/>
        <v/>
      </c>
      <c r="P266" s="174" t="str">
        <f t="shared" si="24"/>
        <v/>
      </c>
      <c r="Q266" s="174" t="str">
        <f t="shared" si="24"/>
        <v/>
      </c>
      <c r="R266" s="174" t="str">
        <f t="shared" si="24"/>
        <v/>
      </c>
      <c r="S266" s="174" t="str">
        <f t="shared" si="24"/>
        <v/>
      </c>
      <c r="T266" s="174" t="str">
        <f t="shared" si="24"/>
        <v/>
      </c>
      <c r="U266" s="174" t="str">
        <f t="shared" si="24"/>
        <v/>
      </c>
      <c r="V266" s="174" t="str">
        <f t="shared" si="24"/>
        <v/>
      </c>
      <c r="W266" s="174" t="str">
        <f t="shared" si="24"/>
        <v/>
      </c>
      <c r="X266" s="174" t="str">
        <f t="shared" si="24"/>
        <v/>
      </c>
      <c r="Y266" s="174" t="str">
        <f t="shared" si="24"/>
        <v/>
      </c>
      <c r="Z266" s="174" t="str">
        <f t="shared" si="24"/>
        <v/>
      </c>
      <c r="AA266" s="174" t="str">
        <f t="shared" si="24"/>
        <v/>
      </c>
      <c r="AB266" s="174" t="str">
        <f t="shared" si="24"/>
        <v/>
      </c>
      <c r="AC266" s="174" t="str">
        <f t="shared" si="24"/>
        <v/>
      </c>
      <c r="AD266" s="174" t="str">
        <f t="shared" si="24"/>
        <v/>
      </c>
      <c r="AE266" s="174" t="str">
        <f t="shared" si="24"/>
        <v/>
      </c>
      <c r="AF266" s="174" t="str">
        <f t="shared" si="24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5">IF(B234&lt;100,"",B234-1500)</f>
        <v/>
      </c>
      <c r="C267" s="174" t="str">
        <f t="shared" si="25"/>
        <v/>
      </c>
      <c r="D267" s="174" t="str">
        <f t="shared" si="25"/>
        <v/>
      </c>
      <c r="E267" s="174" t="str">
        <f t="shared" si="25"/>
        <v/>
      </c>
      <c r="F267" s="174" t="str">
        <f t="shared" si="25"/>
        <v/>
      </c>
      <c r="G267" s="174" t="str">
        <f t="shared" si="25"/>
        <v/>
      </c>
      <c r="H267" s="174" t="str">
        <f t="shared" si="25"/>
        <v/>
      </c>
      <c r="I267" s="174" t="str">
        <f t="shared" si="25"/>
        <v/>
      </c>
      <c r="J267" s="174" t="str">
        <f t="shared" si="25"/>
        <v/>
      </c>
      <c r="K267" s="174" t="str">
        <f t="shared" si="25"/>
        <v/>
      </c>
      <c r="L267" s="174" t="str">
        <f t="shared" si="25"/>
        <v/>
      </c>
      <c r="M267" s="174" t="str">
        <f t="shared" si="25"/>
        <v/>
      </c>
      <c r="N267" s="174" t="str">
        <f t="shared" si="25"/>
        <v/>
      </c>
      <c r="O267" s="174" t="str">
        <f t="shared" si="25"/>
        <v/>
      </c>
      <c r="P267" s="174" t="str">
        <f t="shared" si="25"/>
        <v/>
      </c>
      <c r="Q267" s="174" t="str">
        <f t="shared" si="25"/>
        <v/>
      </c>
      <c r="R267" s="174" t="str">
        <f t="shared" si="25"/>
        <v/>
      </c>
      <c r="S267" s="174" t="str">
        <f t="shared" si="25"/>
        <v/>
      </c>
      <c r="T267" s="174" t="str">
        <f t="shared" si="25"/>
        <v/>
      </c>
      <c r="U267" s="174" t="str">
        <f t="shared" si="25"/>
        <v/>
      </c>
      <c r="V267" s="174" t="str">
        <f t="shared" si="25"/>
        <v/>
      </c>
      <c r="W267" s="174" t="str">
        <f t="shared" si="25"/>
        <v/>
      </c>
      <c r="X267" s="174" t="str">
        <f t="shared" si="25"/>
        <v/>
      </c>
      <c r="Y267" s="174" t="str">
        <f t="shared" si="25"/>
        <v/>
      </c>
      <c r="Z267" s="174" t="str">
        <f t="shared" si="25"/>
        <v/>
      </c>
      <c r="AA267" s="174" t="str">
        <f t="shared" si="25"/>
        <v/>
      </c>
      <c r="AB267" s="174" t="str">
        <f t="shared" si="25"/>
        <v/>
      </c>
      <c r="AC267" s="174" t="str">
        <f t="shared" si="25"/>
        <v/>
      </c>
      <c r="AD267" s="174" t="str">
        <f t="shared" si="25"/>
        <v/>
      </c>
      <c r="AE267" s="174" t="str">
        <f t="shared" si="25"/>
        <v/>
      </c>
      <c r="AF267" s="174" t="str">
        <f t="shared" si="25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A11:A229">
    <cfRule type="expression" dxfId="135" priority="120">
      <formula>$AH11=0</formula>
    </cfRule>
  </conditionalFormatting>
  <conditionalFormatting sqref="B8 M8 S8 AB8">
    <cfRule type="expression" dxfId="134" priority="241">
      <formula>AND(C$9&gt;=14/24,C$9&lt;20/24)</formula>
    </cfRule>
    <cfRule type="expression" dxfId="133" priority="242">
      <formula>AND(C$9&gt;=8/24,C$9&lt;14/24)</formula>
    </cfRule>
    <cfRule type="expression" dxfId="132" priority="243">
      <formula>C$9&lt;8/24</formula>
    </cfRule>
  </conditionalFormatting>
  <conditionalFormatting sqref="B49:L51">
    <cfRule type="expression" dxfId="127" priority="92">
      <formula>AND(B$9&gt;=14/24,B$9&lt;20/24)</formula>
    </cfRule>
    <cfRule type="expression" dxfId="126" priority="94">
      <formula>B$9&lt;8/24</formula>
    </cfRule>
    <cfRule type="expression" dxfId="125" priority="93">
      <formula>AND(B$9&gt;=8/24,B$9&lt;14/24)</formula>
    </cfRule>
    <cfRule type="expression" dxfId="124" priority="91">
      <formula>B$9&gt;=20/24</formula>
    </cfRule>
  </conditionalFormatting>
  <conditionalFormatting sqref="B49:L60 Y54:AF60 M57:X60">
    <cfRule type="expression" dxfId="123" priority="27">
      <formula>B49&gt;$AG49</formula>
    </cfRule>
  </conditionalFormatting>
  <conditionalFormatting sqref="B54:L60 Y54:AF60 M57:X60">
    <cfRule type="expression" dxfId="122" priority="28">
      <formula>B$9&gt;=20/24</formula>
    </cfRule>
    <cfRule type="expression" dxfId="121" priority="30">
      <formula>AND(B$9&gt;=8/24,B$9&lt;14/24)</formula>
    </cfRule>
    <cfRule type="expression" dxfId="120" priority="29">
      <formula>AND(B$9&gt;=14/24,B$9&lt;20/24)</formula>
    </cfRule>
    <cfRule type="expression" dxfId="119" priority="31">
      <formula>B$9&lt;8/24</formula>
    </cfRule>
  </conditionalFormatting>
  <conditionalFormatting sqref="B11:X11">
    <cfRule type="expression" dxfId="118" priority="22">
      <formula>B$9&gt;=20/24</formula>
    </cfRule>
    <cfRule type="expression" dxfId="117" priority="23">
      <formula>AND(B$9&gt;=14/24,B$9&lt;20/24)</formula>
    </cfRule>
    <cfRule type="expression" dxfId="116" priority="24">
      <formula>AND(B$9&gt;=8/24,B$9&lt;14/24)</formula>
    </cfRule>
    <cfRule type="expression" dxfId="115" priority="25">
      <formula>B$9&lt;8/24</formula>
    </cfRule>
  </conditionalFormatting>
  <conditionalFormatting sqref="B12:X14">
    <cfRule type="expression" dxfId="114" priority="18">
      <formula>AND(B$9&gt;=14/24,B$9&lt;20/24)</formula>
    </cfRule>
    <cfRule type="expression" dxfId="113" priority="17">
      <formula>B$9&gt;=20/24</formula>
    </cfRule>
    <cfRule type="expression" dxfId="112" priority="20">
      <formula>B$9&lt;8/24</formula>
    </cfRule>
    <cfRule type="expression" dxfId="111" priority="19">
      <formula>AND(B$9&gt;=8/24,B$9&lt;14/24)</formula>
    </cfRule>
  </conditionalFormatting>
  <conditionalFormatting sqref="B15:X40">
    <cfRule type="expression" dxfId="110" priority="108">
      <formula>B$9&gt;=20/24</formula>
    </cfRule>
    <cfRule type="expression" dxfId="109" priority="109">
      <formula>AND(B$9&gt;=14/24,B$9&lt;20/24)</formula>
    </cfRule>
    <cfRule type="expression" dxfId="108" priority="110">
      <formula>AND(B$9&gt;=8/24,B$9&lt;14/24)</formula>
    </cfRule>
    <cfRule type="expression" dxfId="107" priority="111">
      <formula>B$9&lt;8/24</formula>
    </cfRule>
  </conditionalFormatting>
  <conditionalFormatting sqref="B41:X41">
    <cfRule type="expression" dxfId="106" priority="13">
      <formula>B$9&gt;=20/24</formula>
    </cfRule>
    <cfRule type="expression" dxfId="105" priority="14">
      <formula>AND(B$9&gt;=14/24,B$9&lt;20/24)</formula>
    </cfRule>
    <cfRule type="expression" dxfId="104" priority="15">
      <formula>AND(B$9&gt;=8/24,B$9&lt;14/24)</formula>
    </cfRule>
    <cfRule type="expression" dxfId="103" priority="16">
      <formula>B$9&lt;8/24</formula>
    </cfRule>
  </conditionalFormatting>
  <conditionalFormatting sqref="B42:X42">
    <cfRule type="expression" dxfId="102" priority="74">
      <formula>AND(B$9&gt;=8/24,B$9&lt;14/24)</formula>
    </cfRule>
    <cfRule type="expression" dxfId="101" priority="72">
      <formula>B$9&gt;=20/24</formula>
    </cfRule>
    <cfRule type="expression" dxfId="100" priority="73">
      <formula>AND(B$9&gt;=14/24,B$9&lt;20/24)</formula>
    </cfRule>
    <cfRule type="expression" dxfId="99" priority="75">
      <formula>B$9&lt;8/24</formula>
    </cfRule>
  </conditionalFormatting>
  <conditionalFormatting sqref="B9:AF10 B220:AF220 D222:AF223 B222:B228 D224:H224 J224:AF224 D225:AF228 U241:AF241">
    <cfRule type="expression" dxfId="98" priority="236">
      <formula>AND(B$9&gt;=8/24,B$9&lt;14/24)</formula>
    </cfRule>
    <cfRule type="expression" dxfId="97" priority="237">
      <formula>B$9&lt;8/24</formula>
    </cfRule>
    <cfRule type="expression" dxfId="96" priority="234">
      <formula>B$9&gt;=20/24</formula>
    </cfRule>
    <cfRule type="expression" dxfId="95" priority="235">
      <formula>AND(B$9&gt;=14/24,B$9&lt;20/24)</formula>
    </cfRule>
  </conditionalFormatting>
  <conditionalFormatting sqref="B11:AF48">
    <cfRule type="expression" dxfId="94" priority="21">
      <formula>B11&gt;$AG11</formula>
    </cfRule>
  </conditionalFormatting>
  <conditionalFormatting sqref="B43:AF43">
    <cfRule type="expression" dxfId="93" priority="105">
      <formula>AND(B$9&gt;=14/24,B$9&lt;20/24)</formula>
    </cfRule>
    <cfRule type="expression" dxfId="92" priority="104">
      <formula>B$9&gt;=20/24</formula>
    </cfRule>
    <cfRule type="expression" dxfId="91" priority="106">
      <formula>AND(B$9&gt;=8/24,B$9&lt;14/24)</formula>
    </cfRule>
    <cfRule type="expression" dxfId="90" priority="107">
      <formula>B$9&lt;8/24</formula>
    </cfRule>
  </conditionalFormatting>
  <conditionalFormatting sqref="B45:AF48">
    <cfRule type="expression" dxfId="89" priority="51">
      <formula>AND(B$9&gt;=8/24,B$9&lt;14/24)</formula>
    </cfRule>
    <cfRule type="expression" dxfId="88" priority="49">
      <formula>B$9&gt;=20/24</formula>
    </cfRule>
    <cfRule type="expression" dxfId="87" priority="50">
      <formula>AND(B$9&gt;=14/24,B$9&lt;20/24)</formula>
    </cfRule>
    <cfRule type="expression" dxfId="86" priority="52">
      <formula>B$9&lt;8/24</formula>
    </cfRule>
  </conditionalFormatting>
  <conditionalFormatting sqref="B61:AF66">
    <cfRule type="expression" dxfId="85" priority="66">
      <formula>B61&gt;$AG61</formula>
    </cfRule>
  </conditionalFormatting>
  <conditionalFormatting sqref="B63:AF72">
    <cfRule type="expression" dxfId="84" priority="67">
      <formula>B$9&gt;=20/24</formula>
    </cfRule>
    <cfRule type="expression" dxfId="83" priority="68">
      <formula>AND(B$9&gt;=14/24,B$9&lt;20/24)</formula>
    </cfRule>
    <cfRule type="expression" dxfId="82" priority="69">
      <formula>AND(B$9&gt;=8/24,B$9&lt;14/24)</formula>
    </cfRule>
    <cfRule type="expression" dxfId="81" priority="70">
      <formula>B$9&lt;8/24</formula>
    </cfRule>
  </conditionalFormatting>
  <conditionalFormatting sqref="B73:AF85">
    <cfRule type="expression" dxfId="80" priority="10">
      <formula>AND(B$9&gt;=14/24,B$9&lt;20/24)</formula>
    </cfRule>
    <cfRule type="expression" dxfId="79" priority="12">
      <formula>B$9&lt;8/24</formula>
    </cfRule>
    <cfRule type="expression" dxfId="78" priority="9">
      <formula>B$9&gt;=20/24</formula>
    </cfRule>
    <cfRule type="expression" dxfId="77" priority="11">
      <formula>AND(B$9&gt;=8/24,B$9&lt;14/24)</formula>
    </cfRule>
  </conditionalFormatting>
  <conditionalFormatting sqref="B87:AF103">
    <cfRule type="expression" dxfId="72" priority="46">
      <formula>AND(B$9&gt;=8/24,B$9&lt;14/24)</formula>
    </cfRule>
    <cfRule type="expression" dxfId="71" priority="44">
      <formula>B$9&gt;=20/24</formula>
    </cfRule>
    <cfRule type="expression" dxfId="70" priority="45">
      <formula>AND(B$9&gt;=14/24,B$9&lt;20/24)</formula>
    </cfRule>
    <cfRule type="expression" dxfId="69" priority="47">
      <formula>B$9&lt;8/24</formula>
    </cfRule>
  </conditionalFormatting>
  <conditionalFormatting sqref="B105:AF112">
    <cfRule type="expression" dxfId="68" priority="35">
      <formula>B$9&lt;8/24</formula>
    </cfRule>
    <cfRule type="expression" dxfId="67" priority="34">
      <formula>AND(B$9&gt;=8/24,B$9&lt;14/24)</formula>
    </cfRule>
    <cfRule type="expression" dxfId="66" priority="33">
      <formula>AND(B$9&gt;=14/24,B$9&lt;20/24)</formula>
    </cfRule>
    <cfRule type="expression" dxfId="65" priority="32">
      <formula>B$9&gt;=20/24</formula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60" priority="240">
      <formula>C$9&gt;=20/24</formula>
    </cfRule>
  </conditionalFormatting>
  <conditionalFormatting sqref="S8">
    <cfRule type="expression" dxfId="59" priority="216">
      <formula>U$9&lt;8/24</formula>
    </cfRule>
    <cfRule type="expression" dxfId="58" priority="215">
      <formula>AND(U$9&gt;=8/24,U$9&lt;14/24)</formula>
    </cfRule>
    <cfRule type="expression" dxfId="57" priority="214">
      <formula>AND(U$9&gt;=14/24,U$9&lt;20/24)</formula>
    </cfRule>
    <cfRule type="expression" dxfId="56" priority="213">
      <formula>U$9&gt;=20/24</formula>
    </cfRule>
  </conditionalFormatting>
  <conditionalFormatting sqref="T241">
    <cfRule type="expression" dxfId="55" priority="256">
      <formula>AX$9&lt;8/24</formula>
    </cfRule>
    <cfRule type="expression" dxfId="54" priority="255">
      <formula>AND(AX$9&gt;=8/24,AX$9&lt;14/24)</formula>
    </cfRule>
    <cfRule type="expression" dxfId="53" priority="254">
      <formula>AND(AX$9&gt;=14/24,AX$9&lt;20/24)</formula>
    </cfRule>
    <cfRule type="expression" dxfId="52" priority="253">
      <formula>AX$9&gt;=20/24</formula>
    </cfRule>
  </conditionalFormatting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X49:AA51 M49:W56 X52:X56">
    <cfRule type="expression" dxfId="51" priority="193">
      <formula>M$9&lt;8/24</formula>
    </cfRule>
    <cfRule type="expression" dxfId="50" priority="189">
      <formula>M49&gt;$AG49</formula>
    </cfRule>
    <cfRule type="expression" dxfId="49" priority="192">
      <formula>AND(M$9&gt;=8/24,M$9&lt;14/24)</formula>
    </cfRule>
    <cfRule type="expression" dxfId="48" priority="191">
      <formula>AND(M$9&gt;=14/24,M$9&lt;20/24)</formula>
    </cfRule>
    <cfRule type="expression" dxfId="47" priority="190">
      <formula>M$9&gt;=20/24</formula>
    </cfRule>
  </conditionalFormatting>
  <conditionalFormatting sqref="Y52:AA53">
    <cfRule type="expression" dxfId="46" priority="206">
      <formula>AND(Y$9&gt;=8/24,Y$9&lt;14/24)</formula>
    </cfRule>
    <cfRule type="expression" dxfId="45" priority="205">
      <formula>AND(Y$9&gt;=14/24,Y$9&lt;20/24)</formula>
    </cfRule>
    <cfRule type="expression" dxfId="44" priority="204">
      <formula>Y$9&gt;=20/24</formula>
    </cfRule>
    <cfRule type="expression" dxfId="43" priority="207">
      <formula>Y$9&lt;8/24</formula>
    </cfRule>
  </conditionalFormatting>
  <conditionalFormatting sqref="Y11:AF42">
    <cfRule type="expression" dxfId="42" priority="179">
      <formula>Y$9&lt;8/24</formula>
    </cfRule>
    <cfRule type="expression" dxfId="41" priority="178">
      <formula>AND(Y$9&gt;=8/24,Y$9&lt;14/24)</formula>
    </cfRule>
    <cfRule type="expression" dxfId="40" priority="177">
      <formula>AND(Y$9&gt;=14/24,Y$9&lt;20/24)</formula>
    </cfRule>
    <cfRule type="expression" dxfId="39" priority="176">
      <formula>Y$9&gt;=20/24</formula>
    </cfRule>
  </conditionalFormatting>
  <conditionalFormatting sqref="AB8">
    <cfRule type="expression" dxfId="38" priority="209">
      <formula>AD$9&gt;=20/24</formula>
    </cfRule>
    <cfRule type="expression" dxfId="37" priority="210">
      <formula>AND(AD$9&gt;=14/24,AD$9&lt;20/24)</formula>
    </cfRule>
    <cfRule type="expression" dxfId="36" priority="212">
      <formula>AD$9&lt;8/24</formula>
    </cfRule>
    <cfRule type="expression" dxfId="35" priority="211">
      <formula>AND(AD$9&gt;=8/24,AD$9&lt;14/24)</formula>
    </cfRule>
  </conditionalFormatting>
  <conditionalFormatting sqref="AB49:AF53 Y52:AA53">
    <cfRule type="expression" dxfId="34" priority="199">
      <formula>Y49&gt;$AG49</formula>
    </cfRule>
  </conditionalFormatting>
  <conditionalFormatting sqref="AB49:AF53">
    <cfRule type="expression" dxfId="33" priority="203">
      <formula>AB$9&lt;8/24</formula>
    </cfRule>
    <cfRule type="expression" dxfId="32" priority="202">
      <formula>AND(AB$9&gt;=8/24,AB$9&lt;14/24)</formula>
    </cfRule>
    <cfRule type="expression" dxfId="31" priority="201">
      <formula>AND(AB$9&gt;=14/24,AB$9&lt;20/24)</formula>
    </cfRule>
    <cfRule type="expression" dxfId="30" priority="200">
      <formula>AB$9&gt;=20/24</formula>
    </cfRule>
  </conditionalFormatting>
  <conditionalFormatting sqref="AG44 AG61:AG62 AG66">
    <cfRule type="expression" dxfId="29" priority="166">
      <formula>AG44&gt;$AG44</formula>
    </cfRule>
  </conditionalFormatting>
  <conditionalFormatting sqref="AG48">
    <cfRule type="expression" dxfId="28" priority="150">
      <formula>AG$9&lt;8/24</formula>
    </cfRule>
    <cfRule type="expression" dxfId="27" priority="146">
      <formula>AG48&gt;$AG48</formula>
    </cfRule>
    <cfRule type="expression" dxfId="26" priority="147">
      <formula>AG$9&gt;=20/24</formula>
    </cfRule>
    <cfRule type="expression" dxfId="25" priority="148">
      <formula>AND(AG$9&gt;=14/24,AG$9&lt;20/24)</formula>
    </cfRule>
    <cfRule type="expression" dxfId="24" priority="149">
      <formula>AND(AG$9&gt;=8/24,AG$9&lt;14/24)</formula>
    </cfRule>
  </conditionalFormatting>
  <conditionalFormatting sqref="AG66 AG83">
    <cfRule type="expression" dxfId="23" priority="169">
      <formula>AND(AG$9&gt;=8/24,AG$9&lt;14/24)</formula>
    </cfRule>
    <cfRule type="expression" dxfId="22" priority="168">
      <formula>AND(AG$9&gt;=14/24,AG$9&lt;20/24)</formula>
    </cfRule>
    <cfRule type="expression" dxfId="21" priority="167">
      <formula>AG$9&gt;=20/24</formula>
    </cfRule>
    <cfRule type="expression" dxfId="20" priority="170">
      <formula>AG$9&lt;8/24</formula>
    </cfRule>
  </conditionalFormatting>
  <conditionalFormatting sqref="AG241">
    <cfRule type="expression" dxfId="19" priority="246">
      <formula>AND(B$9&gt;=14/24,B$9&lt;20/24)</formula>
    </cfRule>
    <cfRule type="expression" dxfId="18" priority="248">
      <formula>B$9&lt;8/24</formula>
    </cfRule>
    <cfRule type="expression" dxfId="17" priority="247">
      <formula>AND(B$9&gt;=8/24,B$9&lt;14/24)</formula>
    </cfRule>
    <cfRule type="expression" dxfId="16" priority="245">
      <formula>B$9&gt;=20/24</formula>
    </cfRule>
  </conditionalFormatting>
  <conditionalFormatting sqref="AH241:AX241">
    <cfRule type="expression" dxfId="15" priority="249">
      <formula>AG$9&gt;=20/24</formula>
    </cfRule>
    <cfRule type="expression" dxfId="14" priority="250">
      <formula>AND(AG$9&gt;=14/24,AG$9&lt;20/24)</formula>
    </cfRule>
    <cfRule type="expression" dxfId="13" priority="251">
      <formula>AND(AG$9&gt;=8/24,AG$9&lt;14/24)</formula>
    </cfRule>
    <cfRule type="expression" dxfId="12" priority="252">
      <formula>AG$9&lt;8/24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AL75:AM79">
    <cfRule type="expression" dxfId="11" priority="261">
      <formula>AJ$9&lt;8/24</formula>
    </cfRule>
    <cfRule type="expression" dxfId="10" priority="258">
      <formula>AJ$9&gt;=20/24</formula>
    </cfRule>
    <cfRule type="expression" dxfId="9" priority="259">
      <formula>AND(AJ$9&gt;=14/24,AJ$9&lt;20/24)</formula>
    </cfRule>
    <cfRule type="expression" dxfId="8" priority="260">
      <formula>AND(AJ$9&gt;=8/24,AJ$9&lt;14/24)</formula>
    </cfRule>
  </conditionalFormatting>
  <conditionalFormatting sqref="AL74:AN74 AL80:AN80">
    <cfRule type="expression" dxfId="7" priority="8">
      <formula>AL$9&lt;8/24</formula>
    </cfRule>
    <cfRule type="expression" dxfId="6" priority="5">
      <formula>AL$9&gt;=20/24</formula>
    </cfRule>
    <cfRule type="expression" dxfId="5" priority="7">
      <formula>AND(AL$9&gt;=8/24,AL$9&lt;14/24)</formula>
    </cfRule>
    <cfRule type="expression" dxfId="4" priority="6">
      <formula>AND(AL$9&gt;=14/24,AL$9&lt;20/24)</formula>
    </cfRule>
  </conditionalFormatting>
  <conditionalFormatting sqref="AN75:AN78">
    <cfRule type="expression" dxfId="3" priority="4">
      <formula>AN$9&lt;8/24</formula>
    </cfRule>
    <cfRule type="expression" dxfId="2" priority="1">
      <formula>AN$9&gt;=20/24</formula>
    </cfRule>
    <cfRule type="expression" dxfId="1" priority="2">
      <formula>AND(AN$9&gt;=14/24,AN$9&lt;20/24)</formula>
    </cfRule>
    <cfRule type="expression" dxfId="0" priority="3">
      <formula>AND(AN$9&gt;=8/24,AN$9&lt;14/24)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9" id="{62303BBE-0015-4FF5-911A-D42B2A4322AE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36" id="{3C15250F-EDEC-442D-9E81-F7A5B17939F2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FAC2DA99-A0A7-47B4-94CC-4AB4E07B4BDC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8F39B45C-2095-4ABC-B8E9-828E292189AF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m:sqref>B113:C113</xm:sqref>
        </x14:conditionalFormatting>
        <x14:conditionalFormatting xmlns:xm="http://schemas.microsoft.com/office/excel/2006/main">
          <x14:cfRule type="expression" priority="40" id="{EFEE6373-5327-45C1-93A9-F208C71C317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3" id="{FDD296B9-AC56-43E3-8D28-C8354FEF93A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42" id="{1C3A39EF-4EEF-491E-AD2E-13F9D3959E9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1" id="{8F848B22-E3CD-4380-B5C2-763F393CE235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135" id="{A6D4477E-C03B-4DAF-9F7A-5AD14CFFFA7E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EC4FAA77-E21A-47A8-98B0-4DE45ABDAD5E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4" id="{46E982AD-691F-4F93-946A-F4F85BE2813E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7" id="{A943FC91-76F0-4310-9639-10EDD01B62A1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J274"/>
  <sheetViews>
    <sheetView zoomScale="90" zoomScaleNormal="90" workbookViewId="0">
      <pane ySplit="10" topLeftCell="A39" activePane="bottomLeft" state="frozen"/>
      <selection activeCell="U80" sqref="U80"/>
      <selection pane="bottomLeft" activeCell="L81" sqref="L81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/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str">
        <f ca="1">"2079/"&amp;"09/"&amp;INT(MID(CELL("filename",D6),FIND("]",CELL("filename",D6))+1,200))</f>
        <v>2079/09/9</v>
      </c>
      <c r="C4" s="771"/>
      <c r="D4" s="771"/>
      <c r="E4" s="772" t="str">
        <f ca="1">"2079/"&amp;"09/"&amp;INT(MID(CELL("filename",G6),FIND("]",CELL("filename",G6))+1,200))</f>
        <v>2079/09/9</v>
      </c>
      <c r="F4" s="772"/>
      <c r="G4" s="772"/>
      <c r="H4" s="772" t="str">
        <f ca="1">TEXT(E4,"dddd")</f>
        <v>Saturday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445</v>
      </c>
      <c r="C5" s="30">
        <f t="shared" si="0"/>
        <v>421.1</v>
      </c>
      <c r="D5" s="30">
        <f t="shared" si="0"/>
        <v>424.40000000000003</v>
      </c>
      <c r="E5" s="30">
        <f t="shared" si="0"/>
        <v>458.63</v>
      </c>
      <c r="F5" s="30">
        <f t="shared" si="0"/>
        <v>452.2</v>
      </c>
      <c r="G5" s="30">
        <f t="shared" si="0"/>
        <v>467.8</v>
      </c>
      <c r="H5" s="30">
        <f t="shared" si="0"/>
        <v>464.19999999999993</v>
      </c>
      <c r="I5" s="30">
        <f t="shared" si="0"/>
        <v>478.45000000000005</v>
      </c>
      <c r="J5" s="30">
        <f t="shared" si="0"/>
        <v>430.4</v>
      </c>
      <c r="K5" s="30">
        <f t="shared" si="0"/>
        <v>428.2</v>
      </c>
      <c r="L5" s="30">
        <f t="shared" si="0"/>
        <v>327.40000000000003</v>
      </c>
      <c r="M5" s="30">
        <f t="shared" si="0"/>
        <v>317.8</v>
      </c>
      <c r="N5" s="30">
        <f t="shared" si="0"/>
        <v>282.89999999999998</v>
      </c>
      <c r="O5" s="30">
        <f t="shared" si="0"/>
        <v>448</v>
      </c>
      <c r="P5" s="30">
        <f t="shared" si="0"/>
        <v>460.29999999999995</v>
      </c>
      <c r="Q5" s="30">
        <f t="shared" si="0"/>
        <v>504</v>
      </c>
      <c r="R5" s="30">
        <f t="shared" si="0"/>
        <v>558.5</v>
      </c>
      <c r="S5" s="30">
        <f t="shared" si="0"/>
        <v>510</v>
      </c>
      <c r="T5" s="30">
        <f t="shared" si="0"/>
        <v>486.9</v>
      </c>
      <c r="U5" s="30">
        <f t="shared" si="0"/>
        <v>409.5</v>
      </c>
      <c r="V5" s="30">
        <f t="shared" si="0"/>
        <v>389.40000000000003</v>
      </c>
      <c r="W5" s="30">
        <f t="shared" si="0"/>
        <v>435.90000000000003</v>
      </c>
      <c r="X5" s="30">
        <f t="shared" si="0"/>
        <v>385.8</v>
      </c>
      <c r="Y5" s="30">
        <f t="shared" si="0"/>
        <v>341.8</v>
      </c>
      <c r="Z5" s="30">
        <f t="shared" si="0"/>
        <v>426.6</v>
      </c>
      <c r="AA5" s="30">
        <f t="shared" si="0"/>
        <v>435.2</v>
      </c>
      <c r="AB5" s="30">
        <f t="shared" si="0"/>
        <v>408.4</v>
      </c>
      <c r="AC5" s="30">
        <f t="shared" si="0"/>
        <v>407.1</v>
      </c>
      <c r="AD5" s="30">
        <f t="shared" si="0"/>
        <v>425.3</v>
      </c>
      <c r="AE5" s="30">
        <f t="shared" si="0"/>
        <v>446.3</v>
      </c>
      <c r="AF5" s="30">
        <f>B78</f>
        <v>446.6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1641MW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Load=1062</v>
      </c>
      <c r="B7" s="35">
        <f t="shared" ref="B7:AF7" si="1">B85</f>
        <v>1131.74</v>
      </c>
      <c r="C7" s="35">
        <f t="shared" si="1"/>
        <v>1130.04</v>
      </c>
      <c r="D7" s="35">
        <f t="shared" si="1"/>
        <v>1081.1399999999999</v>
      </c>
      <c r="E7" s="35">
        <f t="shared" si="1"/>
        <v>1062.3400000000001</v>
      </c>
      <c r="F7" s="35">
        <f t="shared" si="1"/>
        <v>1081.5700000000002</v>
      </c>
      <c r="G7" s="35">
        <f t="shared" si="1"/>
        <v>1128.24</v>
      </c>
      <c r="H7" s="35">
        <f t="shared" si="1"/>
        <v>1211.24</v>
      </c>
      <c r="I7" s="35">
        <f t="shared" si="1"/>
        <v>1254.04</v>
      </c>
      <c r="J7" s="35">
        <f t="shared" si="1"/>
        <v>1367.39</v>
      </c>
      <c r="K7" s="35">
        <f t="shared" si="1"/>
        <v>1494.0700000000002</v>
      </c>
      <c r="L7" s="35">
        <f t="shared" si="1"/>
        <v>1618.84</v>
      </c>
      <c r="M7" s="35">
        <f t="shared" si="1"/>
        <v>1640.94</v>
      </c>
      <c r="N7" s="35">
        <f>N85</f>
        <v>1560.44</v>
      </c>
      <c r="O7" s="35">
        <f t="shared" si="1"/>
        <v>1488.8399999999997</v>
      </c>
      <c r="P7" s="35">
        <f t="shared" si="1"/>
        <v>1277.2399999999998</v>
      </c>
      <c r="Q7" s="35">
        <f t="shared" si="1"/>
        <v>1374.94</v>
      </c>
      <c r="R7" s="35">
        <f t="shared" si="1"/>
        <v>1356.1399999999999</v>
      </c>
      <c r="S7" s="35">
        <f t="shared" si="1"/>
        <v>1363.84</v>
      </c>
      <c r="T7" s="35">
        <f t="shared" si="1"/>
        <v>1346.14</v>
      </c>
      <c r="U7" s="35">
        <f t="shared" si="1"/>
        <v>1395.6399999999999</v>
      </c>
      <c r="V7" s="35">
        <f t="shared" si="1"/>
        <v>1353.24</v>
      </c>
      <c r="W7" s="35">
        <f t="shared" si="1"/>
        <v>1446.04</v>
      </c>
      <c r="X7" s="35">
        <f t="shared" si="1"/>
        <v>1622.64</v>
      </c>
      <c r="Y7" s="35">
        <f t="shared" si="1"/>
        <v>1708.34</v>
      </c>
      <c r="Z7" s="35">
        <f t="shared" si="1"/>
        <v>1670.24</v>
      </c>
      <c r="AA7" s="35">
        <f t="shared" si="1"/>
        <v>1603.7400000000002</v>
      </c>
      <c r="AB7" s="35">
        <f t="shared" si="1"/>
        <v>1453.0400000000002</v>
      </c>
      <c r="AC7" s="35">
        <f t="shared" si="1"/>
        <v>1383.54</v>
      </c>
      <c r="AD7" s="35">
        <f t="shared" si="1"/>
        <v>1364.44</v>
      </c>
      <c r="AE7" s="35">
        <f t="shared" si="1"/>
        <v>1253.94</v>
      </c>
      <c r="AF7" s="35">
        <f t="shared" si="1"/>
        <v>1179.94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18.3</v>
      </c>
      <c r="C11" s="45">
        <v>19.8</v>
      </c>
      <c r="D11" s="45">
        <v>19.8</v>
      </c>
      <c r="E11" s="45">
        <v>19.8</v>
      </c>
      <c r="F11" s="45">
        <v>19.8</v>
      </c>
      <c r="G11" s="45">
        <v>18.399999999999999</v>
      </c>
      <c r="H11" s="45">
        <v>19.8</v>
      </c>
      <c r="I11" s="45">
        <v>19.8</v>
      </c>
      <c r="J11" s="45">
        <v>18</v>
      </c>
      <c r="K11" s="45">
        <v>18</v>
      </c>
      <c r="L11" s="45">
        <v>18</v>
      </c>
      <c r="M11" s="45">
        <v>19.100000000000001</v>
      </c>
      <c r="N11" s="45">
        <v>19</v>
      </c>
      <c r="O11" s="45">
        <v>18.8</v>
      </c>
      <c r="P11" s="45">
        <v>18.899999999999999</v>
      </c>
      <c r="Q11" s="45">
        <v>18.5</v>
      </c>
      <c r="R11" s="45">
        <v>18.5</v>
      </c>
      <c r="S11" s="45">
        <v>17</v>
      </c>
      <c r="T11" s="45">
        <v>17</v>
      </c>
      <c r="U11" s="45">
        <v>17.5</v>
      </c>
      <c r="V11" s="45">
        <v>17.5</v>
      </c>
      <c r="W11" s="45">
        <v>20.5</v>
      </c>
      <c r="X11" s="45">
        <v>20.5</v>
      </c>
      <c r="Y11" s="45">
        <v>20.5</v>
      </c>
      <c r="Z11" s="45">
        <v>17.7</v>
      </c>
      <c r="AA11" s="45">
        <v>17.7</v>
      </c>
      <c r="AB11" s="45">
        <v>17.7</v>
      </c>
      <c r="AC11" s="45">
        <v>17.7</v>
      </c>
      <c r="AD11" s="45">
        <v>17.7</v>
      </c>
      <c r="AE11" s="45">
        <v>17.7</v>
      </c>
      <c r="AF11" s="45">
        <v>17.7</v>
      </c>
      <c r="AG11" s="46">
        <v>52.4</v>
      </c>
      <c r="AH11" s="47">
        <f t="shared" ref="AH11:AH74" si="2">MAX(B11:AF11)</f>
        <v>20.5</v>
      </c>
      <c r="AI11" s="48">
        <f t="shared" ref="AI11:AI74" si="3">MIN(B11:AF11)</f>
        <v>17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36</v>
      </c>
      <c r="C12" s="45">
        <v>35.700000000000003</v>
      </c>
      <c r="D12" s="45">
        <v>35.700000000000003</v>
      </c>
      <c r="E12" s="45">
        <v>35.700000000000003</v>
      </c>
      <c r="F12" s="45">
        <v>35.700000000000003</v>
      </c>
      <c r="G12" s="45">
        <v>35.700000000000003</v>
      </c>
      <c r="H12" s="45">
        <v>35.700000000000003</v>
      </c>
      <c r="I12" s="45">
        <v>35.700000000000003</v>
      </c>
      <c r="J12" s="45">
        <v>35.700000000000003</v>
      </c>
      <c r="K12" s="45">
        <v>35.700000000000003</v>
      </c>
      <c r="L12" s="45">
        <v>35.700000000000003</v>
      </c>
      <c r="M12" s="45">
        <v>36</v>
      </c>
      <c r="N12" s="45">
        <v>35.799999999999997</v>
      </c>
      <c r="O12" s="45">
        <v>36.1</v>
      </c>
      <c r="P12" s="45">
        <v>34.200000000000003</v>
      </c>
      <c r="Q12" s="45">
        <v>34.5</v>
      </c>
      <c r="R12" s="45">
        <v>34.5</v>
      </c>
      <c r="S12" s="45">
        <v>34.5</v>
      </c>
      <c r="T12" s="45">
        <v>34.5</v>
      </c>
      <c r="U12" s="45">
        <v>33.700000000000003</v>
      </c>
      <c r="V12" s="45">
        <v>33.700000000000003</v>
      </c>
      <c r="W12" s="45">
        <v>34.6</v>
      </c>
      <c r="X12" s="45">
        <v>34.6</v>
      </c>
      <c r="Y12" s="45">
        <v>34.6</v>
      </c>
      <c r="Z12" s="45">
        <v>34.6</v>
      </c>
      <c r="AA12" s="45">
        <v>34.6</v>
      </c>
      <c r="AB12" s="45">
        <v>34.6</v>
      </c>
      <c r="AC12" s="45">
        <v>34.6</v>
      </c>
      <c r="AD12" s="45">
        <v>34.6</v>
      </c>
      <c r="AE12" s="45">
        <v>34.6</v>
      </c>
      <c r="AF12" s="45">
        <v>34.6</v>
      </c>
      <c r="AG12" s="50">
        <v>50</v>
      </c>
      <c r="AH12" s="47">
        <f t="shared" si="2"/>
        <v>36.1</v>
      </c>
      <c r="AI12" s="48">
        <f t="shared" si="3"/>
        <v>33.700000000000003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21.2</v>
      </c>
      <c r="C13" s="45">
        <v>19.899999999999999</v>
      </c>
      <c r="D13" s="45">
        <v>19.899999999999999</v>
      </c>
      <c r="E13" s="45">
        <v>19.899999999999999</v>
      </c>
      <c r="F13" s="45">
        <v>19.899999999999999</v>
      </c>
      <c r="G13" s="45">
        <v>19.899999999999999</v>
      </c>
      <c r="H13" s="45">
        <v>19.899999999999999</v>
      </c>
      <c r="I13" s="45">
        <v>19.899999999999999</v>
      </c>
      <c r="J13" s="45">
        <v>19.899999999999999</v>
      </c>
      <c r="K13" s="45">
        <v>19.899999999999999</v>
      </c>
      <c r="L13" s="45">
        <v>19.899999999999999</v>
      </c>
      <c r="M13" s="45">
        <v>18.7</v>
      </c>
      <c r="N13" s="45">
        <v>18.7</v>
      </c>
      <c r="O13" s="45">
        <v>16.399999999999999</v>
      </c>
      <c r="P13" s="45">
        <v>19.2</v>
      </c>
      <c r="Q13" s="45">
        <v>19</v>
      </c>
      <c r="R13" s="45">
        <v>19</v>
      </c>
      <c r="S13" s="45">
        <v>19</v>
      </c>
      <c r="T13" s="45">
        <v>19</v>
      </c>
      <c r="U13" s="45">
        <v>20.2</v>
      </c>
      <c r="V13" s="45">
        <v>20.2</v>
      </c>
      <c r="W13" s="45">
        <v>20.8</v>
      </c>
      <c r="X13" s="45">
        <v>20.8</v>
      </c>
      <c r="Y13" s="45">
        <v>20.8</v>
      </c>
      <c r="Z13" s="45">
        <v>21.8</v>
      </c>
      <c r="AA13" s="45">
        <v>21.8</v>
      </c>
      <c r="AB13" s="45">
        <v>21.8</v>
      </c>
      <c r="AC13" s="45">
        <v>21.8</v>
      </c>
      <c r="AD13" s="45">
        <v>21.8</v>
      </c>
      <c r="AE13" s="45">
        <v>21.8</v>
      </c>
      <c r="AF13" s="45">
        <v>21.8</v>
      </c>
      <c r="AG13" s="50">
        <v>45</v>
      </c>
      <c r="AH13" s="47">
        <f t="shared" si="2"/>
        <v>21.8</v>
      </c>
      <c r="AI13" s="48">
        <f t="shared" si="3"/>
        <v>16.399999999999999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8.5</v>
      </c>
      <c r="C14" s="45">
        <v>8.5</v>
      </c>
      <c r="D14" s="45">
        <v>8.5</v>
      </c>
      <c r="E14" s="45">
        <v>8.5</v>
      </c>
      <c r="F14" s="45">
        <v>8.5</v>
      </c>
      <c r="G14" s="45">
        <v>9.5</v>
      </c>
      <c r="H14" s="45">
        <v>9.5</v>
      </c>
      <c r="I14" s="45">
        <v>9.5</v>
      </c>
      <c r="J14" s="45">
        <v>9.5</v>
      </c>
      <c r="K14" s="45">
        <v>9.5</v>
      </c>
      <c r="L14" s="45">
        <v>9.5</v>
      </c>
      <c r="M14" s="45">
        <v>9.5</v>
      </c>
      <c r="N14" s="45">
        <v>9.5</v>
      </c>
      <c r="O14" s="45">
        <v>8</v>
      </c>
      <c r="P14" s="45">
        <v>8</v>
      </c>
      <c r="Q14" s="45">
        <v>8</v>
      </c>
      <c r="R14" s="45">
        <v>8</v>
      </c>
      <c r="S14" s="45">
        <v>8</v>
      </c>
      <c r="T14" s="45">
        <v>8</v>
      </c>
      <c r="U14" s="45">
        <v>8</v>
      </c>
      <c r="V14" s="45">
        <v>8</v>
      </c>
      <c r="W14" s="45">
        <v>8</v>
      </c>
      <c r="X14" s="45">
        <v>8</v>
      </c>
      <c r="Y14" s="45">
        <v>8</v>
      </c>
      <c r="Z14" s="45">
        <v>8</v>
      </c>
      <c r="AA14" s="45">
        <v>8</v>
      </c>
      <c r="AB14" s="45">
        <v>8</v>
      </c>
      <c r="AC14" s="45">
        <v>8</v>
      </c>
      <c r="AD14" s="45">
        <v>8</v>
      </c>
      <c r="AE14" s="45">
        <v>8</v>
      </c>
      <c r="AF14" s="45">
        <v>8</v>
      </c>
      <c r="AG14" s="50">
        <v>42</v>
      </c>
      <c r="AH14" s="47">
        <f t="shared" si="2"/>
        <v>9.5</v>
      </c>
      <c r="AI14" s="48">
        <f t="shared" si="3"/>
        <v>8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13</v>
      </c>
      <c r="C15" s="45">
        <v>13</v>
      </c>
      <c r="D15" s="45">
        <v>13</v>
      </c>
      <c r="E15" s="45">
        <v>13</v>
      </c>
      <c r="F15" s="45">
        <v>13</v>
      </c>
      <c r="G15" s="45">
        <v>13</v>
      </c>
      <c r="H15" s="45">
        <v>13</v>
      </c>
      <c r="I15" s="45">
        <v>13</v>
      </c>
      <c r="J15" s="45">
        <v>13</v>
      </c>
      <c r="K15" s="45">
        <v>13</v>
      </c>
      <c r="L15" s="45">
        <v>13</v>
      </c>
      <c r="M15" s="45">
        <v>13</v>
      </c>
      <c r="N15" s="45">
        <v>13</v>
      </c>
      <c r="O15" s="45">
        <v>13</v>
      </c>
      <c r="P15" s="45">
        <v>13</v>
      </c>
      <c r="Q15" s="45">
        <v>13</v>
      </c>
      <c r="R15" s="45">
        <v>13</v>
      </c>
      <c r="S15" s="45">
        <v>13</v>
      </c>
      <c r="T15" s="45">
        <v>13</v>
      </c>
      <c r="U15" s="45">
        <v>13</v>
      </c>
      <c r="V15" s="45">
        <v>13</v>
      </c>
      <c r="W15" s="45">
        <v>13</v>
      </c>
      <c r="X15" s="45">
        <v>13</v>
      </c>
      <c r="Y15" s="45">
        <v>13</v>
      </c>
      <c r="Z15" s="45">
        <v>13</v>
      </c>
      <c r="AA15" s="45">
        <v>13</v>
      </c>
      <c r="AB15" s="45">
        <v>13</v>
      </c>
      <c r="AC15" s="45">
        <v>13</v>
      </c>
      <c r="AD15" s="45">
        <v>13</v>
      </c>
      <c r="AE15" s="45">
        <v>13</v>
      </c>
      <c r="AF15" s="45">
        <v>13</v>
      </c>
      <c r="AG15" s="50">
        <v>36</v>
      </c>
      <c r="AH15" s="47">
        <f t="shared" si="2"/>
        <v>13</v>
      </c>
      <c r="AI15" s="48">
        <f t="shared" si="3"/>
        <v>13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8.4</v>
      </c>
      <c r="C16" s="45">
        <v>8.4</v>
      </c>
      <c r="D16" s="45">
        <v>8.4</v>
      </c>
      <c r="E16" s="45">
        <v>8.4</v>
      </c>
      <c r="F16" s="45">
        <v>8.4</v>
      </c>
      <c r="G16" s="45">
        <v>8.4</v>
      </c>
      <c r="H16" s="45">
        <v>8.4</v>
      </c>
      <c r="I16" s="45">
        <v>8.4</v>
      </c>
      <c r="J16" s="45">
        <v>8.4</v>
      </c>
      <c r="K16" s="45">
        <v>8.4</v>
      </c>
      <c r="L16" s="45">
        <v>8.4</v>
      </c>
      <c r="M16" s="45">
        <v>8.4</v>
      </c>
      <c r="N16" s="45">
        <v>8.4</v>
      </c>
      <c r="O16" s="45">
        <v>9</v>
      </c>
      <c r="P16" s="45">
        <v>9</v>
      </c>
      <c r="Q16" s="45">
        <v>9</v>
      </c>
      <c r="R16" s="45">
        <v>9</v>
      </c>
      <c r="S16" s="45">
        <v>9</v>
      </c>
      <c r="T16" s="45">
        <v>9</v>
      </c>
      <c r="U16" s="45">
        <v>9</v>
      </c>
      <c r="V16" s="45">
        <v>9</v>
      </c>
      <c r="W16" s="45">
        <v>9</v>
      </c>
      <c r="X16" s="45">
        <v>9</v>
      </c>
      <c r="Y16" s="45">
        <v>9</v>
      </c>
      <c r="Z16" s="45">
        <v>9</v>
      </c>
      <c r="AA16" s="45">
        <v>9</v>
      </c>
      <c r="AB16" s="45">
        <v>9</v>
      </c>
      <c r="AC16" s="45">
        <v>9</v>
      </c>
      <c r="AD16" s="45">
        <v>9</v>
      </c>
      <c r="AE16" s="45">
        <v>9</v>
      </c>
      <c r="AF16" s="45">
        <v>9</v>
      </c>
      <c r="AG16" s="51">
        <v>30</v>
      </c>
      <c r="AH16" s="47">
        <f t="shared" si="2"/>
        <v>9</v>
      </c>
      <c r="AI16" s="48">
        <f t="shared" si="3"/>
        <v>8.4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8.5</v>
      </c>
      <c r="C17" s="45">
        <v>8.5</v>
      </c>
      <c r="D17" s="45">
        <v>8.5</v>
      </c>
      <c r="E17" s="45">
        <v>8.5</v>
      </c>
      <c r="F17" s="45">
        <v>8.5</v>
      </c>
      <c r="G17" s="45">
        <v>8.5</v>
      </c>
      <c r="H17" s="45">
        <v>8.5</v>
      </c>
      <c r="I17" s="45">
        <v>8.5</v>
      </c>
      <c r="J17" s="45">
        <v>8.5</v>
      </c>
      <c r="K17" s="45">
        <v>8.5</v>
      </c>
      <c r="L17" s="45">
        <v>8.5</v>
      </c>
      <c r="M17" s="45">
        <v>8.5</v>
      </c>
      <c r="N17" s="45">
        <v>8.5</v>
      </c>
      <c r="O17" s="45">
        <v>8.5</v>
      </c>
      <c r="P17" s="45">
        <v>8.5</v>
      </c>
      <c r="Q17" s="45">
        <v>8.5</v>
      </c>
      <c r="R17" s="45">
        <v>8.5</v>
      </c>
      <c r="S17" s="45">
        <v>8.5</v>
      </c>
      <c r="T17" s="45">
        <v>8.5</v>
      </c>
      <c r="U17" s="45">
        <v>8.5</v>
      </c>
      <c r="V17" s="45">
        <v>8.5</v>
      </c>
      <c r="W17" s="45">
        <v>8.5</v>
      </c>
      <c r="X17" s="45">
        <v>8.5</v>
      </c>
      <c r="Y17" s="45">
        <v>8.5</v>
      </c>
      <c r="Z17" s="45">
        <v>8.5</v>
      </c>
      <c r="AA17" s="45">
        <v>8.5</v>
      </c>
      <c r="AB17" s="45">
        <v>8.5</v>
      </c>
      <c r="AC17" s="45">
        <v>8.5</v>
      </c>
      <c r="AD17" s="45">
        <v>8.5</v>
      </c>
      <c r="AE17" s="45">
        <v>8.5</v>
      </c>
      <c r="AF17" s="45">
        <v>8.5</v>
      </c>
      <c r="AG17" s="50">
        <v>24.2</v>
      </c>
      <c r="AH17" s="47">
        <f t="shared" si="2"/>
        <v>8.5</v>
      </c>
      <c r="AI17" s="48">
        <f t="shared" si="3"/>
        <v>8.5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0">
        <v>28</v>
      </c>
      <c r="AH18" s="47">
        <f t="shared" si="2"/>
        <v>13</v>
      </c>
      <c r="AI18" s="48">
        <f t="shared" si="3"/>
        <v>13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9.3000000000000007</v>
      </c>
      <c r="C20" s="45">
        <v>9.3000000000000007</v>
      </c>
      <c r="D20" s="45">
        <v>9.3000000000000007</v>
      </c>
      <c r="E20" s="45">
        <v>9.3000000000000007</v>
      </c>
      <c r="F20" s="45">
        <v>9.3000000000000007</v>
      </c>
      <c r="G20" s="45">
        <v>9.3000000000000007</v>
      </c>
      <c r="H20" s="45">
        <v>9.3000000000000007</v>
      </c>
      <c r="I20" s="45">
        <v>9.3000000000000007</v>
      </c>
      <c r="J20" s="45">
        <v>9.3000000000000007</v>
      </c>
      <c r="K20" s="45">
        <v>9.3000000000000007</v>
      </c>
      <c r="L20" s="45">
        <v>9.3000000000000007</v>
      </c>
      <c r="M20" s="45">
        <v>9.3000000000000007</v>
      </c>
      <c r="N20" s="45">
        <v>9.3000000000000007</v>
      </c>
      <c r="O20" s="45">
        <v>9.3000000000000007</v>
      </c>
      <c r="P20" s="45">
        <v>9.3000000000000007</v>
      </c>
      <c r="Q20" s="45">
        <v>9.3000000000000007</v>
      </c>
      <c r="R20" s="45">
        <v>9.3000000000000007</v>
      </c>
      <c r="S20" s="45">
        <v>9.3000000000000007</v>
      </c>
      <c r="T20" s="45">
        <v>9.3000000000000007</v>
      </c>
      <c r="U20" s="45">
        <v>9.3000000000000007</v>
      </c>
      <c r="V20" s="45">
        <v>9.3000000000000007</v>
      </c>
      <c r="W20" s="45">
        <v>9.3000000000000007</v>
      </c>
      <c r="X20" s="45">
        <v>9.3000000000000007</v>
      </c>
      <c r="Y20" s="45">
        <v>9.3000000000000007</v>
      </c>
      <c r="Z20" s="45">
        <v>9.3000000000000007</v>
      </c>
      <c r="AA20" s="45">
        <v>9.3000000000000007</v>
      </c>
      <c r="AB20" s="45">
        <v>9.3000000000000007</v>
      </c>
      <c r="AC20" s="45">
        <v>9.3000000000000007</v>
      </c>
      <c r="AD20" s="45">
        <v>9.3000000000000007</v>
      </c>
      <c r="AE20" s="45">
        <v>9.3000000000000007</v>
      </c>
      <c r="AF20" s="45">
        <v>9.3000000000000007</v>
      </c>
      <c r="AG20" s="50">
        <v>25</v>
      </c>
      <c r="AH20" s="47">
        <f t="shared" si="2"/>
        <v>9.3000000000000007</v>
      </c>
      <c r="AI20" s="48">
        <f t="shared" si="3"/>
        <v>9.3000000000000007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0">
        <v>25</v>
      </c>
      <c r="AH22" s="47">
        <f t="shared" si="2"/>
        <v>11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8.9</v>
      </c>
      <c r="C24" s="45">
        <v>8.9</v>
      </c>
      <c r="D24" s="45">
        <v>8.9</v>
      </c>
      <c r="E24" s="45">
        <v>8.9</v>
      </c>
      <c r="F24" s="45">
        <v>8.9</v>
      </c>
      <c r="G24" s="45">
        <v>8.9</v>
      </c>
      <c r="H24" s="45">
        <v>8.9</v>
      </c>
      <c r="I24" s="45">
        <v>8.9</v>
      </c>
      <c r="J24" s="45">
        <v>8.9</v>
      </c>
      <c r="K24" s="45">
        <v>8.9</v>
      </c>
      <c r="L24" s="45">
        <v>8.9</v>
      </c>
      <c r="M24" s="45">
        <v>8.9</v>
      </c>
      <c r="N24" s="45">
        <v>8.9</v>
      </c>
      <c r="O24" s="45">
        <v>8.9</v>
      </c>
      <c r="P24" s="45">
        <v>8.9</v>
      </c>
      <c r="Q24" s="45">
        <v>8.9</v>
      </c>
      <c r="R24" s="45">
        <v>8.9</v>
      </c>
      <c r="S24" s="45">
        <v>8.9</v>
      </c>
      <c r="T24" s="45">
        <v>8.9</v>
      </c>
      <c r="U24" s="45">
        <v>8.9</v>
      </c>
      <c r="V24" s="45">
        <v>8.9</v>
      </c>
      <c r="W24" s="45">
        <v>8.9</v>
      </c>
      <c r="X24" s="45">
        <v>8.9</v>
      </c>
      <c r="Y24" s="45">
        <v>8.9</v>
      </c>
      <c r="Z24" s="45">
        <v>8.9</v>
      </c>
      <c r="AA24" s="45">
        <v>8.9</v>
      </c>
      <c r="AB24" s="45">
        <v>8.9</v>
      </c>
      <c r="AC24" s="45">
        <v>8.9</v>
      </c>
      <c r="AD24" s="45">
        <v>8.9</v>
      </c>
      <c r="AE24" s="45">
        <v>8.9</v>
      </c>
      <c r="AF24" s="45">
        <v>8.9</v>
      </c>
      <c r="AG24" s="50">
        <v>23.5</v>
      </c>
      <c r="AH24" s="47">
        <f t="shared" si="2"/>
        <v>8.9</v>
      </c>
      <c r="AI24" s="48">
        <f t="shared" si="3"/>
        <v>8.9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12</v>
      </c>
      <c r="C28" s="45">
        <v>12</v>
      </c>
      <c r="D28" s="45">
        <v>12</v>
      </c>
      <c r="E28" s="45">
        <v>12</v>
      </c>
      <c r="F28" s="45">
        <v>12</v>
      </c>
      <c r="G28" s="45">
        <v>12</v>
      </c>
      <c r="H28" s="45">
        <v>12</v>
      </c>
      <c r="I28" s="45">
        <v>12</v>
      </c>
      <c r="J28" s="45">
        <v>12</v>
      </c>
      <c r="K28" s="45">
        <v>12</v>
      </c>
      <c r="L28" s="45">
        <v>12</v>
      </c>
      <c r="M28" s="45">
        <v>12</v>
      </c>
      <c r="N28" s="45">
        <v>12</v>
      </c>
      <c r="O28" s="45">
        <v>12</v>
      </c>
      <c r="P28" s="45">
        <v>12</v>
      </c>
      <c r="Q28" s="45">
        <v>12</v>
      </c>
      <c r="R28" s="45">
        <v>12</v>
      </c>
      <c r="S28" s="45">
        <v>12</v>
      </c>
      <c r="T28" s="45">
        <v>12</v>
      </c>
      <c r="U28" s="45">
        <v>12</v>
      </c>
      <c r="V28" s="45">
        <v>12</v>
      </c>
      <c r="W28" s="45">
        <v>12</v>
      </c>
      <c r="X28" s="45">
        <v>12</v>
      </c>
      <c r="Y28" s="45">
        <v>12</v>
      </c>
      <c r="Z28" s="45">
        <v>12</v>
      </c>
      <c r="AA28" s="45">
        <v>12</v>
      </c>
      <c r="AB28" s="45">
        <v>12</v>
      </c>
      <c r="AC28" s="45">
        <v>12</v>
      </c>
      <c r="AD28" s="45">
        <v>12</v>
      </c>
      <c r="AE28" s="45">
        <v>12</v>
      </c>
      <c r="AF28" s="45">
        <v>12</v>
      </c>
      <c r="AG28" s="50">
        <v>22</v>
      </c>
      <c r="AH28" s="47">
        <f t="shared" si="2"/>
        <v>12</v>
      </c>
      <c r="AI28" s="48">
        <f t="shared" si="3"/>
        <v>12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>
        <v>10</v>
      </c>
      <c r="L35" s="45">
        <v>10</v>
      </c>
      <c r="M35" s="45">
        <v>10</v>
      </c>
      <c r="N35" s="45">
        <v>10</v>
      </c>
      <c r="O35" s="45">
        <v>10</v>
      </c>
      <c r="P35" s="45">
        <v>10</v>
      </c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45">
        <v>10</v>
      </c>
      <c r="Z35" s="45">
        <v>10</v>
      </c>
      <c r="AA35" s="45">
        <v>10</v>
      </c>
      <c r="AB35" s="45">
        <v>10</v>
      </c>
      <c r="AC35" s="45">
        <v>10</v>
      </c>
      <c r="AD35" s="45">
        <v>10</v>
      </c>
      <c r="AE35" s="45">
        <v>10</v>
      </c>
      <c r="AF35" s="45">
        <v>10</v>
      </c>
      <c r="AG35" s="50">
        <v>12</v>
      </c>
      <c r="AH35" s="47">
        <f t="shared" si="2"/>
        <v>10</v>
      </c>
      <c r="AI35" s="48">
        <f t="shared" si="3"/>
        <v>10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150</v>
      </c>
      <c r="C42" s="56">
        <v>150</v>
      </c>
      <c r="D42" s="56">
        <v>150</v>
      </c>
      <c r="E42" s="56">
        <v>150</v>
      </c>
      <c r="F42" s="56">
        <v>150</v>
      </c>
      <c r="G42" s="56">
        <v>150</v>
      </c>
      <c r="H42" s="56">
        <v>150</v>
      </c>
      <c r="I42" s="56">
        <v>150</v>
      </c>
      <c r="J42" s="56">
        <v>150</v>
      </c>
      <c r="K42" s="56">
        <v>150</v>
      </c>
      <c r="L42" s="56">
        <v>150</v>
      </c>
      <c r="M42" s="56">
        <v>150</v>
      </c>
      <c r="N42" s="56">
        <v>150</v>
      </c>
      <c r="O42" s="56">
        <v>150</v>
      </c>
      <c r="P42" s="56">
        <v>150</v>
      </c>
      <c r="Q42" s="56">
        <v>150</v>
      </c>
      <c r="R42" s="56">
        <v>150</v>
      </c>
      <c r="S42" s="56">
        <v>150</v>
      </c>
      <c r="T42" s="56">
        <v>150</v>
      </c>
      <c r="U42" s="56">
        <v>150</v>
      </c>
      <c r="V42" s="56">
        <v>150</v>
      </c>
      <c r="W42" s="56">
        <v>150</v>
      </c>
      <c r="X42" s="56">
        <v>150</v>
      </c>
      <c r="Y42" s="56">
        <v>150</v>
      </c>
      <c r="Z42" s="56">
        <v>150</v>
      </c>
      <c r="AA42" s="56">
        <v>150</v>
      </c>
      <c r="AB42" s="56">
        <v>150</v>
      </c>
      <c r="AC42" s="56">
        <v>150</v>
      </c>
      <c r="AD42" s="56">
        <v>150</v>
      </c>
      <c r="AE42" s="56">
        <v>150</v>
      </c>
      <c r="AF42" s="56">
        <v>150</v>
      </c>
      <c r="AG42" s="54">
        <v>85</v>
      </c>
      <c r="AH42" s="47">
        <f t="shared" si="2"/>
        <v>150</v>
      </c>
      <c r="AI42" s="48">
        <f t="shared" si="3"/>
        <v>150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:AG44" si="4">SUM(B11:B42)</f>
        <v>445.8</v>
      </c>
      <c r="C44" s="60">
        <f t="shared" si="4"/>
        <v>445.7</v>
      </c>
      <c r="D44" s="60">
        <f t="shared" si="4"/>
        <v>445.7</v>
      </c>
      <c r="E44" s="60">
        <f t="shared" si="4"/>
        <v>445.7</v>
      </c>
      <c r="F44" s="60">
        <f t="shared" si="4"/>
        <v>445.7</v>
      </c>
      <c r="G44" s="60">
        <f t="shared" si="4"/>
        <v>445.3</v>
      </c>
      <c r="H44" s="60">
        <f t="shared" si="4"/>
        <v>446.7</v>
      </c>
      <c r="I44" s="60">
        <f t="shared" si="4"/>
        <v>446.7</v>
      </c>
      <c r="J44" s="60">
        <f t="shared" si="4"/>
        <v>444.90000000000003</v>
      </c>
      <c r="K44" s="60">
        <f t="shared" si="4"/>
        <v>444.90000000000003</v>
      </c>
      <c r="L44" s="60">
        <f t="shared" si="4"/>
        <v>444.90000000000003</v>
      </c>
      <c r="M44" s="60">
        <f t="shared" si="4"/>
        <v>445.09999999999997</v>
      </c>
      <c r="N44" s="60">
        <f t="shared" si="4"/>
        <v>444.8</v>
      </c>
      <c r="O44" s="60">
        <f t="shared" si="4"/>
        <v>441.7</v>
      </c>
      <c r="P44" s="60">
        <f t="shared" si="4"/>
        <v>442.7</v>
      </c>
      <c r="Q44" s="60">
        <f t="shared" si="4"/>
        <v>442.40000000000003</v>
      </c>
      <c r="R44" s="60">
        <f t="shared" si="4"/>
        <v>442.40000000000003</v>
      </c>
      <c r="S44" s="60">
        <f t="shared" si="4"/>
        <v>440.90000000000003</v>
      </c>
      <c r="T44" s="60">
        <f t="shared" si="4"/>
        <v>440.90000000000003</v>
      </c>
      <c r="U44" s="60">
        <f t="shared" si="4"/>
        <v>441.8</v>
      </c>
      <c r="V44" s="60">
        <f t="shared" si="4"/>
        <v>441.8</v>
      </c>
      <c r="W44" s="60">
        <f t="shared" si="4"/>
        <v>446.3</v>
      </c>
      <c r="X44" s="60">
        <f t="shared" si="4"/>
        <v>446.3</v>
      </c>
      <c r="Y44" s="60">
        <f t="shared" si="4"/>
        <v>446.3</v>
      </c>
      <c r="Z44" s="60">
        <f t="shared" si="4"/>
        <v>444.5</v>
      </c>
      <c r="AA44" s="60">
        <f t="shared" si="4"/>
        <v>444.5</v>
      </c>
      <c r="AB44" s="60">
        <f t="shared" si="4"/>
        <v>444.5</v>
      </c>
      <c r="AC44" s="60">
        <f t="shared" si="4"/>
        <v>444.5</v>
      </c>
      <c r="AD44" s="60">
        <f t="shared" si="4"/>
        <v>444.5</v>
      </c>
      <c r="AE44" s="60">
        <f t="shared" si="4"/>
        <v>444.5</v>
      </c>
      <c r="AF44" s="60">
        <f t="shared" si="4"/>
        <v>444.5</v>
      </c>
      <c r="AG44" s="61">
        <f t="shared" si="4"/>
        <v>814.78000000000009</v>
      </c>
      <c r="AH44" s="47">
        <f t="shared" si="2"/>
        <v>446.7</v>
      </c>
      <c r="AI44" s="48">
        <f t="shared" si="3"/>
        <v>440.90000000000003</v>
      </c>
      <c r="AK44" s="49"/>
    </row>
    <row r="45" spans="1:88" x14ac:dyDescent="0.25">
      <c r="A45" s="62" t="s">
        <v>53</v>
      </c>
      <c r="B45" s="45">
        <v>60</v>
      </c>
      <c r="C45" s="45">
        <v>60</v>
      </c>
      <c r="D45" s="45">
        <v>35</v>
      </c>
      <c r="E45" s="45">
        <v>45</v>
      </c>
      <c r="F45" s="45">
        <v>30</v>
      </c>
      <c r="G45" s="45">
        <v>55</v>
      </c>
      <c r="H45" s="45">
        <v>60</v>
      </c>
      <c r="I45" s="45">
        <v>60</v>
      </c>
      <c r="J45" s="45">
        <v>80</v>
      </c>
      <c r="K45" s="45">
        <v>125</v>
      </c>
      <c r="L45" s="45">
        <v>190</v>
      </c>
      <c r="M45" s="63">
        <v>270</v>
      </c>
      <c r="N45" s="63">
        <v>210</v>
      </c>
      <c r="O45" s="45">
        <v>245</v>
      </c>
      <c r="P45" s="45">
        <v>100</v>
      </c>
      <c r="Q45" s="45">
        <v>125</v>
      </c>
      <c r="R45" s="45">
        <v>60</v>
      </c>
      <c r="S45" s="45">
        <v>15</v>
      </c>
      <c r="T45" s="45">
        <v>30</v>
      </c>
      <c r="U45" s="45">
        <v>110</v>
      </c>
      <c r="V45" s="45">
        <v>150</v>
      </c>
      <c r="W45" s="45">
        <v>60</v>
      </c>
      <c r="X45" s="45">
        <v>130</v>
      </c>
      <c r="Y45" s="45">
        <v>220</v>
      </c>
      <c r="Z45" s="45">
        <v>230</v>
      </c>
      <c r="AA45" s="45">
        <v>180</v>
      </c>
      <c r="AB45" s="45">
        <v>170</v>
      </c>
      <c r="AC45" s="45">
        <v>160</v>
      </c>
      <c r="AD45" s="45">
        <v>160</v>
      </c>
      <c r="AE45" s="45">
        <v>100</v>
      </c>
      <c r="AF45" s="45">
        <v>80</v>
      </c>
      <c r="AG45" s="51">
        <v>456</v>
      </c>
      <c r="AH45" s="47">
        <f t="shared" si="2"/>
        <v>270</v>
      </c>
      <c r="AI45" s="48">
        <f t="shared" si="3"/>
        <v>15</v>
      </c>
      <c r="AK45" s="49"/>
    </row>
    <row r="46" spans="1:88" x14ac:dyDescent="0.25">
      <c r="A46" s="64" t="s">
        <v>54</v>
      </c>
      <c r="B46" s="65">
        <v>35</v>
      </c>
      <c r="C46" s="65">
        <v>35</v>
      </c>
      <c r="D46" s="65">
        <v>35</v>
      </c>
      <c r="E46" s="65">
        <v>35</v>
      </c>
      <c r="F46" s="65">
        <v>35</v>
      </c>
      <c r="G46" s="65">
        <v>35</v>
      </c>
      <c r="H46" s="65">
        <v>35</v>
      </c>
      <c r="I46" s="65">
        <v>35</v>
      </c>
      <c r="J46" s="65">
        <v>35</v>
      </c>
      <c r="K46" s="65">
        <v>35</v>
      </c>
      <c r="L46" s="65">
        <v>35</v>
      </c>
      <c r="M46" s="65">
        <v>35</v>
      </c>
      <c r="N46" s="65">
        <v>35</v>
      </c>
      <c r="O46" s="65">
        <v>35</v>
      </c>
      <c r="P46" s="65">
        <v>35</v>
      </c>
      <c r="Q46" s="65">
        <v>35</v>
      </c>
      <c r="R46" s="65">
        <v>35</v>
      </c>
      <c r="S46" s="65">
        <v>35</v>
      </c>
      <c r="T46" s="65">
        <v>35</v>
      </c>
      <c r="U46" s="65">
        <v>35</v>
      </c>
      <c r="V46" s="65">
        <v>35</v>
      </c>
      <c r="W46" s="65">
        <v>35</v>
      </c>
      <c r="X46" s="65">
        <v>35</v>
      </c>
      <c r="Y46" s="65">
        <v>35</v>
      </c>
      <c r="Z46" s="65">
        <v>35</v>
      </c>
      <c r="AA46" s="65">
        <v>35</v>
      </c>
      <c r="AB46" s="65">
        <v>35</v>
      </c>
      <c r="AC46" s="65">
        <v>35</v>
      </c>
      <c r="AD46" s="65">
        <v>35</v>
      </c>
      <c r="AE46" s="65">
        <v>35</v>
      </c>
      <c r="AF46" s="65">
        <v>35</v>
      </c>
      <c r="AG46" s="54">
        <v>60</v>
      </c>
      <c r="AH46" s="47">
        <f t="shared" si="2"/>
        <v>35</v>
      </c>
      <c r="AI46" s="48">
        <f t="shared" si="3"/>
        <v>35</v>
      </c>
      <c r="AK46" s="49"/>
    </row>
    <row r="47" spans="1:88" ht="15.75" thickBot="1" x14ac:dyDescent="0.3">
      <c r="A47" s="66" t="s">
        <v>55</v>
      </c>
      <c r="B47" s="67">
        <v>11.2</v>
      </c>
      <c r="C47" s="67">
        <v>11.2</v>
      </c>
      <c r="D47" s="67">
        <v>11.2</v>
      </c>
      <c r="E47" s="67">
        <v>11.2</v>
      </c>
      <c r="F47" s="67">
        <v>11.2</v>
      </c>
      <c r="G47" s="67">
        <v>11.2</v>
      </c>
      <c r="H47" s="67">
        <v>11.2</v>
      </c>
      <c r="I47" s="67">
        <v>11.2</v>
      </c>
      <c r="J47" s="67">
        <v>11.2</v>
      </c>
      <c r="K47" s="67">
        <v>11.2</v>
      </c>
      <c r="L47" s="67">
        <v>11.2</v>
      </c>
      <c r="M47" s="67">
        <v>15.1</v>
      </c>
      <c r="N47" s="67">
        <v>15.1</v>
      </c>
      <c r="O47" s="67">
        <v>15.1</v>
      </c>
      <c r="P47" s="67">
        <v>10.199999999999999</v>
      </c>
      <c r="Q47" s="67">
        <v>10.199999999999999</v>
      </c>
      <c r="R47" s="67">
        <v>10.199999999999999</v>
      </c>
      <c r="S47" s="67">
        <v>10.199999999999999</v>
      </c>
      <c r="T47" s="67">
        <v>10.199999999999999</v>
      </c>
      <c r="U47" s="67">
        <v>10.199999999999999</v>
      </c>
      <c r="V47" s="67">
        <v>10.199999999999999</v>
      </c>
      <c r="W47" s="67">
        <v>10.199999999999999</v>
      </c>
      <c r="X47" s="67">
        <v>10.199999999999999</v>
      </c>
      <c r="Y47" s="67">
        <v>10.199999999999999</v>
      </c>
      <c r="Z47" s="67">
        <v>10.199999999999999</v>
      </c>
      <c r="AA47" s="67">
        <v>10.199999999999999</v>
      </c>
      <c r="AB47" s="67">
        <v>11.2</v>
      </c>
      <c r="AC47" s="67">
        <v>11.2</v>
      </c>
      <c r="AD47" s="67">
        <v>11.2</v>
      </c>
      <c r="AE47" s="67">
        <v>11.2</v>
      </c>
      <c r="AF47" s="67">
        <v>11.2</v>
      </c>
      <c r="AG47" s="68">
        <v>22.1</v>
      </c>
      <c r="AH47" s="47">
        <f t="shared" si="2"/>
        <v>15.1</v>
      </c>
      <c r="AI47" s="48">
        <f t="shared" si="3"/>
        <v>10.199999999999999</v>
      </c>
      <c r="AK47" s="49"/>
    </row>
    <row r="48" spans="1:88" ht="15.75" thickBot="1" x14ac:dyDescent="0.3">
      <c r="A48" s="69" t="s">
        <v>56</v>
      </c>
      <c r="B48" s="60">
        <f t="shared" ref="B48:AG48" si="5">SUM(B45:B47)</f>
        <v>106.2</v>
      </c>
      <c r="C48" s="60">
        <f t="shared" si="5"/>
        <v>106.2</v>
      </c>
      <c r="D48" s="60">
        <f t="shared" si="5"/>
        <v>81.2</v>
      </c>
      <c r="E48" s="60">
        <f t="shared" si="5"/>
        <v>91.2</v>
      </c>
      <c r="F48" s="60">
        <f t="shared" si="5"/>
        <v>76.2</v>
      </c>
      <c r="G48" s="60">
        <f t="shared" si="5"/>
        <v>101.2</v>
      </c>
      <c r="H48" s="60">
        <f t="shared" si="5"/>
        <v>106.2</v>
      </c>
      <c r="I48" s="60">
        <f t="shared" si="5"/>
        <v>106.2</v>
      </c>
      <c r="J48" s="60">
        <f t="shared" si="5"/>
        <v>126.2</v>
      </c>
      <c r="K48" s="60">
        <f t="shared" si="5"/>
        <v>171.2</v>
      </c>
      <c r="L48" s="60">
        <f t="shared" si="5"/>
        <v>236.2</v>
      </c>
      <c r="M48" s="60">
        <f t="shared" si="5"/>
        <v>320.10000000000002</v>
      </c>
      <c r="N48" s="60">
        <f t="shared" si="5"/>
        <v>260.10000000000002</v>
      </c>
      <c r="O48" s="60">
        <f t="shared" si="5"/>
        <v>295.10000000000002</v>
      </c>
      <c r="P48" s="60">
        <f t="shared" si="5"/>
        <v>145.19999999999999</v>
      </c>
      <c r="Q48" s="60">
        <f t="shared" si="5"/>
        <v>170.2</v>
      </c>
      <c r="R48" s="60">
        <f t="shared" si="5"/>
        <v>105.2</v>
      </c>
      <c r="S48" s="60">
        <f t="shared" si="5"/>
        <v>60.2</v>
      </c>
      <c r="T48" s="60">
        <f t="shared" si="5"/>
        <v>75.2</v>
      </c>
      <c r="U48" s="60">
        <f t="shared" si="5"/>
        <v>155.19999999999999</v>
      </c>
      <c r="V48" s="60">
        <f t="shared" si="5"/>
        <v>195.2</v>
      </c>
      <c r="W48" s="60">
        <f t="shared" si="5"/>
        <v>105.2</v>
      </c>
      <c r="X48" s="60">
        <f t="shared" si="5"/>
        <v>175.2</v>
      </c>
      <c r="Y48" s="60">
        <f t="shared" si="5"/>
        <v>265.2</v>
      </c>
      <c r="Z48" s="60">
        <f t="shared" si="5"/>
        <v>275.2</v>
      </c>
      <c r="AA48" s="60">
        <f t="shared" si="5"/>
        <v>225.2</v>
      </c>
      <c r="AB48" s="60">
        <f t="shared" si="5"/>
        <v>216.2</v>
      </c>
      <c r="AC48" s="60">
        <f t="shared" si="5"/>
        <v>206.2</v>
      </c>
      <c r="AD48" s="60">
        <f t="shared" si="5"/>
        <v>206.2</v>
      </c>
      <c r="AE48" s="60">
        <f t="shared" si="5"/>
        <v>146.19999999999999</v>
      </c>
      <c r="AF48" s="60">
        <f t="shared" si="5"/>
        <v>126.2</v>
      </c>
      <c r="AG48" s="61">
        <f t="shared" si="5"/>
        <v>538.1</v>
      </c>
      <c r="AH48" s="47">
        <f t="shared" si="2"/>
        <v>320.10000000000002</v>
      </c>
      <c r="AI48" s="48">
        <f t="shared" si="3"/>
        <v>60.2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22.7</v>
      </c>
      <c r="I49" s="45">
        <v>47.8</v>
      </c>
      <c r="J49" s="45">
        <v>75.900000000000006</v>
      </c>
      <c r="K49" s="45">
        <v>94.7</v>
      </c>
      <c r="L49" s="45">
        <v>66.5</v>
      </c>
      <c r="M49" s="45">
        <v>66.3</v>
      </c>
      <c r="N49" s="45">
        <v>66.3</v>
      </c>
      <c r="O49" s="45">
        <v>61</v>
      </c>
      <c r="P49" s="45">
        <v>81</v>
      </c>
      <c r="Q49" s="45">
        <v>139.5</v>
      </c>
      <c r="R49" s="45">
        <v>142</v>
      </c>
      <c r="S49" s="45">
        <v>121</v>
      </c>
      <c r="T49" s="45">
        <v>121</v>
      </c>
      <c r="U49" s="45">
        <v>121</v>
      </c>
      <c r="V49" s="45">
        <v>90</v>
      </c>
      <c r="W49" s="45">
        <v>90</v>
      </c>
      <c r="X49" s="45">
        <v>110</v>
      </c>
      <c r="Y49" s="45">
        <v>140</v>
      </c>
      <c r="Z49" s="45">
        <v>120</v>
      </c>
      <c r="AA49" s="45">
        <v>70</v>
      </c>
      <c r="AB49" s="45">
        <v>70</v>
      </c>
      <c r="AC49" s="45">
        <v>45</v>
      </c>
      <c r="AD49" s="45">
        <v>35</v>
      </c>
      <c r="AE49" s="45">
        <v>45</v>
      </c>
      <c r="AF49" s="45">
        <v>25</v>
      </c>
      <c r="AG49" s="51">
        <v>144</v>
      </c>
      <c r="AH49" s="47">
        <f t="shared" si="2"/>
        <v>142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28.5</v>
      </c>
      <c r="I50" s="65">
        <v>35.200000000000003</v>
      </c>
      <c r="J50" s="65">
        <v>64.8</v>
      </c>
      <c r="K50" s="65">
        <v>68.599999999999994</v>
      </c>
      <c r="L50" s="65">
        <v>50.5</v>
      </c>
      <c r="M50" s="65">
        <v>47.3</v>
      </c>
      <c r="N50" s="65">
        <v>47.8</v>
      </c>
      <c r="O50" s="65">
        <v>46.5</v>
      </c>
      <c r="P50" s="65">
        <v>34.1</v>
      </c>
      <c r="Q50" s="65">
        <v>32.700000000000003</v>
      </c>
      <c r="R50" s="65">
        <v>32.700000000000003</v>
      </c>
      <c r="S50" s="65">
        <v>53.4</v>
      </c>
      <c r="T50" s="65">
        <v>37</v>
      </c>
      <c r="U50" s="65">
        <v>37</v>
      </c>
      <c r="V50" s="65">
        <v>33.799999999999997</v>
      </c>
      <c r="W50" s="45">
        <v>33.5</v>
      </c>
      <c r="X50" s="45">
        <v>51</v>
      </c>
      <c r="Y50" s="45">
        <v>50.8</v>
      </c>
      <c r="Z50" s="45">
        <v>50.8</v>
      </c>
      <c r="AA50" s="45">
        <v>49.5</v>
      </c>
      <c r="AB50" s="65">
        <v>49</v>
      </c>
      <c r="AC50" s="65">
        <v>51</v>
      </c>
      <c r="AD50" s="65">
        <v>35</v>
      </c>
      <c r="AE50" s="65">
        <v>0</v>
      </c>
      <c r="AF50" s="65">
        <v>0</v>
      </c>
      <c r="AG50" s="54">
        <v>70</v>
      </c>
      <c r="AH50" s="47">
        <f t="shared" si="2"/>
        <v>68.599999999999994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32.1</v>
      </c>
      <c r="C51" s="65">
        <v>32.1</v>
      </c>
      <c r="D51" s="65">
        <v>32.1</v>
      </c>
      <c r="E51" s="65">
        <v>0</v>
      </c>
      <c r="F51" s="65">
        <v>0</v>
      </c>
      <c r="G51" s="65">
        <v>21.5</v>
      </c>
      <c r="H51" s="65">
        <v>33.200000000000003</v>
      </c>
      <c r="I51" s="65">
        <v>42.8</v>
      </c>
      <c r="J51" s="65">
        <v>61</v>
      </c>
      <c r="K51" s="65">
        <v>68.400000000000006</v>
      </c>
      <c r="L51" s="65">
        <v>52.8</v>
      </c>
      <c r="M51" s="65">
        <v>52.7</v>
      </c>
      <c r="N51" s="65">
        <v>52.2</v>
      </c>
      <c r="O51" s="65">
        <v>32.1</v>
      </c>
      <c r="P51" s="65">
        <v>16.399999999999999</v>
      </c>
      <c r="Q51" s="65">
        <v>22.6</v>
      </c>
      <c r="R51" s="65">
        <v>22.6</v>
      </c>
      <c r="S51" s="65">
        <v>22.6</v>
      </c>
      <c r="T51" s="65">
        <v>22.6</v>
      </c>
      <c r="U51" s="65">
        <v>22.6</v>
      </c>
      <c r="V51" s="65">
        <v>22.6</v>
      </c>
      <c r="W51" s="45">
        <v>53.1</v>
      </c>
      <c r="X51" s="45">
        <v>67</v>
      </c>
      <c r="Y51" s="45">
        <v>67</v>
      </c>
      <c r="Z51" s="45">
        <v>67</v>
      </c>
      <c r="AA51" s="45">
        <v>56.8</v>
      </c>
      <c r="AB51" s="65">
        <v>54</v>
      </c>
      <c r="AC51" s="65">
        <v>53.8</v>
      </c>
      <c r="AD51" s="65">
        <v>53</v>
      </c>
      <c r="AE51" s="65">
        <v>45</v>
      </c>
      <c r="AF51" s="65">
        <v>32</v>
      </c>
      <c r="AG51" s="54">
        <v>69</v>
      </c>
      <c r="AH51" s="47">
        <f t="shared" si="2"/>
        <v>68.400000000000006</v>
      </c>
      <c r="AI51" s="48">
        <f t="shared" si="3"/>
        <v>0</v>
      </c>
      <c r="AK51" s="49"/>
    </row>
    <row r="52" spans="1:41" x14ac:dyDescent="0.25">
      <c r="A52" s="53" t="s">
        <v>60</v>
      </c>
      <c r="B52" s="56">
        <v>53.2</v>
      </c>
      <c r="C52" s="56">
        <v>53.2</v>
      </c>
      <c r="D52" s="56">
        <v>53.2</v>
      </c>
      <c r="E52" s="56">
        <v>53.2</v>
      </c>
      <c r="F52" s="56">
        <v>53.2</v>
      </c>
      <c r="G52" s="56">
        <v>50.2</v>
      </c>
      <c r="H52" s="56">
        <v>48.3</v>
      </c>
      <c r="I52" s="56">
        <v>48.3</v>
      </c>
      <c r="J52" s="56">
        <v>48.3</v>
      </c>
      <c r="K52" s="56">
        <v>48.03</v>
      </c>
      <c r="L52" s="56">
        <v>48.5</v>
      </c>
      <c r="M52" s="65">
        <v>49.4</v>
      </c>
      <c r="N52" s="65">
        <v>51.1</v>
      </c>
      <c r="O52" s="65">
        <v>52.1</v>
      </c>
      <c r="P52" s="65">
        <v>51.9</v>
      </c>
      <c r="Q52" s="65">
        <v>49.9</v>
      </c>
      <c r="R52" s="65">
        <v>49.9</v>
      </c>
      <c r="S52" s="65">
        <v>49.9</v>
      </c>
      <c r="T52" s="65">
        <v>49.9</v>
      </c>
      <c r="U52" s="65">
        <v>49.9</v>
      </c>
      <c r="V52" s="65">
        <v>49.9</v>
      </c>
      <c r="W52" s="65">
        <v>48.1</v>
      </c>
      <c r="X52" s="65">
        <v>48.1</v>
      </c>
      <c r="Y52" s="65">
        <v>48.1</v>
      </c>
      <c r="Z52" s="65">
        <v>48.1</v>
      </c>
      <c r="AA52" s="65">
        <v>48.1</v>
      </c>
      <c r="AB52" s="65">
        <v>48.1</v>
      </c>
      <c r="AC52" s="65">
        <v>48.1</v>
      </c>
      <c r="AD52" s="65">
        <v>48.1</v>
      </c>
      <c r="AE52" s="65">
        <v>48.1</v>
      </c>
      <c r="AF52" s="65">
        <v>48.1</v>
      </c>
      <c r="AG52" s="54">
        <v>60</v>
      </c>
      <c r="AH52" s="47">
        <f t="shared" si="2"/>
        <v>53.2</v>
      </c>
      <c r="AI52" s="48">
        <f t="shared" si="3"/>
        <v>48.03</v>
      </c>
      <c r="AK52" s="49"/>
    </row>
    <row r="53" spans="1:41" x14ac:dyDescent="0.25">
      <c r="A53" s="53" t="s">
        <v>61</v>
      </c>
      <c r="B53" s="56">
        <v>0</v>
      </c>
      <c r="C53" s="56">
        <v>0</v>
      </c>
      <c r="D53" s="56">
        <v>0</v>
      </c>
      <c r="E53" s="56">
        <v>0</v>
      </c>
      <c r="F53" s="56">
        <v>0</v>
      </c>
      <c r="G53" s="56">
        <v>10</v>
      </c>
      <c r="H53" s="56">
        <v>10</v>
      </c>
      <c r="I53" s="56">
        <v>15</v>
      </c>
      <c r="J53" s="56">
        <v>20</v>
      </c>
      <c r="K53" s="56">
        <v>20</v>
      </c>
      <c r="L53" s="56">
        <v>20</v>
      </c>
      <c r="M53" s="65">
        <v>25.3</v>
      </c>
      <c r="N53" s="65">
        <v>25.9</v>
      </c>
      <c r="O53" s="65">
        <v>9.6</v>
      </c>
      <c r="P53" s="65">
        <v>10.1</v>
      </c>
      <c r="Q53" s="65">
        <v>9.5</v>
      </c>
      <c r="R53" s="65">
        <v>9.5</v>
      </c>
      <c r="S53" s="65">
        <v>9.5</v>
      </c>
      <c r="T53" s="65">
        <v>9.5</v>
      </c>
      <c r="U53" s="65">
        <v>0</v>
      </c>
      <c r="V53" s="65">
        <v>0</v>
      </c>
      <c r="W53" s="65">
        <v>10</v>
      </c>
      <c r="X53" s="65">
        <v>10</v>
      </c>
      <c r="Y53" s="65">
        <v>26</v>
      </c>
      <c r="Z53" s="65">
        <v>19.5</v>
      </c>
      <c r="AA53" s="65">
        <v>19.5</v>
      </c>
      <c r="AB53" s="65">
        <v>19.5</v>
      </c>
      <c r="AC53" s="65">
        <v>10</v>
      </c>
      <c r="AD53" s="65">
        <v>14</v>
      </c>
      <c r="AE53" s="65">
        <v>10</v>
      </c>
      <c r="AF53" s="65">
        <v>10</v>
      </c>
      <c r="AG53" s="54">
        <v>30</v>
      </c>
      <c r="AH53" s="47">
        <f t="shared" si="2"/>
        <v>26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4">
        <v>25</v>
      </c>
      <c r="AH54" s="47">
        <f t="shared" si="2"/>
        <v>0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16</v>
      </c>
      <c r="C55" s="65">
        <v>16</v>
      </c>
      <c r="D55" s="65">
        <v>16</v>
      </c>
      <c r="E55" s="65">
        <v>16</v>
      </c>
      <c r="F55" s="65">
        <v>16</v>
      </c>
      <c r="G55" s="65">
        <v>16</v>
      </c>
      <c r="H55" s="65">
        <v>16</v>
      </c>
      <c r="I55" s="65">
        <v>16</v>
      </c>
      <c r="J55" s="65">
        <v>16</v>
      </c>
      <c r="K55" s="65">
        <v>16</v>
      </c>
      <c r="L55" s="65">
        <v>16</v>
      </c>
      <c r="M55" s="65">
        <v>16</v>
      </c>
      <c r="N55" s="65">
        <v>16</v>
      </c>
      <c r="O55" s="65">
        <v>16</v>
      </c>
      <c r="P55" s="65">
        <v>16</v>
      </c>
      <c r="Q55" s="65">
        <v>16</v>
      </c>
      <c r="R55" s="65">
        <v>16</v>
      </c>
      <c r="S55" s="65">
        <v>16</v>
      </c>
      <c r="T55" s="65">
        <v>16</v>
      </c>
      <c r="U55" s="65">
        <v>16</v>
      </c>
      <c r="V55" s="65">
        <v>16</v>
      </c>
      <c r="W55" s="65">
        <v>16</v>
      </c>
      <c r="X55" s="65">
        <v>16</v>
      </c>
      <c r="Y55" s="65">
        <v>16</v>
      </c>
      <c r="Z55" s="65">
        <v>16</v>
      </c>
      <c r="AA55" s="65">
        <v>16</v>
      </c>
      <c r="AB55" s="65">
        <v>16</v>
      </c>
      <c r="AC55" s="65">
        <v>16</v>
      </c>
      <c r="AD55" s="65">
        <v>16</v>
      </c>
      <c r="AE55" s="65">
        <v>16</v>
      </c>
      <c r="AF55" s="65">
        <v>16</v>
      </c>
      <c r="AG55" s="54">
        <v>24</v>
      </c>
      <c r="AH55" s="47">
        <f t="shared" si="2"/>
        <v>16</v>
      </c>
      <c r="AI55" s="48">
        <f t="shared" si="3"/>
        <v>16</v>
      </c>
      <c r="AK55" s="49"/>
    </row>
    <row r="56" spans="1:41" x14ac:dyDescent="0.25">
      <c r="A56" s="53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4">
        <v>15</v>
      </c>
      <c r="AH56" s="47">
        <f t="shared" si="2"/>
        <v>3.2</v>
      </c>
      <c r="AI56" s="48">
        <f t="shared" si="3"/>
        <v>3.2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12</v>
      </c>
      <c r="C57" s="65">
        <v>12</v>
      </c>
      <c r="D57" s="65">
        <v>12</v>
      </c>
      <c r="E57" s="65">
        <v>12</v>
      </c>
      <c r="F57" s="65">
        <v>12</v>
      </c>
      <c r="G57" s="65">
        <v>12</v>
      </c>
      <c r="H57" s="65">
        <v>12</v>
      </c>
      <c r="I57" s="65">
        <v>12</v>
      </c>
      <c r="J57" s="65">
        <v>12</v>
      </c>
      <c r="K57" s="65">
        <v>12</v>
      </c>
      <c r="L57" s="65">
        <v>12</v>
      </c>
      <c r="M57" s="65">
        <v>12</v>
      </c>
      <c r="N57" s="65">
        <v>12</v>
      </c>
      <c r="O57" s="65">
        <v>12</v>
      </c>
      <c r="P57" s="65">
        <v>12</v>
      </c>
      <c r="Q57" s="65">
        <v>12</v>
      </c>
      <c r="R57" s="65">
        <v>12</v>
      </c>
      <c r="S57" s="65">
        <v>12</v>
      </c>
      <c r="T57" s="65">
        <v>12</v>
      </c>
      <c r="U57" s="65">
        <v>12</v>
      </c>
      <c r="V57" s="65">
        <v>12</v>
      </c>
      <c r="W57" s="65">
        <v>12</v>
      </c>
      <c r="X57" s="65">
        <v>12</v>
      </c>
      <c r="Y57" s="65">
        <v>12</v>
      </c>
      <c r="Z57" s="65">
        <v>12</v>
      </c>
      <c r="AA57" s="65">
        <v>12</v>
      </c>
      <c r="AB57" s="65">
        <v>12</v>
      </c>
      <c r="AC57" s="65">
        <v>12</v>
      </c>
      <c r="AD57" s="65">
        <v>12</v>
      </c>
      <c r="AE57" s="65">
        <v>12</v>
      </c>
      <c r="AF57" s="65">
        <v>12</v>
      </c>
      <c r="AG57" s="54">
        <v>14.1</v>
      </c>
      <c r="AH57" s="47">
        <f t="shared" si="2"/>
        <v>12</v>
      </c>
      <c r="AI57" s="48">
        <f t="shared" si="3"/>
        <v>12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4.7</v>
      </c>
      <c r="C58" s="65">
        <v>4.7</v>
      </c>
      <c r="D58" s="65">
        <v>4.7</v>
      </c>
      <c r="E58" s="65">
        <v>4.7</v>
      </c>
      <c r="F58" s="65">
        <v>4.7</v>
      </c>
      <c r="G58" s="65">
        <v>4.7</v>
      </c>
      <c r="H58" s="65">
        <v>4.7</v>
      </c>
      <c r="I58" s="65">
        <v>4.7</v>
      </c>
      <c r="J58" s="65">
        <v>4.7</v>
      </c>
      <c r="K58" s="65">
        <v>4.7</v>
      </c>
      <c r="L58" s="65">
        <v>4.7</v>
      </c>
      <c r="M58" s="65">
        <v>4.7</v>
      </c>
      <c r="N58" s="65">
        <v>4.7</v>
      </c>
      <c r="O58" s="65">
        <v>4.7</v>
      </c>
      <c r="P58" s="65">
        <v>4.7</v>
      </c>
      <c r="Q58" s="65">
        <v>4.7</v>
      </c>
      <c r="R58" s="65">
        <v>4.7</v>
      </c>
      <c r="S58" s="65">
        <v>4.7</v>
      </c>
      <c r="T58" s="65">
        <v>4.7</v>
      </c>
      <c r="U58" s="65">
        <v>4.7</v>
      </c>
      <c r="V58" s="65">
        <v>4.7</v>
      </c>
      <c r="W58" s="65">
        <v>4.7</v>
      </c>
      <c r="X58" s="65">
        <v>4.7</v>
      </c>
      <c r="Y58" s="65">
        <v>4.7</v>
      </c>
      <c r="Z58" s="65">
        <v>4.7</v>
      </c>
      <c r="AA58" s="65">
        <v>4.7</v>
      </c>
      <c r="AB58" s="65">
        <v>4.7</v>
      </c>
      <c r="AC58" s="65">
        <v>4.7</v>
      </c>
      <c r="AD58" s="65">
        <v>4.7</v>
      </c>
      <c r="AE58" s="65">
        <v>4.7</v>
      </c>
      <c r="AF58" s="65">
        <v>4.7</v>
      </c>
      <c r="AG58" s="54">
        <v>14</v>
      </c>
      <c r="AH58" s="47">
        <f t="shared" si="2"/>
        <v>4.7</v>
      </c>
      <c r="AI58" s="48">
        <f t="shared" si="3"/>
        <v>4.7</v>
      </c>
      <c r="AK58" s="49"/>
    </row>
    <row r="59" spans="1:41" x14ac:dyDescent="0.25">
      <c r="A59" s="53" t="s">
        <v>67</v>
      </c>
      <c r="B59" s="65">
        <v>5.2</v>
      </c>
      <c r="C59" s="65">
        <v>5.2</v>
      </c>
      <c r="D59" s="65">
        <v>5.2</v>
      </c>
      <c r="E59" s="65">
        <v>5.2</v>
      </c>
      <c r="F59" s="65">
        <v>5.2</v>
      </c>
      <c r="G59" s="65">
        <v>5.2</v>
      </c>
      <c r="H59" s="65">
        <v>5.2</v>
      </c>
      <c r="I59" s="65">
        <v>5.2</v>
      </c>
      <c r="J59" s="65">
        <v>5.2</v>
      </c>
      <c r="K59" s="65">
        <v>5.2</v>
      </c>
      <c r="L59" s="65">
        <v>5.2</v>
      </c>
      <c r="M59" s="65">
        <v>5.2</v>
      </c>
      <c r="N59" s="65">
        <v>5.2</v>
      </c>
      <c r="O59" s="65">
        <v>5.2</v>
      </c>
      <c r="P59" s="65">
        <v>5.2</v>
      </c>
      <c r="Q59" s="65">
        <v>5.2</v>
      </c>
      <c r="R59" s="65">
        <v>5.2</v>
      </c>
      <c r="S59" s="65">
        <v>5.2</v>
      </c>
      <c r="T59" s="65">
        <v>5.2</v>
      </c>
      <c r="U59" s="65">
        <v>5.2</v>
      </c>
      <c r="V59" s="65">
        <v>5.2</v>
      </c>
      <c r="W59" s="65">
        <v>5.2</v>
      </c>
      <c r="X59" s="65">
        <v>5.2</v>
      </c>
      <c r="Y59" s="65">
        <v>5.2</v>
      </c>
      <c r="Z59" s="65">
        <v>5.2</v>
      </c>
      <c r="AA59" s="65">
        <v>5.2</v>
      </c>
      <c r="AB59" s="65">
        <v>5.2</v>
      </c>
      <c r="AC59" s="65">
        <v>5.2</v>
      </c>
      <c r="AD59" s="65">
        <v>5.2</v>
      </c>
      <c r="AE59" s="65">
        <v>5.2</v>
      </c>
      <c r="AF59" s="65">
        <v>5.2</v>
      </c>
      <c r="AG59" s="54">
        <v>10.050000000000001</v>
      </c>
      <c r="AH59" s="47">
        <f t="shared" si="2"/>
        <v>5.2</v>
      </c>
      <c r="AI59" s="48">
        <f t="shared" si="3"/>
        <v>5.2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 t="shared" ref="B62:AG62" si="6">SUM(B49:B61)</f>
        <v>133.14000000000001</v>
      </c>
      <c r="C62" s="60">
        <f t="shared" si="6"/>
        <v>133.14000000000001</v>
      </c>
      <c r="D62" s="60">
        <f t="shared" si="6"/>
        <v>133.14000000000001</v>
      </c>
      <c r="E62" s="60">
        <f t="shared" si="6"/>
        <v>101.04000000000002</v>
      </c>
      <c r="F62" s="60">
        <f t="shared" si="6"/>
        <v>101.04000000000002</v>
      </c>
      <c r="G62" s="60">
        <f t="shared" si="6"/>
        <v>129.54000000000002</v>
      </c>
      <c r="H62" s="60">
        <f t="shared" si="6"/>
        <v>190.53999999999994</v>
      </c>
      <c r="I62" s="60">
        <f t="shared" si="6"/>
        <v>236.93999999999994</v>
      </c>
      <c r="J62" s="60">
        <f t="shared" si="6"/>
        <v>317.83999999999997</v>
      </c>
      <c r="K62" s="60">
        <f t="shared" si="6"/>
        <v>347.57</v>
      </c>
      <c r="L62" s="60">
        <f t="shared" si="6"/>
        <v>286.14</v>
      </c>
      <c r="M62" s="60">
        <f t="shared" si="6"/>
        <v>288.83999999999997</v>
      </c>
      <c r="N62" s="60">
        <f t="shared" si="6"/>
        <v>291.14</v>
      </c>
      <c r="O62" s="60">
        <f t="shared" si="6"/>
        <v>249.13999999999993</v>
      </c>
      <c r="P62" s="60">
        <f t="shared" si="6"/>
        <v>241.33999999999995</v>
      </c>
      <c r="Q62" s="60">
        <f t="shared" si="6"/>
        <v>302.03999999999996</v>
      </c>
      <c r="R62" s="60">
        <f t="shared" si="6"/>
        <v>304.53999999999996</v>
      </c>
      <c r="S62" s="60">
        <f t="shared" si="6"/>
        <v>304.23999999999995</v>
      </c>
      <c r="T62" s="60">
        <f t="shared" si="6"/>
        <v>287.83999999999997</v>
      </c>
      <c r="U62" s="60">
        <f t="shared" si="6"/>
        <v>278.33999999999997</v>
      </c>
      <c r="V62" s="60">
        <f t="shared" si="6"/>
        <v>244.13999999999996</v>
      </c>
      <c r="W62" s="60">
        <f t="shared" si="6"/>
        <v>282.53999999999996</v>
      </c>
      <c r="X62" s="60">
        <f t="shared" si="6"/>
        <v>333.94</v>
      </c>
      <c r="Y62" s="60">
        <f t="shared" si="6"/>
        <v>379.74</v>
      </c>
      <c r="Z62" s="60">
        <f t="shared" si="6"/>
        <v>353.24</v>
      </c>
      <c r="AA62" s="60">
        <f t="shared" si="6"/>
        <v>291.73999999999995</v>
      </c>
      <c r="AB62" s="60">
        <f t="shared" si="6"/>
        <v>288.44</v>
      </c>
      <c r="AC62" s="60">
        <f t="shared" si="6"/>
        <v>255.73999999999995</v>
      </c>
      <c r="AD62" s="60">
        <f t="shared" si="6"/>
        <v>232.93999999999994</v>
      </c>
      <c r="AE62" s="60">
        <f t="shared" si="6"/>
        <v>195.93999999999994</v>
      </c>
      <c r="AF62" s="60">
        <f t="shared" si="6"/>
        <v>162.93999999999994</v>
      </c>
      <c r="AG62" s="61">
        <f t="shared" si="6"/>
        <v>489.91</v>
      </c>
      <c r="AH62" s="47">
        <f t="shared" si="2"/>
        <v>379.74</v>
      </c>
      <c r="AI62" s="48">
        <f t="shared" si="3"/>
        <v>101.04000000000002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14</v>
      </c>
      <c r="M63" s="45">
        <v>30</v>
      </c>
      <c r="N63" s="45">
        <v>14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20</v>
      </c>
      <c r="U63" s="45">
        <v>20</v>
      </c>
      <c r="V63" s="45">
        <v>40</v>
      </c>
      <c r="W63" s="45">
        <v>40</v>
      </c>
      <c r="X63" s="45">
        <v>40</v>
      </c>
      <c r="Y63" s="45">
        <v>40</v>
      </c>
      <c r="Z63" s="45">
        <v>55</v>
      </c>
      <c r="AA63" s="45">
        <v>55</v>
      </c>
      <c r="AB63" s="45">
        <v>50</v>
      </c>
      <c r="AC63" s="45">
        <v>50</v>
      </c>
      <c r="AD63" s="45">
        <v>55</v>
      </c>
      <c r="AE63" s="45">
        <v>30</v>
      </c>
      <c r="AF63" s="45">
        <v>0</v>
      </c>
      <c r="AG63" s="51">
        <v>60</v>
      </c>
      <c r="AH63" s="47">
        <f t="shared" si="2"/>
        <v>55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6.9</v>
      </c>
      <c r="M64" s="65">
        <v>14.3</v>
      </c>
      <c r="N64" s="65">
        <v>9.1999999999999993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8.8000000000000007</v>
      </c>
      <c r="U64" s="65">
        <v>9.6</v>
      </c>
      <c r="V64" s="65">
        <v>16.600000000000001</v>
      </c>
      <c r="W64" s="65">
        <v>16.600000000000001</v>
      </c>
      <c r="X64" s="65">
        <v>15.6</v>
      </c>
      <c r="Y64" s="65">
        <v>15.6</v>
      </c>
      <c r="Z64" s="65">
        <v>22.3</v>
      </c>
      <c r="AA64" s="65">
        <v>22.5</v>
      </c>
      <c r="AB64" s="65">
        <v>13.7</v>
      </c>
      <c r="AC64" s="65">
        <v>13.7</v>
      </c>
      <c r="AD64" s="65">
        <v>13.7</v>
      </c>
      <c r="AE64" s="65">
        <v>7</v>
      </c>
      <c r="AF64" s="45">
        <v>0</v>
      </c>
      <c r="AG64" s="54">
        <v>32</v>
      </c>
      <c r="AH64" s="47">
        <f t="shared" si="2"/>
        <v>22.5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2.5</v>
      </c>
      <c r="M65" s="67">
        <v>5.2</v>
      </c>
      <c r="N65" s="67">
        <v>3.4</v>
      </c>
      <c r="O65" s="67">
        <v>0</v>
      </c>
      <c r="P65" s="67">
        <v>0</v>
      </c>
      <c r="Q65" s="67">
        <v>0</v>
      </c>
      <c r="R65" s="67">
        <v>0</v>
      </c>
      <c r="S65" s="67">
        <v>0</v>
      </c>
      <c r="T65" s="67">
        <v>3.4</v>
      </c>
      <c r="U65" s="67">
        <v>3.8</v>
      </c>
      <c r="V65" s="67">
        <v>6</v>
      </c>
      <c r="W65" s="67">
        <v>6</v>
      </c>
      <c r="X65" s="67">
        <v>5.7</v>
      </c>
      <c r="Y65" s="67">
        <v>5.7</v>
      </c>
      <c r="Z65" s="67">
        <v>8.1999999999999993</v>
      </c>
      <c r="AA65" s="67">
        <v>8.1999999999999993</v>
      </c>
      <c r="AB65" s="67">
        <v>5</v>
      </c>
      <c r="AC65" s="67">
        <v>5</v>
      </c>
      <c r="AD65" s="67">
        <v>5</v>
      </c>
      <c r="AE65" s="67">
        <v>5</v>
      </c>
      <c r="AF65" s="45">
        <v>0</v>
      </c>
      <c r="AG65" s="68">
        <v>14</v>
      </c>
      <c r="AH65" s="47">
        <f t="shared" si="2"/>
        <v>8.1999999999999993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23.4</v>
      </c>
      <c r="M66" s="60">
        <f t="shared" ref="M66:AF66" si="7">M63+M64+M65</f>
        <v>49.5</v>
      </c>
      <c r="N66" s="60">
        <f t="shared" si="7"/>
        <v>26.599999999999998</v>
      </c>
      <c r="O66" s="60">
        <f t="shared" si="7"/>
        <v>0</v>
      </c>
      <c r="P66" s="60">
        <f t="shared" si="7"/>
        <v>0</v>
      </c>
      <c r="Q66" s="60">
        <f t="shared" si="7"/>
        <v>0</v>
      </c>
      <c r="R66" s="60">
        <f t="shared" si="7"/>
        <v>0</v>
      </c>
      <c r="S66" s="60">
        <v>0</v>
      </c>
      <c r="T66" s="60">
        <f t="shared" si="7"/>
        <v>32.200000000000003</v>
      </c>
      <c r="U66" s="60">
        <f t="shared" si="7"/>
        <v>33.4</v>
      </c>
      <c r="V66" s="60">
        <f t="shared" si="7"/>
        <v>62.6</v>
      </c>
      <c r="W66" s="60">
        <f t="shared" si="7"/>
        <v>62.6</v>
      </c>
      <c r="X66" s="60">
        <f t="shared" si="7"/>
        <v>61.300000000000004</v>
      </c>
      <c r="Y66" s="60">
        <f t="shared" si="7"/>
        <v>61.300000000000004</v>
      </c>
      <c r="Z66" s="60">
        <f t="shared" si="7"/>
        <v>85.5</v>
      </c>
      <c r="AA66" s="60">
        <f t="shared" si="7"/>
        <v>85.7</v>
      </c>
      <c r="AB66" s="60">
        <f t="shared" si="7"/>
        <v>68.7</v>
      </c>
      <c r="AC66" s="60">
        <f t="shared" si="7"/>
        <v>68.7</v>
      </c>
      <c r="AD66" s="60">
        <f t="shared" si="7"/>
        <v>73.7</v>
      </c>
      <c r="AE66" s="60">
        <f t="shared" si="7"/>
        <v>42</v>
      </c>
      <c r="AF66" s="60">
        <f t="shared" si="7"/>
        <v>0</v>
      </c>
      <c r="AG66" s="61">
        <f>SUM(AG63:AG65)</f>
        <v>106</v>
      </c>
      <c r="AH66" s="47">
        <f t="shared" si="2"/>
        <v>85.7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56</v>
      </c>
      <c r="C67" s="45">
        <v>62</v>
      </c>
      <c r="D67" s="45">
        <v>61.8</v>
      </c>
      <c r="E67" s="45">
        <v>72</v>
      </c>
      <c r="F67" s="45">
        <v>66</v>
      </c>
      <c r="G67" s="45">
        <v>63</v>
      </c>
      <c r="H67" s="45">
        <v>69</v>
      </c>
      <c r="I67" s="45">
        <v>64.900000000000006</v>
      </c>
      <c r="J67" s="45">
        <v>66</v>
      </c>
      <c r="K67" s="45">
        <v>62</v>
      </c>
      <c r="L67" s="45">
        <v>67.8</v>
      </c>
      <c r="M67" s="45">
        <v>70.3</v>
      </c>
      <c r="N67" s="45">
        <v>57.5</v>
      </c>
      <c r="O67" s="45">
        <v>59.6</v>
      </c>
      <c r="P67" s="45">
        <v>63.6</v>
      </c>
      <c r="Q67" s="45">
        <v>64.7</v>
      </c>
      <c r="R67" s="45">
        <v>66</v>
      </c>
      <c r="S67" s="45">
        <v>60</v>
      </c>
      <c r="T67" s="45">
        <v>63.5</v>
      </c>
      <c r="U67" s="45">
        <v>75.7</v>
      </c>
      <c r="V67" s="45">
        <v>69.7</v>
      </c>
      <c r="W67" s="45">
        <v>56.5</v>
      </c>
      <c r="X67" s="45">
        <v>69</v>
      </c>
      <c r="Y67" s="45">
        <v>66</v>
      </c>
      <c r="Z67" s="45">
        <v>64</v>
      </c>
      <c r="AA67" s="45">
        <v>58.8</v>
      </c>
      <c r="AB67" s="45">
        <v>58</v>
      </c>
      <c r="AC67" s="45">
        <v>63.7</v>
      </c>
      <c r="AD67" s="45">
        <v>62</v>
      </c>
      <c r="AE67" s="45">
        <v>62</v>
      </c>
      <c r="AF67" s="45">
        <v>63.8</v>
      </c>
      <c r="AG67" s="51"/>
      <c r="AH67" s="47">
        <f t="shared" si="2"/>
        <v>75.7</v>
      </c>
      <c r="AI67" s="48">
        <f t="shared" si="3"/>
        <v>56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302.10000000000002</v>
      </c>
      <c r="C69" s="65">
        <v>298</v>
      </c>
      <c r="D69" s="65">
        <v>276</v>
      </c>
      <c r="E69" s="65">
        <v>267</v>
      </c>
      <c r="F69" s="65">
        <v>306</v>
      </c>
      <c r="G69" s="65">
        <v>297.5</v>
      </c>
      <c r="H69" s="65">
        <v>304</v>
      </c>
      <c r="I69" s="65">
        <v>305.89999999999998</v>
      </c>
      <c r="J69" s="65">
        <v>311</v>
      </c>
      <c r="K69" s="65">
        <v>274</v>
      </c>
      <c r="L69" s="65">
        <v>251</v>
      </c>
      <c r="M69" s="65">
        <v>147.30000000000001</v>
      </c>
      <c r="N69" s="65">
        <v>163</v>
      </c>
      <c r="O69" s="65">
        <v>138</v>
      </c>
      <c r="P69" s="65">
        <v>298</v>
      </c>
      <c r="Q69" s="65">
        <v>298</v>
      </c>
      <c r="R69" s="65">
        <v>339.5</v>
      </c>
      <c r="S69" s="65">
        <v>400</v>
      </c>
      <c r="T69" s="65">
        <v>348</v>
      </c>
      <c r="U69" s="65">
        <v>310</v>
      </c>
      <c r="V69" s="65">
        <v>248</v>
      </c>
      <c r="W69" s="65">
        <v>240</v>
      </c>
      <c r="X69" s="65">
        <v>274</v>
      </c>
      <c r="Y69" s="65">
        <v>212</v>
      </c>
      <c r="Z69" s="65">
        <v>170</v>
      </c>
      <c r="AA69" s="65">
        <v>260</v>
      </c>
      <c r="AB69" s="65">
        <v>270</v>
      </c>
      <c r="AC69" s="65">
        <v>270</v>
      </c>
      <c r="AD69" s="65">
        <v>270.8</v>
      </c>
      <c r="AE69" s="65">
        <v>287</v>
      </c>
      <c r="AF69" s="65">
        <v>293</v>
      </c>
      <c r="AG69" s="75"/>
      <c r="AH69" s="47">
        <f t="shared" si="2"/>
        <v>400</v>
      </c>
      <c r="AI69" s="48">
        <f t="shared" si="3"/>
        <v>138</v>
      </c>
      <c r="AK69" s="49"/>
    </row>
    <row r="70" spans="1:40" x14ac:dyDescent="0.25">
      <c r="A70" s="53" t="s">
        <v>78</v>
      </c>
      <c r="B70" s="76">
        <v>63.5</v>
      </c>
      <c r="C70" s="76">
        <v>58</v>
      </c>
      <c r="D70" s="76">
        <v>56.3</v>
      </c>
      <c r="E70" s="76">
        <v>56.8</v>
      </c>
      <c r="F70" s="76">
        <v>59.63</v>
      </c>
      <c r="G70" s="76">
        <v>64.900000000000006</v>
      </c>
      <c r="H70" s="76">
        <v>66.8</v>
      </c>
      <c r="I70" s="76">
        <v>65</v>
      </c>
      <c r="J70" s="76">
        <v>70.599999999999994</v>
      </c>
      <c r="K70" s="76">
        <v>64.400000000000006</v>
      </c>
      <c r="L70" s="76">
        <v>64.5</v>
      </c>
      <c r="M70" s="76">
        <v>64.599999999999994</v>
      </c>
      <c r="N70" s="76">
        <v>44.8</v>
      </c>
      <c r="O70" s="76">
        <v>41.4</v>
      </c>
      <c r="P70" s="76">
        <v>54</v>
      </c>
      <c r="Q70" s="76">
        <v>61.7</v>
      </c>
      <c r="R70" s="76">
        <v>61.4</v>
      </c>
      <c r="S70" s="76">
        <v>61.4</v>
      </c>
      <c r="T70" s="76">
        <v>61.4</v>
      </c>
      <c r="U70" s="76">
        <v>64.099999999999994</v>
      </c>
      <c r="V70" s="76">
        <v>57.1</v>
      </c>
      <c r="W70" s="76">
        <v>54.8</v>
      </c>
      <c r="X70" s="76">
        <v>54.8</v>
      </c>
      <c r="Y70" s="76">
        <v>54.8</v>
      </c>
      <c r="Z70" s="76">
        <v>54.8</v>
      </c>
      <c r="AA70" s="76">
        <v>54.8</v>
      </c>
      <c r="AB70" s="65">
        <v>51.4</v>
      </c>
      <c r="AC70" s="65">
        <v>53</v>
      </c>
      <c r="AD70" s="65">
        <v>47.3</v>
      </c>
      <c r="AE70" s="65">
        <v>47.3</v>
      </c>
      <c r="AF70" s="65">
        <v>62</v>
      </c>
      <c r="AG70" s="75"/>
      <c r="AH70" s="47">
        <f t="shared" si="2"/>
        <v>70.599999999999994</v>
      </c>
      <c r="AI70" s="48">
        <f t="shared" si="3"/>
        <v>41.4</v>
      </c>
      <c r="AK70" s="49"/>
    </row>
    <row r="71" spans="1:40" x14ac:dyDescent="0.25">
      <c r="A71" s="53" t="s">
        <v>79</v>
      </c>
      <c r="B71" s="45">
        <v>20</v>
      </c>
      <c r="C71" s="45">
        <v>22</v>
      </c>
      <c r="D71" s="45">
        <v>22</v>
      </c>
      <c r="E71" s="45">
        <v>23.6</v>
      </c>
      <c r="F71" s="45">
        <v>22</v>
      </c>
      <c r="G71" s="45">
        <v>21.8</v>
      </c>
      <c r="H71" s="45">
        <v>23</v>
      </c>
      <c r="I71" s="45">
        <v>23.4</v>
      </c>
      <c r="J71" s="45">
        <v>25.85</v>
      </c>
      <c r="K71" s="45">
        <v>25</v>
      </c>
      <c r="L71" s="45">
        <v>39.9</v>
      </c>
      <c r="M71" s="45">
        <v>40.200000000000003</v>
      </c>
      <c r="N71" s="45">
        <v>47.5</v>
      </c>
      <c r="O71" s="45">
        <v>38.9</v>
      </c>
      <c r="P71" s="45">
        <v>27.4</v>
      </c>
      <c r="Q71" s="45">
        <v>30.9</v>
      </c>
      <c r="R71" s="45">
        <v>32.1</v>
      </c>
      <c r="S71" s="45">
        <v>32.1</v>
      </c>
      <c r="T71" s="45">
        <v>32.1</v>
      </c>
      <c r="U71" s="45">
        <v>32.1</v>
      </c>
      <c r="V71" s="45">
        <v>29.7</v>
      </c>
      <c r="W71" s="45">
        <v>33.1</v>
      </c>
      <c r="X71" s="45">
        <v>33.1</v>
      </c>
      <c r="Y71" s="45">
        <v>48</v>
      </c>
      <c r="Z71" s="45">
        <v>48</v>
      </c>
      <c r="AA71" s="45">
        <v>48</v>
      </c>
      <c r="AB71" s="45">
        <v>50.8</v>
      </c>
      <c r="AC71" s="45">
        <v>16.7</v>
      </c>
      <c r="AD71" s="45">
        <v>22</v>
      </c>
      <c r="AE71" s="45">
        <v>24</v>
      </c>
      <c r="AF71" s="45">
        <v>22.5</v>
      </c>
      <c r="AG71" s="75"/>
      <c r="AH71" s="47">
        <f t="shared" si="2"/>
        <v>50.8</v>
      </c>
      <c r="AI71" s="48">
        <f t="shared" si="3"/>
        <v>16.7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5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8">MAX(B75:AF75)</f>
        <v>0</v>
      </c>
      <c r="AI75" s="48">
        <f t="shared" ref="AI75:AI113" si="9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8"/>
        <v>0</v>
      </c>
      <c r="AI76" s="48">
        <f t="shared" si="9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8"/>
        <v>0</v>
      </c>
      <c r="AI77" s="48">
        <f t="shared" si="9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F78" si="10">SUMIF(B67:B77,"&gt;0")</f>
        <v>446.6</v>
      </c>
      <c r="C78" s="60">
        <f t="shared" si="10"/>
        <v>445</v>
      </c>
      <c r="D78" s="60">
        <f t="shared" si="10"/>
        <v>421.1</v>
      </c>
      <c r="E78" s="60">
        <f t="shared" si="10"/>
        <v>424.40000000000003</v>
      </c>
      <c r="F78" s="60">
        <f t="shared" si="10"/>
        <v>458.63</v>
      </c>
      <c r="G78" s="60">
        <f t="shared" si="10"/>
        <v>452.2</v>
      </c>
      <c r="H78" s="60">
        <f t="shared" si="10"/>
        <v>467.8</v>
      </c>
      <c r="I78" s="60">
        <f t="shared" si="10"/>
        <v>464.19999999999993</v>
      </c>
      <c r="J78" s="60">
        <f t="shared" si="10"/>
        <v>478.45000000000005</v>
      </c>
      <c r="K78" s="60">
        <f t="shared" si="10"/>
        <v>430.4</v>
      </c>
      <c r="L78" s="60">
        <f t="shared" si="10"/>
        <v>428.2</v>
      </c>
      <c r="M78" s="60">
        <f t="shared" si="10"/>
        <v>327.40000000000003</v>
      </c>
      <c r="N78" s="60">
        <f t="shared" si="10"/>
        <v>317.8</v>
      </c>
      <c r="O78" s="60">
        <f t="shared" si="10"/>
        <v>282.89999999999998</v>
      </c>
      <c r="P78" s="60">
        <f t="shared" si="10"/>
        <v>448</v>
      </c>
      <c r="Q78" s="60">
        <f t="shared" si="10"/>
        <v>460.29999999999995</v>
      </c>
      <c r="R78" s="60">
        <f t="shared" si="10"/>
        <v>504</v>
      </c>
      <c r="S78" s="60">
        <f t="shared" si="10"/>
        <v>558.5</v>
      </c>
      <c r="T78" s="60">
        <f t="shared" si="10"/>
        <v>510</v>
      </c>
      <c r="U78" s="60">
        <f t="shared" si="10"/>
        <v>486.9</v>
      </c>
      <c r="V78" s="60">
        <f t="shared" si="10"/>
        <v>409.5</v>
      </c>
      <c r="W78" s="60">
        <f t="shared" si="10"/>
        <v>389.40000000000003</v>
      </c>
      <c r="X78" s="60">
        <f t="shared" si="10"/>
        <v>435.90000000000003</v>
      </c>
      <c r="Y78" s="60">
        <f t="shared" si="10"/>
        <v>385.8</v>
      </c>
      <c r="Z78" s="60">
        <f t="shared" si="10"/>
        <v>341.8</v>
      </c>
      <c r="AA78" s="60">
        <f t="shared" si="10"/>
        <v>426.6</v>
      </c>
      <c r="AB78" s="60">
        <f t="shared" si="10"/>
        <v>435.2</v>
      </c>
      <c r="AC78" s="60">
        <f t="shared" si="10"/>
        <v>408.4</v>
      </c>
      <c r="AD78" s="60">
        <f t="shared" si="10"/>
        <v>407.1</v>
      </c>
      <c r="AE78" s="60">
        <f t="shared" si="10"/>
        <v>425.3</v>
      </c>
      <c r="AF78" s="60">
        <f t="shared" si="10"/>
        <v>446.3</v>
      </c>
      <c r="AG78" s="88">
        <f>SUM(AG67:AG77)</f>
        <v>0</v>
      </c>
      <c r="AH78" s="47">
        <f t="shared" si="8"/>
        <v>558.5</v>
      </c>
      <c r="AI78" s="48">
        <f t="shared" si="9"/>
        <v>282.89999999999998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8"/>
        <v>0</v>
      </c>
      <c r="AI79" s="48">
        <f t="shared" si="9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8"/>
        <v>0</v>
      </c>
      <c r="AI80" s="48">
        <f t="shared" si="9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8"/>
        <v>0</v>
      </c>
      <c r="AI81" s="48">
        <f t="shared" si="9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>
        <v>80</v>
      </c>
      <c r="X82" s="60">
        <v>170</v>
      </c>
      <c r="Y82" s="60">
        <v>170</v>
      </c>
      <c r="Z82" s="60">
        <v>170</v>
      </c>
      <c r="AA82" s="60">
        <v>130</v>
      </c>
      <c r="AB82" s="60"/>
      <c r="AC82" s="60"/>
      <c r="AD82" s="60"/>
      <c r="AE82" s="60"/>
      <c r="AF82" s="60"/>
      <c r="AG82" s="88">
        <f>SUM(AG79:AG81)</f>
        <v>55.4</v>
      </c>
      <c r="AH82" s="47">
        <f t="shared" si="8"/>
        <v>170</v>
      </c>
      <c r="AI82" s="48">
        <f t="shared" si="9"/>
        <v>80</v>
      </c>
    </row>
    <row r="83" spans="1:37" ht="15.75" thickBot="1" x14ac:dyDescent="0.3">
      <c r="A83" s="74" t="s">
        <v>94</v>
      </c>
      <c r="B83" s="95">
        <f>B44+B48+B66+B62+B78+B82</f>
        <v>1131.74</v>
      </c>
      <c r="C83" s="95">
        <f t="shared" ref="C83:AG83" si="11">C44+C48+C66+C62+C78+C82</f>
        <v>1130.04</v>
      </c>
      <c r="D83" s="95">
        <f t="shared" si="11"/>
        <v>1081.1399999999999</v>
      </c>
      <c r="E83" s="95">
        <f t="shared" si="11"/>
        <v>1062.3400000000001</v>
      </c>
      <c r="F83" s="95">
        <f t="shared" si="11"/>
        <v>1081.5700000000002</v>
      </c>
      <c r="G83" s="95">
        <f t="shared" si="11"/>
        <v>1128.24</v>
      </c>
      <c r="H83" s="95">
        <f t="shared" si="11"/>
        <v>1211.24</v>
      </c>
      <c r="I83" s="95">
        <f t="shared" si="11"/>
        <v>1254.04</v>
      </c>
      <c r="J83" s="95">
        <f t="shared" si="11"/>
        <v>1367.39</v>
      </c>
      <c r="K83" s="95">
        <f t="shared" si="11"/>
        <v>1394.0700000000002</v>
      </c>
      <c r="L83" s="95">
        <f t="shared" si="11"/>
        <v>1418.84</v>
      </c>
      <c r="M83" s="95">
        <f t="shared" si="11"/>
        <v>1430.94</v>
      </c>
      <c r="N83" s="95">
        <f t="shared" si="11"/>
        <v>1340.44</v>
      </c>
      <c r="O83" s="95">
        <f t="shared" si="11"/>
        <v>1268.8399999999997</v>
      </c>
      <c r="P83" s="95">
        <f t="shared" si="11"/>
        <v>1277.2399999999998</v>
      </c>
      <c r="Q83" s="95">
        <f t="shared" si="11"/>
        <v>1374.94</v>
      </c>
      <c r="R83" s="95">
        <f t="shared" si="11"/>
        <v>1356.1399999999999</v>
      </c>
      <c r="S83" s="95">
        <f t="shared" si="11"/>
        <v>1363.84</v>
      </c>
      <c r="T83" s="95">
        <f t="shared" si="11"/>
        <v>1346.14</v>
      </c>
      <c r="U83" s="95">
        <f t="shared" si="11"/>
        <v>1395.6399999999999</v>
      </c>
      <c r="V83" s="95">
        <f t="shared" si="11"/>
        <v>1353.24</v>
      </c>
      <c r="W83" s="95">
        <f t="shared" si="11"/>
        <v>1366.04</v>
      </c>
      <c r="X83" s="95">
        <f t="shared" si="11"/>
        <v>1622.64</v>
      </c>
      <c r="Y83" s="95">
        <f t="shared" si="11"/>
        <v>1708.34</v>
      </c>
      <c r="Z83" s="95">
        <f t="shared" si="11"/>
        <v>1670.24</v>
      </c>
      <c r="AA83" s="95">
        <f t="shared" si="11"/>
        <v>1603.7400000000002</v>
      </c>
      <c r="AB83" s="95">
        <f t="shared" si="11"/>
        <v>1453.0400000000002</v>
      </c>
      <c r="AC83" s="95">
        <f t="shared" si="11"/>
        <v>1383.54</v>
      </c>
      <c r="AD83" s="95">
        <f t="shared" si="11"/>
        <v>1364.44</v>
      </c>
      <c r="AE83" s="95">
        <f t="shared" si="11"/>
        <v>1253.94</v>
      </c>
      <c r="AF83" s="95">
        <f t="shared" si="11"/>
        <v>1179.94</v>
      </c>
      <c r="AG83" s="61">
        <f t="shared" si="11"/>
        <v>2004.1900000000003</v>
      </c>
      <c r="AH83" s="47">
        <f>MAX(B83:AF83)</f>
        <v>1708.34</v>
      </c>
      <c r="AI83" s="48">
        <f>MIN(B83:AF83)</f>
        <v>1062.3400000000001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>
        <v>100</v>
      </c>
      <c r="L84" s="97">
        <v>200</v>
      </c>
      <c r="M84" s="97">
        <v>210</v>
      </c>
      <c r="N84" s="97">
        <v>220</v>
      </c>
      <c r="O84" s="97">
        <v>220</v>
      </c>
      <c r="P84" s="97"/>
      <c r="Q84" s="97"/>
      <c r="R84" s="97"/>
      <c r="S84" s="97"/>
      <c r="T84" s="97"/>
      <c r="U84" s="97"/>
      <c r="V84" s="97"/>
      <c r="W84" s="97">
        <v>80</v>
      </c>
      <c r="X84" s="97"/>
      <c r="Y84" s="97"/>
      <c r="Z84" s="97"/>
      <c r="AA84" s="97"/>
      <c r="AB84" s="97"/>
      <c r="AC84" s="97"/>
      <c r="AD84" s="97"/>
      <c r="AE84" s="97"/>
      <c r="AF84" s="97"/>
      <c r="AG84" s="88"/>
      <c r="AH84" s="47">
        <f t="shared" si="8"/>
        <v>220</v>
      </c>
      <c r="AI84" s="48">
        <f t="shared" si="9"/>
        <v>80</v>
      </c>
    </row>
    <row r="85" spans="1:37" ht="15.75" thickBot="1" x14ac:dyDescent="0.3">
      <c r="A85" s="74" t="s">
        <v>96</v>
      </c>
      <c r="B85" s="95">
        <f>B83+B84</f>
        <v>1131.74</v>
      </c>
      <c r="C85" s="95">
        <f t="shared" ref="C85:AF85" si="12">C83+C84</f>
        <v>1130.04</v>
      </c>
      <c r="D85" s="95">
        <f t="shared" si="12"/>
        <v>1081.1399999999999</v>
      </c>
      <c r="E85" s="95">
        <f t="shared" si="12"/>
        <v>1062.3400000000001</v>
      </c>
      <c r="F85" s="95">
        <f t="shared" si="12"/>
        <v>1081.5700000000002</v>
      </c>
      <c r="G85" s="95">
        <f t="shared" si="12"/>
        <v>1128.24</v>
      </c>
      <c r="H85" s="95">
        <f t="shared" si="12"/>
        <v>1211.24</v>
      </c>
      <c r="I85" s="95">
        <f t="shared" si="12"/>
        <v>1254.04</v>
      </c>
      <c r="J85" s="95">
        <f t="shared" si="12"/>
        <v>1367.39</v>
      </c>
      <c r="K85" s="95">
        <f t="shared" si="12"/>
        <v>1494.0700000000002</v>
      </c>
      <c r="L85" s="95">
        <f t="shared" si="12"/>
        <v>1618.84</v>
      </c>
      <c r="M85" s="95">
        <f t="shared" si="12"/>
        <v>1640.94</v>
      </c>
      <c r="N85" s="95">
        <f t="shared" si="12"/>
        <v>1560.44</v>
      </c>
      <c r="O85" s="95">
        <f t="shared" si="12"/>
        <v>1488.8399999999997</v>
      </c>
      <c r="P85" s="95">
        <f t="shared" si="12"/>
        <v>1277.2399999999998</v>
      </c>
      <c r="Q85" s="95">
        <f t="shared" si="12"/>
        <v>1374.94</v>
      </c>
      <c r="R85" s="95">
        <f t="shared" si="12"/>
        <v>1356.1399999999999</v>
      </c>
      <c r="S85" s="95">
        <f t="shared" si="12"/>
        <v>1363.84</v>
      </c>
      <c r="T85" s="95">
        <f t="shared" si="12"/>
        <v>1346.14</v>
      </c>
      <c r="U85" s="95">
        <f t="shared" si="12"/>
        <v>1395.6399999999999</v>
      </c>
      <c r="V85" s="95">
        <f t="shared" si="12"/>
        <v>1353.24</v>
      </c>
      <c r="W85" s="95">
        <f t="shared" si="12"/>
        <v>1446.04</v>
      </c>
      <c r="X85" s="95">
        <f t="shared" si="12"/>
        <v>1622.64</v>
      </c>
      <c r="Y85" s="95">
        <f t="shared" si="12"/>
        <v>1708.34</v>
      </c>
      <c r="Z85" s="95">
        <f t="shared" si="12"/>
        <v>1670.24</v>
      </c>
      <c r="AA85" s="95">
        <f t="shared" si="12"/>
        <v>1603.7400000000002</v>
      </c>
      <c r="AB85" s="95">
        <f t="shared" si="12"/>
        <v>1453.0400000000002</v>
      </c>
      <c r="AC85" s="95">
        <f t="shared" si="12"/>
        <v>1383.54</v>
      </c>
      <c r="AD85" s="95">
        <f t="shared" si="12"/>
        <v>1364.44</v>
      </c>
      <c r="AE85" s="95">
        <f t="shared" si="12"/>
        <v>1253.94</v>
      </c>
      <c r="AF85" s="95">
        <f t="shared" si="12"/>
        <v>1179.94</v>
      </c>
      <c r="AG85" s="88">
        <f>AG82+AG78+AG66+AG62+AG44+AG84</f>
        <v>1466.0900000000001</v>
      </c>
      <c r="AH85" s="47">
        <f t="shared" si="8"/>
        <v>1708.34</v>
      </c>
      <c r="AI85" s="48">
        <f t="shared" si="9"/>
        <v>1062.3400000000001</v>
      </c>
    </row>
    <row r="86" spans="1:37" ht="15.75" thickBot="1" x14ac:dyDescent="0.3">
      <c r="A86" s="74" t="s">
        <v>97</v>
      </c>
      <c r="B86" s="95">
        <f t="shared" ref="B86:AF86" si="13">B85-B93</f>
        <v>1131.74</v>
      </c>
      <c r="C86" s="95">
        <f t="shared" si="13"/>
        <v>1130.04</v>
      </c>
      <c r="D86" s="95">
        <f t="shared" si="13"/>
        <v>1081.1399999999999</v>
      </c>
      <c r="E86" s="95">
        <f t="shared" si="13"/>
        <v>1062.3400000000001</v>
      </c>
      <c r="F86" s="95">
        <f t="shared" si="13"/>
        <v>1081.5700000000002</v>
      </c>
      <c r="G86" s="95">
        <f t="shared" si="13"/>
        <v>1128.24</v>
      </c>
      <c r="H86" s="95">
        <f t="shared" si="13"/>
        <v>1211.24</v>
      </c>
      <c r="I86" s="95">
        <f t="shared" si="13"/>
        <v>1254.04</v>
      </c>
      <c r="J86" s="95">
        <f t="shared" si="13"/>
        <v>1367.39</v>
      </c>
      <c r="K86" s="95">
        <f t="shared" si="13"/>
        <v>1494.0700000000002</v>
      </c>
      <c r="L86" s="95">
        <f t="shared" si="13"/>
        <v>1618.84</v>
      </c>
      <c r="M86" s="95">
        <f t="shared" si="13"/>
        <v>1640.94</v>
      </c>
      <c r="N86" s="95">
        <f t="shared" si="13"/>
        <v>1560.44</v>
      </c>
      <c r="O86" s="95">
        <f t="shared" si="13"/>
        <v>1488.8399999999997</v>
      </c>
      <c r="P86" s="95">
        <f t="shared" si="13"/>
        <v>1277.2399999999998</v>
      </c>
      <c r="Q86" s="95">
        <f t="shared" si="13"/>
        <v>1374.94</v>
      </c>
      <c r="R86" s="95">
        <f t="shared" si="13"/>
        <v>1356.1399999999999</v>
      </c>
      <c r="S86" s="95">
        <f t="shared" si="13"/>
        <v>1363.84</v>
      </c>
      <c r="T86" s="95">
        <f t="shared" si="13"/>
        <v>1346.14</v>
      </c>
      <c r="U86" s="95">
        <f t="shared" si="13"/>
        <v>1395.6399999999999</v>
      </c>
      <c r="V86" s="95">
        <f t="shared" si="13"/>
        <v>1353.24</v>
      </c>
      <c r="W86" s="95">
        <f t="shared" si="13"/>
        <v>1446.04</v>
      </c>
      <c r="X86" s="95">
        <f t="shared" si="13"/>
        <v>1622.64</v>
      </c>
      <c r="Y86" s="95">
        <f t="shared" si="13"/>
        <v>1708.34</v>
      </c>
      <c r="Z86" s="95">
        <f t="shared" si="13"/>
        <v>1670.24</v>
      </c>
      <c r="AA86" s="95">
        <f t="shared" si="13"/>
        <v>1603.7400000000002</v>
      </c>
      <c r="AB86" s="95">
        <f t="shared" si="13"/>
        <v>1453.0400000000002</v>
      </c>
      <c r="AC86" s="95">
        <f t="shared" si="13"/>
        <v>1383.54</v>
      </c>
      <c r="AD86" s="95">
        <f t="shared" si="13"/>
        <v>1364.44</v>
      </c>
      <c r="AE86" s="95">
        <f t="shared" si="13"/>
        <v>1253.94</v>
      </c>
      <c r="AF86" s="95">
        <f t="shared" si="13"/>
        <v>1179.94</v>
      </c>
      <c r="AG86" s="88"/>
      <c r="AH86" s="47">
        <f t="shared" si="8"/>
        <v>1708.34</v>
      </c>
      <c r="AI86" s="48">
        <f t="shared" si="9"/>
        <v>1062.3400000000001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8"/>
        <v>0</v>
      </c>
      <c r="AI87" s="48">
        <f t="shared" si="9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8"/>
        <v>0</v>
      </c>
      <c r="AI88" s="48">
        <f t="shared" si="9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8"/>
        <v>0</v>
      </c>
      <c r="AI89" s="48">
        <f t="shared" si="9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8"/>
        <v>0</v>
      </c>
      <c r="AI90" s="48">
        <f t="shared" si="9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8"/>
        <v>0</v>
      </c>
      <c r="AI91" s="48">
        <f t="shared" si="9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8"/>
        <v>0</v>
      </c>
      <c r="AI92" s="48">
        <f t="shared" si="9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88"/>
      <c r="AH93" s="47">
        <f t="shared" si="8"/>
        <v>0</v>
      </c>
      <c r="AI93" s="48">
        <f t="shared" si="9"/>
        <v>0</v>
      </c>
      <c r="AK93" s="49"/>
    </row>
    <row r="94" spans="1:37" ht="15.75" thickBot="1" x14ac:dyDescent="0.3">
      <c r="A94" s="74" t="s">
        <v>102</v>
      </c>
      <c r="B94" s="60">
        <f t="shared" ref="B94:AF94" si="14">B78-B93</f>
        <v>446.6</v>
      </c>
      <c r="C94" s="60">
        <f t="shared" si="14"/>
        <v>445</v>
      </c>
      <c r="D94" s="60">
        <f t="shared" si="14"/>
        <v>421.1</v>
      </c>
      <c r="E94" s="60">
        <f t="shared" si="14"/>
        <v>424.40000000000003</v>
      </c>
      <c r="F94" s="60">
        <f t="shared" si="14"/>
        <v>458.63</v>
      </c>
      <c r="G94" s="60">
        <f t="shared" si="14"/>
        <v>452.2</v>
      </c>
      <c r="H94" s="60">
        <f t="shared" si="14"/>
        <v>467.8</v>
      </c>
      <c r="I94" s="60">
        <f t="shared" si="14"/>
        <v>464.19999999999993</v>
      </c>
      <c r="J94" s="60">
        <f t="shared" si="14"/>
        <v>478.45000000000005</v>
      </c>
      <c r="K94" s="60">
        <f t="shared" si="14"/>
        <v>430.4</v>
      </c>
      <c r="L94" s="60">
        <f t="shared" si="14"/>
        <v>428.2</v>
      </c>
      <c r="M94" s="60">
        <f t="shared" si="14"/>
        <v>327.40000000000003</v>
      </c>
      <c r="N94" s="60">
        <f t="shared" si="14"/>
        <v>317.8</v>
      </c>
      <c r="O94" s="60">
        <f t="shared" si="14"/>
        <v>282.89999999999998</v>
      </c>
      <c r="P94" s="60">
        <f t="shared" si="14"/>
        <v>448</v>
      </c>
      <c r="Q94" s="60">
        <f t="shared" si="14"/>
        <v>460.29999999999995</v>
      </c>
      <c r="R94" s="60">
        <f t="shared" si="14"/>
        <v>504</v>
      </c>
      <c r="S94" s="60">
        <f t="shared" si="14"/>
        <v>558.5</v>
      </c>
      <c r="T94" s="60">
        <f t="shared" si="14"/>
        <v>510</v>
      </c>
      <c r="U94" s="60">
        <f t="shared" si="14"/>
        <v>486.9</v>
      </c>
      <c r="V94" s="60">
        <f t="shared" si="14"/>
        <v>409.5</v>
      </c>
      <c r="W94" s="60">
        <f t="shared" si="14"/>
        <v>389.40000000000003</v>
      </c>
      <c r="X94" s="60">
        <f t="shared" si="14"/>
        <v>435.90000000000003</v>
      </c>
      <c r="Y94" s="60">
        <f t="shared" si="14"/>
        <v>385.8</v>
      </c>
      <c r="Z94" s="60">
        <f t="shared" si="14"/>
        <v>341.8</v>
      </c>
      <c r="AA94" s="60">
        <f t="shared" si="14"/>
        <v>426.6</v>
      </c>
      <c r="AB94" s="60">
        <f t="shared" si="14"/>
        <v>435.2</v>
      </c>
      <c r="AC94" s="60">
        <f t="shared" si="14"/>
        <v>408.4</v>
      </c>
      <c r="AD94" s="60">
        <f t="shared" si="14"/>
        <v>407.1</v>
      </c>
      <c r="AE94" s="60">
        <f t="shared" si="14"/>
        <v>425.3</v>
      </c>
      <c r="AF94" s="60">
        <f t="shared" si="14"/>
        <v>446.3</v>
      </c>
      <c r="AG94" s="88"/>
      <c r="AH94" s="47">
        <f t="shared" si="8"/>
        <v>558.5</v>
      </c>
      <c r="AI94" s="48">
        <f t="shared" si="9"/>
        <v>282.89999999999998</v>
      </c>
    </row>
    <row r="95" spans="1:37" x14ac:dyDescent="0.25">
      <c r="A95" s="100" t="s">
        <v>103</v>
      </c>
      <c r="B95" s="101">
        <v>49.993000000000002</v>
      </c>
      <c r="C95" s="101">
        <v>49.993000000000002</v>
      </c>
      <c r="D95" s="101">
        <v>50</v>
      </c>
      <c r="E95" s="101">
        <v>49.993000000000002</v>
      </c>
      <c r="F95" s="101">
        <v>49.927</v>
      </c>
      <c r="G95" s="101">
        <v>50.029000000000003</v>
      </c>
      <c r="H95" s="101">
        <v>50.143000000000001</v>
      </c>
      <c r="I95" s="101">
        <v>49.960999999999999</v>
      </c>
      <c r="J95" s="101">
        <v>50</v>
      </c>
      <c r="K95" s="101">
        <v>50</v>
      </c>
      <c r="L95" s="101">
        <v>50</v>
      </c>
      <c r="M95" s="101">
        <v>50.064999999999998</v>
      </c>
      <c r="N95" s="101">
        <v>50.061999999999998</v>
      </c>
      <c r="O95" s="101">
        <v>49.957000000000001</v>
      </c>
      <c r="P95" s="101">
        <v>50.015999999999998</v>
      </c>
      <c r="Q95" s="101">
        <v>49.994</v>
      </c>
      <c r="R95" s="101">
        <v>50.17</v>
      </c>
      <c r="S95" s="101">
        <v>49.86</v>
      </c>
      <c r="T95" s="101">
        <v>49.93</v>
      </c>
      <c r="U95" s="101">
        <v>50.03</v>
      </c>
      <c r="V95" s="101">
        <v>49.97</v>
      </c>
      <c r="W95" s="101">
        <v>50.1</v>
      </c>
      <c r="X95" s="101">
        <v>50.03</v>
      </c>
      <c r="Y95" s="101">
        <v>49.96</v>
      </c>
      <c r="Z95" s="101">
        <v>50.01</v>
      </c>
      <c r="AA95" s="101">
        <v>50.1</v>
      </c>
      <c r="AB95" s="101">
        <v>50.104300000000002</v>
      </c>
      <c r="AC95" s="101">
        <v>49.933</v>
      </c>
      <c r="AD95" s="101">
        <v>50.146000000000001</v>
      </c>
      <c r="AE95" s="101">
        <v>50.146000000000001</v>
      </c>
      <c r="AF95" s="101">
        <v>50.07</v>
      </c>
      <c r="AG95" s="102"/>
      <c r="AH95" s="47">
        <f t="shared" si="8"/>
        <v>50.17</v>
      </c>
      <c r="AI95" s="48">
        <f t="shared" si="9"/>
        <v>49.86</v>
      </c>
    </row>
    <row r="96" spans="1:37" x14ac:dyDescent="0.25">
      <c r="A96" s="103" t="s">
        <v>104</v>
      </c>
      <c r="B96" s="65">
        <v>130</v>
      </c>
      <c r="C96" s="65">
        <v>130</v>
      </c>
      <c r="D96" s="65">
        <v>130</v>
      </c>
      <c r="E96" s="65">
        <v>127</v>
      </c>
      <c r="F96" s="65">
        <v>128</v>
      </c>
      <c r="G96" s="65">
        <v>126</v>
      </c>
      <c r="H96" s="65">
        <v>126</v>
      </c>
      <c r="I96" s="65">
        <v>126</v>
      </c>
      <c r="J96" s="65">
        <v>124.7</v>
      </c>
      <c r="K96" s="65">
        <v>124.7</v>
      </c>
      <c r="L96" s="65">
        <v>127</v>
      </c>
      <c r="M96" s="65">
        <v>128.9</v>
      </c>
      <c r="N96" s="65">
        <v>129.1</v>
      </c>
      <c r="O96" s="65">
        <v>127</v>
      </c>
      <c r="P96" s="65">
        <v>123.3</v>
      </c>
      <c r="Q96" s="65">
        <v>123.6</v>
      </c>
      <c r="R96" s="65">
        <v>124.1</v>
      </c>
      <c r="S96" s="65">
        <v>121.3</v>
      </c>
      <c r="T96" s="65">
        <v>125</v>
      </c>
      <c r="U96" s="65">
        <v>124.9</v>
      </c>
      <c r="V96" s="65">
        <v>128.4</v>
      </c>
      <c r="W96" s="65">
        <v>132.5</v>
      </c>
      <c r="X96" s="65">
        <v>129.1</v>
      </c>
      <c r="Y96" s="65">
        <v>129</v>
      </c>
      <c r="Z96" s="65">
        <v>129.9</v>
      </c>
      <c r="AA96" s="65">
        <v>130</v>
      </c>
      <c r="AB96" s="65">
        <v>130.6</v>
      </c>
      <c r="AC96" s="65">
        <v>128.9</v>
      </c>
      <c r="AD96" s="65">
        <v>128.5</v>
      </c>
      <c r="AE96" s="65">
        <v>128.5</v>
      </c>
      <c r="AF96" s="65">
        <v>126.7</v>
      </c>
      <c r="AG96" s="104"/>
      <c r="AH96" s="47">
        <f t="shared" si="8"/>
        <v>132.5</v>
      </c>
      <c r="AI96" s="48">
        <f t="shared" si="9"/>
        <v>121.3</v>
      </c>
    </row>
    <row r="97" spans="1:35" x14ac:dyDescent="0.25">
      <c r="A97" s="103" t="s">
        <v>105</v>
      </c>
      <c r="B97" s="65">
        <v>133.5</v>
      </c>
      <c r="C97" s="65">
        <v>133.5</v>
      </c>
      <c r="D97" s="65">
        <v>133.5</v>
      </c>
      <c r="E97" s="65">
        <v>131.6</v>
      </c>
      <c r="F97" s="65">
        <v>131.9</v>
      </c>
      <c r="G97" s="65">
        <v>130.5</v>
      </c>
      <c r="H97" s="65">
        <v>130.5</v>
      </c>
      <c r="I97" s="65">
        <v>130.5</v>
      </c>
      <c r="J97" s="65">
        <v>128</v>
      </c>
      <c r="K97" s="65">
        <v>128</v>
      </c>
      <c r="L97" s="65">
        <v>129</v>
      </c>
      <c r="M97" s="65">
        <v>130</v>
      </c>
      <c r="N97" s="65">
        <v>130.5</v>
      </c>
      <c r="O97" s="65">
        <v>128.5</v>
      </c>
      <c r="P97" s="65">
        <v>125.8</v>
      </c>
      <c r="Q97" s="65">
        <v>126.7</v>
      </c>
      <c r="R97" s="65">
        <v>127.5</v>
      </c>
      <c r="S97" s="65">
        <v>126.3</v>
      </c>
      <c r="T97" s="65">
        <v>128.6</v>
      </c>
      <c r="U97" s="65">
        <v>127.7</v>
      </c>
      <c r="V97" s="65">
        <v>130.4</v>
      </c>
      <c r="W97" s="65">
        <v>133.1</v>
      </c>
      <c r="X97" s="65">
        <v>130.1</v>
      </c>
      <c r="Y97" s="65">
        <v>129.9</v>
      </c>
      <c r="Z97" s="65">
        <v>130.6</v>
      </c>
      <c r="AA97" s="65">
        <v>130.9</v>
      </c>
      <c r="AB97" s="65">
        <v>131.6</v>
      </c>
      <c r="AC97" s="65">
        <v>130.1</v>
      </c>
      <c r="AD97" s="65">
        <v>130.4</v>
      </c>
      <c r="AE97" s="65">
        <v>130.4</v>
      </c>
      <c r="AF97" s="65">
        <v>131.1</v>
      </c>
      <c r="AG97" s="104"/>
      <c r="AH97" s="47">
        <f t="shared" si="8"/>
        <v>133.5</v>
      </c>
      <c r="AI97" s="48">
        <f t="shared" si="9"/>
        <v>125.8</v>
      </c>
    </row>
    <row r="98" spans="1:35" x14ac:dyDescent="0.25">
      <c r="A98" s="103" t="s">
        <v>106</v>
      </c>
      <c r="B98" s="65">
        <v>128.80000000000001</v>
      </c>
      <c r="C98" s="65">
        <v>128.80000000000001</v>
      </c>
      <c r="D98" s="65">
        <v>128.80000000000001</v>
      </c>
      <c r="E98" s="65">
        <v>130</v>
      </c>
      <c r="F98" s="65">
        <v>130</v>
      </c>
      <c r="G98" s="65">
        <v>128.69999999999999</v>
      </c>
      <c r="H98" s="65">
        <v>128.69999999999999</v>
      </c>
      <c r="I98" s="65">
        <v>128.69999999999999</v>
      </c>
      <c r="J98" s="65">
        <v>128</v>
      </c>
      <c r="K98" s="65">
        <v>128</v>
      </c>
      <c r="L98" s="65">
        <v>127</v>
      </c>
      <c r="M98" s="65">
        <v>126.8</v>
      </c>
      <c r="N98" s="65">
        <v>130.19999999999999</v>
      </c>
      <c r="O98" s="65">
        <v>129.4</v>
      </c>
      <c r="P98" s="65">
        <v>128.9</v>
      </c>
      <c r="Q98" s="65">
        <v>131.69999999999999</v>
      </c>
      <c r="R98" s="65">
        <v>129.9</v>
      </c>
      <c r="S98" s="65">
        <v>128.19999999999999</v>
      </c>
      <c r="T98" s="65">
        <v>128.19999999999999</v>
      </c>
      <c r="U98" s="65">
        <v>127.8</v>
      </c>
      <c r="V98" s="65">
        <v>128.30000000000001</v>
      </c>
      <c r="W98" s="65">
        <v>131.1</v>
      </c>
      <c r="X98" s="65">
        <v>129.4</v>
      </c>
      <c r="Y98" s="65">
        <v>130.1</v>
      </c>
      <c r="Z98" s="65">
        <v>131.6</v>
      </c>
      <c r="AA98" s="65">
        <v>131.30000000000001</v>
      </c>
      <c r="AB98" s="65">
        <v>129.80000000000001</v>
      </c>
      <c r="AC98" s="65">
        <v>130.1</v>
      </c>
      <c r="AD98" s="65">
        <v>128.9</v>
      </c>
      <c r="AE98" s="65">
        <v>128.9</v>
      </c>
      <c r="AF98" s="65">
        <v>129.30000000000001</v>
      </c>
      <c r="AG98" s="104"/>
      <c r="AH98" s="47">
        <f t="shared" si="8"/>
        <v>131.69999999999999</v>
      </c>
      <c r="AI98" s="48">
        <f t="shared" si="9"/>
        <v>126.8</v>
      </c>
    </row>
    <row r="99" spans="1:35" x14ac:dyDescent="0.25">
      <c r="A99" s="105" t="s">
        <v>107</v>
      </c>
      <c r="B99" s="65">
        <v>132.6</v>
      </c>
      <c r="C99" s="65">
        <v>132.6</v>
      </c>
      <c r="D99" s="65">
        <v>132.6</v>
      </c>
      <c r="E99" s="65">
        <v>133.69999999999999</v>
      </c>
      <c r="F99" s="65">
        <v>133</v>
      </c>
      <c r="G99" s="65">
        <v>132</v>
      </c>
      <c r="H99" s="65">
        <v>132</v>
      </c>
      <c r="I99" s="65">
        <v>132</v>
      </c>
      <c r="J99" s="65">
        <v>130</v>
      </c>
      <c r="K99" s="65">
        <v>130</v>
      </c>
      <c r="L99" s="65">
        <v>130.69999999999999</v>
      </c>
      <c r="M99" s="65">
        <v>129</v>
      </c>
      <c r="N99" s="65">
        <v>132.69999999999999</v>
      </c>
      <c r="O99" s="65">
        <v>130.5</v>
      </c>
      <c r="P99" s="65">
        <v>130</v>
      </c>
      <c r="Q99" s="65">
        <v>132.6</v>
      </c>
      <c r="R99" s="65">
        <v>131.4</v>
      </c>
      <c r="S99" s="65">
        <v>131</v>
      </c>
      <c r="T99" s="65">
        <v>129.1</v>
      </c>
      <c r="U99" s="65">
        <v>129.69999999999999</v>
      </c>
      <c r="V99" s="65">
        <v>134.80000000000001</v>
      </c>
      <c r="W99" s="65">
        <v>131.5</v>
      </c>
      <c r="X99" s="65">
        <v>131.4</v>
      </c>
      <c r="Y99" s="65">
        <v>131</v>
      </c>
      <c r="Z99" s="65">
        <v>132.80000000000001</v>
      </c>
      <c r="AA99" s="65">
        <v>133.1</v>
      </c>
      <c r="AB99" s="65">
        <v>133</v>
      </c>
      <c r="AC99" s="65">
        <v>133</v>
      </c>
      <c r="AD99" s="65">
        <v>131.80000000000001</v>
      </c>
      <c r="AE99" s="65">
        <v>131.80000000000001</v>
      </c>
      <c r="AF99" s="65">
        <v>133.1</v>
      </c>
      <c r="AG99" s="104"/>
      <c r="AH99" s="47">
        <f t="shared" si="8"/>
        <v>134.80000000000001</v>
      </c>
      <c r="AI99" s="48">
        <f t="shared" si="9"/>
        <v>129</v>
      </c>
    </row>
    <row r="100" spans="1:35" x14ac:dyDescent="0.25">
      <c r="A100" s="105" t="s">
        <v>108</v>
      </c>
      <c r="B100" s="106">
        <v>134.6</v>
      </c>
      <c r="C100" s="106">
        <v>134.6</v>
      </c>
      <c r="D100" s="106">
        <v>134.6</v>
      </c>
      <c r="E100" s="106">
        <v>131.74</v>
      </c>
      <c r="F100" s="106">
        <v>132</v>
      </c>
      <c r="G100" s="106">
        <v>130.9</v>
      </c>
      <c r="H100" s="106">
        <v>130.9</v>
      </c>
      <c r="I100" s="106">
        <v>130.9</v>
      </c>
      <c r="J100" s="106">
        <v>134</v>
      </c>
      <c r="K100" s="106">
        <v>134</v>
      </c>
      <c r="L100" s="106">
        <v>132.6</v>
      </c>
      <c r="M100" s="106">
        <v>132.9</v>
      </c>
      <c r="N100" s="106">
        <v>132.69999999999999</v>
      </c>
      <c r="O100" s="106">
        <v>131.69999999999999</v>
      </c>
      <c r="P100" s="106">
        <v>131.6</v>
      </c>
      <c r="Q100" s="106">
        <v>134.30000000000001</v>
      </c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7"/>
      <c r="AH100" s="47">
        <f t="shared" si="8"/>
        <v>134.6</v>
      </c>
      <c r="AI100" s="48">
        <f t="shared" si="9"/>
        <v>130.9</v>
      </c>
    </row>
    <row r="101" spans="1:35" x14ac:dyDescent="0.25">
      <c r="A101" s="103" t="s">
        <v>109</v>
      </c>
      <c r="B101" s="65">
        <v>134.6</v>
      </c>
      <c r="C101" s="65">
        <v>134.6</v>
      </c>
      <c r="D101" s="65">
        <v>134.6</v>
      </c>
      <c r="E101" s="65">
        <v>130.74</v>
      </c>
      <c r="F101" s="65">
        <v>132</v>
      </c>
      <c r="G101" s="65">
        <v>126</v>
      </c>
      <c r="H101" s="65">
        <v>126</v>
      </c>
      <c r="I101" s="65">
        <v>126</v>
      </c>
      <c r="J101" s="65">
        <v>130</v>
      </c>
      <c r="K101" s="65">
        <v>130</v>
      </c>
      <c r="L101" s="65">
        <v>126.8</v>
      </c>
      <c r="M101" s="65">
        <v>129.9</v>
      </c>
      <c r="N101" s="65">
        <v>129.9</v>
      </c>
      <c r="O101" s="65">
        <v>130</v>
      </c>
      <c r="P101" s="65">
        <v>128.19999999999999</v>
      </c>
      <c r="Q101" s="65">
        <v>126.7</v>
      </c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104"/>
      <c r="AH101" s="47">
        <f t="shared" si="8"/>
        <v>134.6</v>
      </c>
      <c r="AI101" s="48">
        <f t="shared" si="9"/>
        <v>126</v>
      </c>
    </row>
    <row r="102" spans="1:35" ht="15.75" thickBot="1" x14ac:dyDescent="0.3">
      <c r="A102" s="103" t="s">
        <v>110</v>
      </c>
      <c r="B102" s="92">
        <v>67.099999999999994</v>
      </c>
      <c r="C102" s="92">
        <v>67.099999999999994</v>
      </c>
      <c r="D102" s="92">
        <v>67.099999999999994</v>
      </c>
      <c r="E102" s="92">
        <v>66.3</v>
      </c>
      <c r="F102" s="92">
        <v>66.7</v>
      </c>
      <c r="G102" s="92">
        <v>65.7</v>
      </c>
      <c r="H102" s="92">
        <v>65.7</v>
      </c>
      <c r="I102" s="92">
        <v>65.7</v>
      </c>
      <c r="J102" s="92">
        <v>64.5</v>
      </c>
      <c r="K102" s="92">
        <v>64.5</v>
      </c>
      <c r="L102" s="92">
        <v>64.2</v>
      </c>
      <c r="M102" s="92">
        <v>64.8</v>
      </c>
      <c r="N102" s="92">
        <v>65.3</v>
      </c>
      <c r="O102" s="92">
        <v>64</v>
      </c>
      <c r="P102" s="92">
        <v>62.7</v>
      </c>
      <c r="Q102" s="92">
        <v>63.8</v>
      </c>
      <c r="R102" s="92">
        <v>63.7</v>
      </c>
      <c r="S102" s="92">
        <v>63</v>
      </c>
      <c r="T102" s="92">
        <v>64.5</v>
      </c>
      <c r="U102" s="92">
        <v>64.099999999999994</v>
      </c>
      <c r="V102" s="92">
        <v>65.5</v>
      </c>
      <c r="W102" s="92">
        <v>66.8</v>
      </c>
      <c r="X102" s="92">
        <v>65.400000000000006</v>
      </c>
      <c r="Y102" s="92">
        <v>64.900000000000006</v>
      </c>
      <c r="Z102" s="92">
        <v>65.3</v>
      </c>
      <c r="AA102" s="92">
        <v>65.5</v>
      </c>
      <c r="AB102" s="92">
        <v>65.900000000000006</v>
      </c>
      <c r="AC102" s="92">
        <v>65.900000000000006</v>
      </c>
      <c r="AD102" s="92">
        <v>65.400000000000006</v>
      </c>
      <c r="AE102" s="92">
        <v>65.400000000000006</v>
      </c>
      <c r="AF102" s="92">
        <v>65.8</v>
      </c>
      <c r="AG102" s="108"/>
      <c r="AH102" s="47">
        <f t="shared" si="8"/>
        <v>67.099999999999994</v>
      </c>
      <c r="AI102" s="48">
        <f t="shared" si="9"/>
        <v>62.7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8"/>
        <v>0</v>
      </c>
      <c r="AI103" s="48">
        <f t="shared" si="9"/>
        <v>0</v>
      </c>
    </row>
    <row r="104" spans="1:35" ht="15.75" thickBot="1" x14ac:dyDescent="0.3">
      <c r="A104" s="110" t="s">
        <v>112</v>
      </c>
      <c r="B104" s="111">
        <f t="shared" ref="B104:AF104" si="15">SUM(B16,B22,B25:B26,B52,B54:B55,B57,B59,B105:B109,B131,B137,B143,B152,B154,B166,B173,B176:B177,B184,B186,B188,B192:B194,B196:B198,B203,B209:B210,B212:B214,B222,B227)</f>
        <v>164.5</v>
      </c>
      <c r="C104" s="111">
        <f t="shared" si="15"/>
        <v>157.24</v>
      </c>
      <c r="D104" s="111">
        <f t="shared" si="15"/>
        <v>135.63999999999999</v>
      </c>
      <c r="E104" s="111">
        <f t="shared" si="15"/>
        <v>130.5</v>
      </c>
      <c r="F104" s="111">
        <f t="shared" si="15"/>
        <v>138.24</v>
      </c>
      <c r="G104" s="111">
        <f t="shared" si="15"/>
        <v>154.04</v>
      </c>
      <c r="H104" s="111">
        <f t="shared" si="15"/>
        <v>193.74</v>
      </c>
      <c r="I104" s="111">
        <f t="shared" si="15"/>
        <v>226.44</v>
      </c>
      <c r="J104" s="111">
        <f t="shared" si="15"/>
        <v>288.44</v>
      </c>
      <c r="K104" s="111">
        <f t="shared" si="15"/>
        <v>317.57</v>
      </c>
      <c r="L104" s="111">
        <f t="shared" si="15"/>
        <v>396.04</v>
      </c>
      <c r="M104" s="111">
        <f t="shared" si="15"/>
        <v>403.73999999999995</v>
      </c>
      <c r="N104" s="111">
        <f t="shared" si="15"/>
        <v>370.74</v>
      </c>
      <c r="O104" s="111">
        <f t="shared" si="15"/>
        <v>362.94</v>
      </c>
      <c r="P104" s="111">
        <v>42</v>
      </c>
      <c r="Q104" s="111">
        <f t="shared" si="15"/>
        <v>318.5</v>
      </c>
      <c r="R104" s="111">
        <f t="shared" si="15"/>
        <v>293.8</v>
      </c>
      <c r="S104" s="111">
        <f t="shared" si="15"/>
        <v>291.40000000000003</v>
      </c>
      <c r="T104" s="111">
        <f t="shared" si="15"/>
        <v>281</v>
      </c>
      <c r="U104" s="111">
        <f t="shared" si="15"/>
        <v>297.8</v>
      </c>
      <c r="V104" s="111">
        <f t="shared" si="15"/>
        <v>310.60000000000002</v>
      </c>
      <c r="W104" s="111">
        <f t="shared" si="15"/>
        <v>342.2</v>
      </c>
      <c r="X104" s="111">
        <f t="shared" si="15"/>
        <v>397.2</v>
      </c>
      <c r="Y104" s="111">
        <f t="shared" si="15"/>
        <v>415.7</v>
      </c>
      <c r="Z104" s="111">
        <f t="shared" si="15"/>
        <v>416.1</v>
      </c>
      <c r="AA104" s="111">
        <f t="shared" si="15"/>
        <v>373.1</v>
      </c>
      <c r="AB104" s="111">
        <f t="shared" si="15"/>
        <v>400.1</v>
      </c>
      <c r="AC104" s="111">
        <f t="shared" si="15"/>
        <v>401.2</v>
      </c>
      <c r="AD104" s="111">
        <f t="shared" si="15"/>
        <v>352.1</v>
      </c>
      <c r="AE104" s="111">
        <f t="shared" si="15"/>
        <v>233.9</v>
      </c>
      <c r="AF104" s="111">
        <f t="shared" si="15"/>
        <v>177.10000000000002</v>
      </c>
      <c r="AG104" s="112"/>
      <c r="AH104" s="47">
        <f t="shared" si="8"/>
        <v>416.1</v>
      </c>
      <c r="AI104" s="48">
        <f t="shared" si="9"/>
        <v>42</v>
      </c>
    </row>
    <row r="105" spans="1:35" x14ac:dyDescent="0.25">
      <c r="A105" s="100" t="s">
        <v>113</v>
      </c>
      <c r="B105" s="113">
        <v>-3.9</v>
      </c>
      <c r="C105" s="113">
        <v>-5</v>
      </c>
      <c r="D105" s="113">
        <v>-6</v>
      </c>
      <c r="E105" s="113">
        <v>-11.2</v>
      </c>
      <c r="F105" s="113">
        <v>-12</v>
      </c>
      <c r="G105" s="113">
        <v>-8.6999999999999993</v>
      </c>
      <c r="H105" s="113">
        <v>3.9</v>
      </c>
      <c r="I105" s="113">
        <v>12.7</v>
      </c>
      <c r="J105" s="113">
        <v>31.1</v>
      </c>
      <c r="K105" s="113">
        <v>27</v>
      </c>
      <c r="L105" s="113">
        <v>25.3</v>
      </c>
      <c r="M105" s="113">
        <v>25.1</v>
      </c>
      <c r="N105" s="113">
        <v>30.8</v>
      </c>
      <c r="O105" s="113">
        <v>24.5</v>
      </c>
      <c r="P105" s="113">
        <v>25</v>
      </c>
      <c r="Q105" s="113">
        <v>33</v>
      </c>
      <c r="R105" s="113">
        <v>44.8</v>
      </c>
      <c r="S105" s="113">
        <v>45.2</v>
      </c>
      <c r="T105" s="113">
        <v>29.2</v>
      </c>
      <c r="U105" s="113">
        <v>24.6</v>
      </c>
      <c r="V105" s="113">
        <v>19.100000000000001</v>
      </c>
      <c r="W105" s="113">
        <v>36</v>
      </c>
      <c r="X105" s="113">
        <v>37.6</v>
      </c>
      <c r="Y105" s="113">
        <v>33.299999999999997</v>
      </c>
      <c r="Z105" s="113">
        <v>37.1</v>
      </c>
      <c r="AA105" s="113">
        <v>28.1</v>
      </c>
      <c r="AB105" s="113">
        <v>31.5</v>
      </c>
      <c r="AC105" s="113">
        <v>28.4</v>
      </c>
      <c r="AD105" s="113">
        <v>16.600000000000001</v>
      </c>
      <c r="AE105" s="113">
        <v>11.3</v>
      </c>
      <c r="AF105" s="113">
        <v>0</v>
      </c>
      <c r="AG105" s="114">
        <v>75</v>
      </c>
      <c r="AH105" s="47">
        <f t="shared" si="8"/>
        <v>45.2</v>
      </c>
      <c r="AI105" s="48">
        <f t="shared" si="9"/>
        <v>-12</v>
      </c>
    </row>
    <row r="106" spans="1:35" x14ac:dyDescent="0.25">
      <c r="A106" s="103" t="s">
        <v>114</v>
      </c>
      <c r="B106" s="115">
        <v>-6.2</v>
      </c>
      <c r="C106" s="115">
        <v>-7.5</v>
      </c>
      <c r="D106" s="115">
        <v>-9.1</v>
      </c>
      <c r="E106" s="115">
        <v>-13.74</v>
      </c>
      <c r="F106" s="115">
        <v>-14.2</v>
      </c>
      <c r="G106" s="115">
        <v>-13.3</v>
      </c>
      <c r="H106" s="115">
        <v>4.9000000000000004</v>
      </c>
      <c r="I106" s="115">
        <v>15</v>
      </c>
      <c r="J106" s="115">
        <v>41</v>
      </c>
      <c r="K106" s="115">
        <v>30</v>
      </c>
      <c r="L106" s="115">
        <v>27.4</v>
      </c>
      <c r="M106" s="115">
        <v>28.6</v>
      </c>
      <c r="N106" s="115">
        <v>37.9</v>
      </c>
      <c r="O106" s="115">
        <v>30.6</v>
      </c>
      <c r="P106" s="115">
        <v>31.7</v>
      </c>
      <c r="Q106" s="115">
        <v>46.5</v>
      </c>
      <c r="R106" s="115">
        <v>65</v>
      </c>
      <c r="S106" s="115">
        <v>65.900000000000006</v>
      </c>
      <c r="T106" s="115">
        <v>41.1</v>
      </c>
      <c r="U106" s="115">
        <v>33.6</v>
      </c>
      <c r="V106" s="115">
        <v>24.9</v>
      </c>
      <c r="W106" s="115">
        <v>44.1</v>
      </c>
      <c r="X106" s="115">
        <v>44.5</v>
      </c>
      <c r="Y106" s="115">
        <v>38.4</v>
      </c>
      <c r="Z106" s="115">
        <v>44.2</v>
      </c>
      <c r="AA106" s="115">
        <v>31</v>
      </c>
      <c r="AB106" s="115">
        <v>36.299999999999997</v>
      </c>
      <c r="AC106" s="115">
        <v>31.7</v>
      </c>
      <c r="AD106" s="115">
        <v>18.7</v>
      </c>
      <c r="AE106" s="115">
        <v>13.3</v>
      </c>
      <c r="AF106" s="115">
        <v>0</v>
      </c>
      <c r="AG106" s="114">
        <v>240</v>
      </c>
      <c r="AH106" s="47">
        <f t="shared" si="8"/>
        <v>65.900000000000006</v>
      </c>
      <c r="AI106" s="48">
        <f t="shared" si="9"/>
        <v>-14.2</v>
      </c>
    </row>
    <row r="107" spans="1:35" x14ac:dyDescent="0.25">
      <c r="A107" s="103" t="s">
        <v>115</v>
      </c>
      <c r="B107" s="115">
        <v>-26</v>
      </c>
      <c r="C107" s="115">
        <v>-32</v>
      </c>
      <c r="D107" s="115">
        <v>-48</v>
      </c>
      <c r="E107" s="115">
        <v>-44</v>
      </c>
      <c r="F107" s="115">
        <v>-34</v>
      </c>
      <c r="G107" s="115">
        <v>-30.7</v>
      </c>
      <c r="H107" s="115">
        <v>-30</v>
      </c>
      <c r="I107" s="115">
        <v>-22.5</v>
      </c>
      <c r="J107" s="115">
        <v>-12.8</v>
      </c>
      <c r="K107" s="115">
        <v>20</v>
      </c>
      <c r="L107" s="115">
        <v>70</v>
      </c>
      <c r="M107" s="115">
        <v>62.9</v>
      </c>
      <c r="N107" s="115">
        <v>42.2</v>
      </c>
      <c r="O107" s="115">
        <v>61</v>
      </c>
      <c r="P107" s="115">
        <v>28.2</v>
      </c>
      <c r="Q107" s="115">
        <v>-1.9</v>
      </c>
      <c r="R107" s="115">
        <v>-43</v>
      </c>
      <c r="S107" s="115">
        <f>-23.1-24.5</f>
        <v>-47.6</v>
      </c>
      <c r="T107" s="115">
        <f>-13.8-6.9</f>
        <v>-20.700000000000003</v>
      </c>
      <c r="U107" s="115">
        <f>-10.4-2.2</f>
        <v>-12.600000000000001</v>
      </c>
      <c r="V107" s="115">
        <f>-8+12</f>
        <v>4</v>
      </c>
      <c r="W107" s="115">
        <f>4.2+25</f>
        <v>29.2</v>
      </c>
      <c r="X107" s="115">
        <f>16.3+36.2</f>
        <v>52.5</v>
      </c>
      <c r="Y107" s="115">
        <f>14.3+43.5</f>
        <v>57.8</v>
      </c>
      <c r="Z107" s="115">
        <f>12.3+39.2</f>
        <v>51.5</v>
      </c>
      <c r="AA107" s="115">
        <v>31.3</v>
      </c>
      <c r="AB107" s="115">
        <v>65</v>
      </c>
      <c r="AC107" s="115">
        <f>27+23</f>
        <v>50</v>
      </c>
      <c r="AD107" s="115">
        <v>33.5</v>
      </c>
      <c r="AE107" s="115">
        <v>-30</v>
      </c>
      <c r="AF107" s="115">
        <v>-37</v>
      </c>
      <c r="AG107" s="114">
        <v>240</v>
      </c>
      <c r="AH107" s="47">
        <f t="shared" si="8"/>
        <v>70</v>
      </c>
      <c r="AI107" s="48">
        <f t="shared" si="9"/>
        <v>-48</v>
      </c>
    </row>
    <row r="108" spans="1:35" x14ac:dyDescent="0.25">
      <c r="A108" s="103" t="s">
        <v>116</v>
      </c>
      <c r="B108" s="115">
        <v>1.2</v>
      </c>
      <c r="C108" s="115">
        <v>-2</v>
      </c>
      <c r="D108" s="115">
        <v>-4.5999999999999996</v>
      </c>
      <c r="E108" s="115">
        <v>-6.1</v>
      </c>
      <c r="F108" s="115">
        <v>-5.7</v>
      </c>
      <c r="G108" s="115">
        <v>-6.3</v>
      </c>
      <c r="H108" s="115">
        <v>-1.4</v>
      </c>
      <c r="I108" s="115">
        <v>2</v>
      </c>
      <c r="J108" s="115">
        <v>4.8</v>
      </c>
      <c r="K108" s="115">
        <v>15</v>
      </c>
      <c r="L108" s="115">
        <v>34.700000000000003</v>
      </c>
      <c r="M108" s="115">
        <v>51.6</v>
      </c>
      <c r="N108" s="115">
        <v>27.5</v>
      </c>
      <c r="O108" s="115">
        <v>24.4</v>
      </c>
      <c r="P108" s="115">
        <v>17.100000000000001</v>
      </c>
      <c r="Q108" s="115">
        <v>9.4</v>
      </c>
      <c r="R108" s="115">
        <v>9.1999999999999993</v>
      </c>
      <c r="S108" s="115">
        <v>9.1</v>
      </c>
      <c r="T108" s="115">
        <v>16.3</v>
      </c>
      <c r="U108" s="115">
        <v>24.1</v>
      </c>
      <c r="V108" s="115">
        <v>42.3</v>
      </c>
      <c r="W108" s="115">
        <v>50.1</v>
      </c>
      <c r="X108" s="115">
        <v>53.6</v>
      </c>
      <c r="Y108" s="115">
        <v>64.099999999999994</v>
      </c>
      <c r="Z108" s="115">
        <v>64</v>
      </c>
      <c r="AA108" s="115">
        <f>20.3+47</f>
        <v>67.3</v>
      </c>
      <c r="AB108" s="115">
        <v>59.5</v>
      </c>
      <c r="AC108" s="115">
        <v>60.8</v>
      </c>
      <c r="AD108" s="115">
        <v>56</v>
      </c>
      <c r="AE108" s="115">
        <v>15</v>
      </c>
      <c r="AF108" s="115">
        <v>-1.6</v>
      </c>
      <c r="AG108" s="114">
        <v>60</v>
      </c>
      <c r="AH108" s="47">
        <f t="shared" si="8"/>
        <v>67.3</v>
      </c>
      <c r="AI108" s="48">
        <f t="shared" si="9"/>
        <v>-6.3</v>
      </c>
    </row>
    <row r="109" spans="1:35" x14ac:dyDescent="0.25">
      <c r="A109" s="116" t="s">
        <v>117</v>
      </c>
      <c r="B109" s="117">
        <v>79.599999999999994</v>
      </c>
      <c r="C109" s="117">
        <v>83</v>
      </c>
      <c r="D109" s="117">
        <v>82.6</v>
      </c>
      <c r="E109" s="117">
        <v>84.8</v>
      </c>
      <c r="F109" s="117">
        <v>83.4</v>
      </c>
      <c r="G109" s="117">
        <v>95.3</v>
      </c>
      <c r="H109" s="117">
        <v>100.5</v>
      </c>
      <c r="I109" s="117">
        <v>103.4</v>
      </c>
      <c r="J109" s="117">
        <v>108.5</v>
      </c>
      <c r="K109" s="117">
        <v>110</v>
      </c>
      <c r="L109" s="117">
        <v>122.6</v>
      </c>
      <c r="M109" s="117">
        <v>118.6</v>
      </c>
      <c r="N109" s="117">
        <v>113.7</v>
      </c>
      <c r="O109" s="117">
        <v>102.2</v>
      </c>
      <c r="P109" s="117">
        <v>116.6</v>
      </c>
      <c r="Q109" s="117">
        <v>114.4</v>
      </c>
      <c r="R109" s="117">
        <v>100.7</v>
      </c>
      <c r="S109" s="117">
        <v>101.7</v>
      </c>
      <c r="T109" s="117">
        <v>98</v>
      </c>
      <c r="U109" s="117">
        <v>111</v>
      </c>
      <c r="V109" s="117">
        <v>103.2</v>
      </c>
      <c r="W109" s="117">
        <v>67.5</v>
      </c>
      <c r="X109" s="117">
        <v>93.7</v>
      </c>
      <c r="Y109" s="117">
        <v>106.8</v>
      </c>
      <c r="Z109" s="117">
        <v>104</v>
      </c>
      <c r="AA109" s="117">
        <v>100.1</v>
      </c>
      <c r="AB109" s="117">
        <v>92.5</v>
      </c>
      <c r="AC109" s="117">
        <v>115</v>
      </c>
      <c r="AD109" s="117">
        <v>112</v>
      </c>
      <c r="AE109" s="117">
        <v>109</v>
      </c>
      <c r="AF109" s="117">
        <v>100.4</v>
      </c>
      <c r="AG109" s="118">
        <v>120</v>
      </c>
      <c r="AH109" s="47">
        <f t="shared" si="8"/>
        <v>122.6</v>
      </c>
      <c r="AI109" s="48">
        <f t="shared" si="9"/>
        <v>67.5</v>
      </c>
    </row>
    <row r="110" spans="1:35" x14ac:dyDescent="0.25">
      <c r="A110" s="116" t="s">
        <v>118</v>
      </c>
      <c r="B110" s="117">
        <v>77.400000000000006</v>
      </c>
      <c r="C110" s="117">
        <v>86.5</v>
      </c>
      <c r="D110" s="117">
        <v>89.3</v>
      </c>
      <c r="E110" s="117">
        <v>88.6</v>
      </c>
      <c r="F110" s="117">
        <v>86.6</v>
      </c>
      <c r="G110" s="117">
        <v>94.8</v>
      </c>
      <c r="H110" s="117">
        <v>95.5</v>
      </c>
      <c r="I110" s="117">
        <v>96.7</v>
      </c>
      <c r="J110" s="117">
        <v>88.3</v>
      </c>
      <c r="K110" s="117">
        <v>95</v>
      </c>
      <c r="L110" s="117">
        <v>91.7</v>
      </c>
      <c r="M110" s="117">
        <v>64.900000000000006</v>
      </c>
      <c r="N110" s="117">
        <v>57.9</v>
      </c>
      <c r="O110" s="117">
        <v>76.7</v>
      </c>
      <c r="P110" s="117">
        <v>87.7</v>
      </c>
      <c r="Q110" s="117">
        <v>99</v>
      </c>
      <c r="R110" s="117">
        <v>101</v>
      </c>
      <c r="S110" s="117">
        <v>101.5</v>
      </c>
      <c r="T110" s="117">
        <v>90.8</v>
      </c>
      <c r="U110" s="117">
        <v>96.1</v>
      </c>
      <c r="V110" s="117">
        <v>76.099999999999994</v>
      </c>
      <c r="W110" s="117">
        <v>48</v>
      </c>
      <c r="X110" s="117">
        <v>73.400000000000006</v>
      </c>
      <c r="Y110" s="117">
        <v>75.7</v>
      </c>
      <c r="Z110" s="117">
        <v>70</v>
      </c>
      <c r="AA110" s="117">
        <v>85.1</v>
      </c>
      <c r="AB110" s="117">
        <v>75.8</v>
      </c>
      <c r="AC110" s="117">
        <v>75.8</v>
      </c>
      <c r="AD110" s="117">
        <v>84.7</v>
      </c>
      <c r="AE110" s="117">
        <v>96</v>
      </c>
      <c r="AF110" s="117">
        <v>100</v>
      </c>
      <c r="AG110" s="118"/>
      <c r="AH110" s="47">
        <f t="shared" si="8"/>
        <v>101.5</v>
      </c>
      <c r="AI110" s="48">
        <f t="shared" si="9"/>
        <v>48</v>
      </c>
    </row>
    <row r="111" spans="1:35" x14ac:dyDescent="0.25">
      <c r="A111" s="116" t="s">
        <v>119</v>
      </c>
      <c r="B111" s="117">
        <v>40.4</v>
      </c>
      <c r="C111" s="117">
        <v>40</v>
      </c>
      <c r="D111" s="117">
        <v>39.700000000000003</v>
      </c>
      <c r="E111" s="117">
        <v>34</v>
      </c>
      <c r="F111" s="117">
        <v>36.5</v>
      </c>
      <c r="G111" s="117">
        <v>36</v>
      </c>
      <c r="H111" s="117">
        <v>38.299999999999997</v>
      </c>
      <c r="I111" s="117">
        <v>27</v>
      </c>
      <c r="J111" s="117">
        <v>20.5</v>
      </c>
      <c r="K111" s="117">
        <v>21</v>
      </c>
      <c r="L111" s="117">
        <v>22.2</v>
      </c>
      <c r="M111" s="117">
        <v>16.3</v>
      </c>
      <c r="N111" s="117">
        <v>12.7</v>
      </c>
      <c r="O111" s="117">
        <v>12.1</v>
      </c>
      <c r="P111" s="117">
        <v>6.9</v>
      </c>
      <c r="Q111" s="117">
        <v>-2.8</v>
      </c>
      <c r="R111" s="117">
        <v>4.2</v>
      </c>
      <c r="S111" s="117">
        <v>5.9</v>
      </c>
      <c r="T111" s="117">
        <v>4.5</v>
      </c>
      <c r="U111" s="117">
        <v>15.2</v>
      </c>
      <c r="V111" s="117">
        <v>13.4</v>
      </c>
      <c r="W111" s="117">
        <v>7.9</v>
      </c>
      <c r="X111" s="117">
        <v>9.5</v>
      </c>
      <c r="Y111" s="117">
        <v>11</v>
      </c>
      <c r="Z111" s="117">
        <v>9.4</v>
      </c>
      <c r="AA111" s="117">
        <v>23.7</v>
      </c>
      <c r="AB111" s="117">
        <v>18.8</v>
      </c>
      <c r="AC111" s="117">
        <v>22.8</v>
      </c>
      <c r="AD111" s="117">
        <v>30.3</v>
      </c>
      <c r="AE111" s="117">
        <v>30.3</v>
      </c>
      <c r="AF111" s="117">
        <v>32.299999999999997</v>
      </c>
      <c r="AG111" s="119"/>
      <c r="AH111" s="47">
        <f t="shared" si="8"/>
        <v>40.4</v>
      </c>
      <c r="AI111" s="48">
        <f t="shared" si="9"/>
        <v>-2.8</v>
      </c>
    </row>
    <row r="112" spans="1:35" x14ac:dyDescent="0.25">
      <c r="A112" s="120" t="s">
        <v>120</v>
      </c>
      <c r="B112" s="106">
        <v>19.2</v>
      </c>
      <c r="C112" s="106">
        <v>24</v>
      </c>
      <c r="D112" s="106">
        <v>33.1</v>
      </c>
      <c r="E112" s="106">
        <v>33.4</v>
      </c>
      <c r="F112" s="106">
        <v>35.200000000000003</v>
      </c>
      <c r="G112" s="106">
        <v>33.6</v>
      </c>
      <c r="H112" s="106">
        <v>20.7</v>
      </c>
      <c r="I112" s="106">
        <v>10</v>
      </c>
      <c r="J112" s="106">
        <v>-4.9000000000000004</v>
      </c>
      <c r="K112" s="106">
        <v>-10</v>
      </c>
      <c r="L112" s="106">
        <v>-37.5</v>
      </c>
      <c r="M112" s="106">
        <v>-40.200000000000003</v>
      </c>
      <c r="N112" s="106">
        <v>-20.8</v>
      </c>
      <c r="O112" s="106">
        <v>-4</v>
      </c>
      <c r="P112" s="106">
        <v>-4.5999999999999996</v>
      </c>
      <c r="Q112" s="106">
        <v>-5.7</v>
      </c>
      <c r="R112" s="106">
        <v>1.1000000000000001</v>
      </c>
      <c r="S112" s="106">
        <v>-7.5</v>
      </c>
      <c r="T112" s="106">
        <v>7.3</v>
      </c>
      <c r="U112" s="106">
        <v>-18.2</v>
      </c>
      <c r="V112" s="106">
        <v>-32.299999999999997</v>
      </c>
      <c r="W112" s="106">
        <v>-46.1</v>
      </c>
      <c r="X112" s="106">
        <v>-63.7</v>
      </c>
      <c r="Y112" s="106">
        <v>-48.2</v>
      </c>
      <c r="Z112" s="106">
        <v>-43.3</v>
      </c>
      <c r="AA112" s="106">
        <v>-34.5</v>
      </c>
      <c r="AB112" s="106">
        <v>-21</v>
      </c>
      <c r="AC112" s="106">
        <v>-13</v>
      </c>
      <c r="AD112" s="106">
        <v>7.9</v>
      </c>
      <c r="AE112" s="106">
        <v>7.9</v>
      </c>
      <c r="AF112" s="106">
        <v>31.8</v>
      </c>
      <c r="AG112" s="119"/>
      <c r="AH112" s="47">
        <f t="shared" si="8"/>
        <v>35.200000000000003</v>
      </c>
      <c r="AI112" s="48">
        <f t="shared" si="9"/>
        <v>-63.7</v>
      </c>
    </row>
    <row r="113" spans="1:37" ht="15.75" thickBot="1" x14ac:dyDescent="0.3">
      <c r="A113" s="120" t="s">
        <v>121</v>
      </c>
      <c r="B113" s="106">
        <v>6.4</v>
      </c>
      <c r="C113" s="106">
        <v>4.9000000000000004</v>
      </c>
      <c r="D113" s="106">
        <v>21.6</v>
      </c>
      <c r="E113" s="106">
        <v>16.5</v>
      </c>
      <c r="F113" s="106">
        <v>5.8</v>
      </c>
      <c r="G113" s="106">
        <v>7</v>
      </c>
      <c r="H113" s="106">
        <v>12.5</v>
      </c>
      <c r="I113" s="106">
        <v>8.3000000000000007</v>
      </c>
      <c r="J113" s="106">
        <v>8.1</v>
      </c>
      <c r="K113" s="106">
        <v>-20</v>
      </c>
      <c r="L113" s="106">
        <v>-54.2</v>
      </c>
      <c r="M113" s="106">
        <v>-34.299999999999997</v>
      </c>
      <c r="N113" s="106">
        <v>-31</v>
      </c>
      <c r="O113" s="106">
        <v>-48.5</v>
      </c>
      <c r="P113" s="106">
        <v>-25.2</v>
      </c>
      <c r="Q113" s="106">
        <v>0</v>
      </c>
      <c r="R113" s="106">
        <v>8.5</v>
      </c>
      <c r="S113" s="106">
        <v>111.7</v>
      </c>
      <c r="T113" s="106">
        <v>18</v>
      </c>
      <c r="U113" s="106">
        <v>11.1</v>
      </c>
      <c r="V113" s="106">
        <v>-8.3000000000000007</v>
      </c>
      <c r="W113" s="106">
        <v>-19</v>
      </c>
      <c r="X113" s="106">
        <v>-38.4</v>
      </c>
      <c r="Y113" s="106">
        <v>-39.9</v>
      </c>
      <c r="Z113" s="106">
        <v>-36.200000000000003</v>
      </c>
      <c r="AA113" s="106">
        <v>-50.6</v>
      </c>
      <c r="AB113" s="106">
        <v>-44.6</v>
      </c>
      <c r="AC113" s="106">
        <v>-17.2</v>
      </c>
      <c r="AD113" s="106">
        <v>-4.5999999999999996</v>
      </c>
      <c r="AE113" s="106">
        <v>-4.5999999999999996</v>
      </c>
      <c r="AF113" s="106">
        <v>15.8</v>
      </c>
      <c r="AG113" s="119"/>
      <c r="AH113" s="47">
        <f t="shared" si="8"/>
        <v>111.7</v>
      </c>
      <c r="AI113" s="48">
        <f t="shared" si="9"/>
        <v>-54.2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6">SUM(B115:B219)</f>
        <v>0</v>
      </c>
      <c r="C220" s="136">
        <f t="shared" si="16"/>
        <v>0</v>
      </c>
      <c r="D220" s="136">
        <f t="shared" si="16"/>
        <v>0</v>
      </c>
      <c r="E220" s="136">
        <f t="shared" si="16"/>
        <v>0</v>
      </c>
      <c r="F220" s="136">
        <f t="shared" si="16"/>
        <v>0</v>
      </c>
      <c r="G220" s="136">
        <f t="shared" si="16"/>
        <v>0</v>
      </c>
      <c r="H220" s="136">
        <f t="shared" si="16"/>
        <v>0</v>
      </c>
      <c r="I220" s="136">
        <f t="shared" si="16"/>
        <v>0</v>
      </c>
      <c r="J220" s="136">
        <f t="shared" si="16"/>
        <v>0</v>
      </c>
      <c r="K220" s="136">
        <f t="shared" si="16"/>
        <v>0</v>
      </c>
      <c r="L220" s="136">
        <f t="shared" si="16"/>
        <v>0</v>
      </c>
      <c r="M220" s="136">
        <f t="shared" si="16"/>
        <v>0</v>
      </c>
      <c r="N220" s="136">
        <f t="shared" si="16"/>
        <v>0</v>
      </c>
      <c r="O220" s="136">
        <f t="shared" si="16"/>
        <v>0</v>
      </c>
      <c r="P220" s="136">
        <f t="shared" si="16"/>
        <v>0</v>
      </c>
      <c r="Q220" s="136">
        <f t="shared" si="16"/>
        <v>0</v>
      </c>
      <c r="R220" s="136">
        <f t="shared" si="16"/>
        <v>0</v>
      </c>
      <c r="S220" s="136">
        <f t="shared" si="16"/>
        <v>0</v>
      </c>
      <c r="T220" s="136">
        <f t="shared" si="16"/>
        <v>0</v>
      </c>
      <c r="U220" s="136">
        <f t="shared" si="16"/>
        <v>0</v>
      </c>
      <c r="V220" s="136">
        <f t="shared" si="16"/>
        <v>0</v>
      </c>
      <c r="W220" s="136">
        <f t="shared" si="16"/>
        <v>0</v>
      </c>
      <c r="X220" s="136">
        <f t="shared" si="16"/>
        <v>0</v>
      </c>
      <c r="Y220" s="136">
        <f t="shared" si="16"/>
        <v>0</v>
      </c>
      <c r="Z220" s="136">
        <f t="shared" si="16"/>
        <v>0</v>
      </c>
      <c r="AA220" s="136">
        <f t="shared" si="16"/>
        <v>0</v>
      </c>
      <c r="AB220" s="136">
        <f t="shared" si="16"/>
        <v>0</v>
      </c>
      <c r="AC220" s="136">
        <f t="shared" si="16"/>
        <v>0</v>
      </c>
      <c r="AD220" s="136">
        <f t="shared" si="16"/>
        <v>0</v>
      </c>
      <c r="AE220" s="136">
        <f t="shared" si="16"/>
        <v>0</v>
      </c>
      <c r="AF220" s="137">
        <f t="shared" si="16"/>
        <v>0</v>
      </c>
      <c r="AG220" s="138">
        <f t="shared" si="16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7">AF222</f>
        <v>0</v>
      </c>
      <c r="C222" s="140">
        <v>0.3</v>
      </c>
      <c r="D222" s="140">
        <f t="shared" ref="D222:P227" si="18">C222</f>
        <v>0.3</v>
      </c>
      <c r="E222" s="140">
        <f t="shared" si="18"/>
        <v>0.3</v>
      </c>
      <c r="F222" s="140">
        <f t="shared" si="18"/>
        <v>0.3</v>
      </c>
      <c r="G222" s="140">
        <f t="shared" si="18"/>
        <v>0.3</v>
      </c>
      <c r="H222" s="140">
        <f t="shared" si="18"/>
        <v>0.3</v>
      </c>
      <c r="I222" s="140">
        <f t="shared" si="18"/>
        <v>0.3</v>
      </c>
      <c r="J222" s="140">
        <f t="shared" si="18"/>
        <v>0.3</v>
      </c>
      <c r="K222" s="140">
        <f t="shared" si="18"/>
        <v>0.3</v>
      </c>
      <c r="L222" s="140">
        <f t="shared" si="18"/>
        <v>0.3</v>
      </c>
      <c r="M222" s="140">
        <f t="shared" si="18"/>
        <v>0.3</v>
      </c>
      <c r="N222" s="140">
        <f t="shared" si="18"/>
        <v>0.3</v>
      </c>
      <c r="O222" s="140">
        <f t="shared" si="18"/>
        <v>0.3</v>
      </c>
      <c r="P222" s="140">
        <f t="shared" si="18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7"/>
        <v>0</v>
      </c>
      <c r="C223" s="128">
        <v>0.4</v>
      </c>
      <c r="D223" s="128">
        <f t="shared" si="18"/>
        <v>0.4</v>
      </c>
      <c r="E223" s="128">
        <f t="shared" si="18"/>
        <v>0.4</v>
      </c>
      <c r="F223" s="128">
        <f t="shared" si="18"/>
        <v>0.4</v>
      </c>
      <c r="G223" s="128">
        <f t="shared" si="18"/>
        <v>0.4</v>
      </c>
      <c r="H223" s="128">
        <f t="shared" si="18"/>
        <v>0.4</v>
      </c>
      <c r="I223" s="128">
        <f t="shared" si="18"/>
        <v>0.4</v>
      </c>
      <c r="J223" s="128">
        <f t="shared" si="18"/>
        <v>0.4</v>
      </c>
      <c r="K223" s="128">
        <f t="shared" si="18"/>
        <v>0.4</v>
      </c>
      <c r="L223" s="128">
        <f t="shared" si="18"/>
        <v>0.4</v>
      </c>
      <c r="M223" s="128">
        <f t="shared" si="18"/>
        <v>0.4</v>
      </c>
      <c r="N223" s="128">
        <f t="shared" si="18"/>
        <v>0.4</v>
      </c>
      <c r="O223" s="128">
        <f t="shared" si="18"/>
        <v>0.4</v>
      </c>
      <c r="P223" s="128">
        <f t="shared" si="18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7"/>
        <v>0</v>
      </c>
      <c r="C224" s="128">
        <v>1.5</v>
      </c>
      <c r="D224" s="128">
        <f t="shared" si="18"/>
        <v>1.5</v>
      </c>
      <c r="E224" s="128">
        <f t="shared" si="18"/>
        <v>1.5</v>
      </c>
      <c r="F224" s="128">
        <f t="shared" si="18"/>
        <v>1.5</v>
      </c>
      <c r="G224" s="128">
        <f t="shared" si="18"/>
        <v>1.5</v>
      </c>
      <c r="H224" s="128">
        <f t="shared" si="18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18"/>
        <v>1.5</v>
      </c>
      <c r="K224" s="128">
        <f t="shared" ca="1" si="18"/>
        <v>1.5</v>
      </c>
      <c r="L224" s="128">
        <f t="shared" ca="1" si="18"/>
        <v>1.5</v>
      </c>
      <c r="M224" s="128">
        <f t="shared" ca="1" si="18"/>
        <v>1.5</v>
      </c>
      <c r="N224" s="128">
        <f t="shared" ca="1" si="18"/>
        <v>1.5</v>
      </c>
      <c r="O224" s="128">
        <f t="shared" ca="1" si="18"/>
        <v>1.5</v>
      </c>
      <c r="P224" s="128">
        <f t="shared" ca="1" si="18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7"/>
        <v>0</v>
      </c>
      <c r="C225" s="128">
        <v>0.3</v>
      </c>
      <c r="D225" s="128">
        <f t="shared" si="18"/>
        <v>0.3</v>
      </c>
      <c r="E225" s="128">
        <f t="shared" si="18"/>
        <v>0.3</v>
      </c>
      <c r="F225" s="128">
        <f t="shared" si="18"/>
        <v>0.3</v>
      </c>
      <c r="G225" s="128">
        <f t="shared" si="18"/>
        <v>0.3</v>
      </c>
      <c r="H225" s="128">
        <f t="shared" si="18"/>
        <v>0.3</v>
      </c>
      <c r="I225" s="128">
        <f t="shared" si="18"/>
        <v>0.3</v>
      </c>
      <c r="J225" s="128">
        <f t="shared" si="18"/>
        <v>0.3</v>
      </c>
      <c r="K225" s="128">
        <f t="shared" si="18"/>
        <v>0.3</v>
      </c>
      <c r="L225" s="128">
        <f t="shared" si="18"/>
        <v>0.3</v>
      </c>
      <c r="M225" s="128">
        <f t="shared" si="18"/>
        <v>0.3</v>
      </c>
      <c r="N225" s="128">
        <f t="shared" si="18"/>
        <v>0.3</v>
      </c>
      <c r="O225" s="128">
        <f t="shared" si="18"/>
        <v>0.3</v>
      </c>
      <c r="P225" s="128">
        <f t="shared" si="18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7"/>
        <v>0</v>
      </c>
      <c r="C226" s="128">
        <v>0.4</v>
      </c>
      <c r="D226" s="128">
        <f t="shared" si="18"/>
        <v>0.4</v>
      </c>
      <c r="E226" s="128">
        <f t="shared" si="18"/>
        <v>0.4</v>
      </c>
      <c r="F226" s="128">
        <f t="shared" si="18"/>
        <v>0.4</v>
      </c>
      <c r="G226" s="128">
        <f t="shared" si="18"/>
        <v>0.4</v>
      </c>
      <c r="H226" s="128">
        <f t="shared" si="18"/>
        <v>0.4</v>
      </c>
      <c r="I226" s="128">
        <f t="shared" si="18"/>
        <v>0.4</v>
      </c>
      <c r="J226" s="128">
        <f t="shared" si="18"/>
        <v>0.4</v>
      </c>
      <c r="K226" s="128">
        <f t="shared" si="18"/>
        <v>0.4</v>
      </c>
      <c r="L226" s="128">
        <f t="shared" si="18"/>
        <v>0.4</v>
      </c>
      <c r="M226" s="128">
        <f t="shared" si="18"/>
        <v>0.4</v>
      </c>
      <c r="N226" s="128">
        <f t="shared" si="18"/>
        <v>0.4</v>
      </c>
      <c r="O226" s="128">
        <f t="shared" si="18"/>
        <v>0.4</v>
      </c>
      <c r="P226" s="128">
        <f t="shared" si="18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7"/>
        <v>0</v>
      </c>
      <c r="C227" s="132">
        <v>0.64</v>
      </c>
      <c r="D227" s="132">
        <f t="shared" si="18"/>
        <v>0.64</v>
      </c>
      <c r="E227" s="132">
        <f t="shared" si="18"/>
        <v>0.64</v>
      </c>
      <c r="F227" s="132">
        <f t="shared" si="18"/>
        <v>0.64</v>
      </c>
      <c r="G227" s="132">
        <f t="shared" si="18"/>
        <v>0.64</v>
      </c>
      <c r="H227" s="132">
        <f t="shared" si="18"/>
        <v>0.64</v>
      </c>
      <c r="I227" s="132">
        <f t="shared" si="18"/>
        <v>0.64</v>
      </c>
      <c r="J227" s="132">
        <f t="shared" si="18"/>
        <v>0.64</v>
      </c>
      <c r="K227" s="132">
        <f t="shared" si="18"/>
        <v>0.64</v>
      </c>
      <c r="L227" s="132">
        <f t="shared" si="18"/>
        <v>0.64</v>
      </c>
      <c r="M227" s="132">
        <f t="shared" si="18"/>
        <v>0.64</v>
      </c>
      <c r="N227" s="132">
        <f t="shared" si="18"/>
        <v>0.64</v>
      </c>
      <c r="O227" s="132">
        <f t="shared" si="18"/>
        <v>0.64</v>
      </c>
      <c r="P227" s="132">
        <f t="shared" si="18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19">SUM(B222:B227)</f>
        <v>0</v>
      </c>
      <c r="C228" s="136">
        <f t="shared" si="19"/>
        <v>3.54</v>
      </c>
      <c r="D228" s="136">
        <f t="shared" si="19"/>
        <v>3.54</v>
      </c>
      <c r="E228" s="136">
        <f t="shared" si="19"/>
        <v>3.54</v>
      </c>
      <c r="F228" s="136">
        <f t="shared" si="19"/>
        <v>3.54</v>
      </c>
      <c r="G228" s="136">
        <f t="shared" si="19"/>
        <v>3.54</v>
      </c>
      <c r="H228" s="136">
        <f t="shared" si="19"/>
        <v>3.54</v>
      </c>
      <c r="I228" s="136">
        <f t="shared" ca="1" si="19"/>
        <v>3.54</v>
      </c>
      <c r="J228" s="136">
        <f t="shared" ca="1" si="19"/>
        <v>3.54</v>
      </c>
      <c r="K228" s="136">
        <f t="shared" ca="1" si="19"/>
        <v>3.54</v>
      </c>
      <c r="L228" s="136">
        <f t="shared" ca="1" si="19"/>
        <v>3.54</v>
      </c>
      <c r="M228" s="136">
        <f t="shared" ca="1" si="19"/>
        <v>3.54</v>
      </c>
      <c r="N228" s="136">
        <f t="shared" ca="1" si="19"/>
        <v>3.54</v>
      </c>
      <c r="O228" s="136">
        <f t="shared" ca="1" si="19"/>
        <v>3.54</v>
      </c>
      <c r="P228" s="136">
        <f t="shared" ca="1" si="19"/>
        <v>3.54</v>
      </c>
      <c r="Q228" s="136">
        <f t="shared" si="19"/>
        <v>0</v>
      </c>
      <c r="R228" s="136">
        <f t="shared" si="19"/>
        <v>0</v>
      </c>
      <c r="S228" s="136">
        <f t="shared" si="19"/>
        <v>0</v>
      </c>
      <c r="T228" s="136">
        <f t="shared" si="19"/>
        <v>0</v>
      </c>
      <c r="U228" s="136">
        <f t="shared" si="19"/>
        <v>0</v>
      </c>
      <c r="V228" s="136">
        <f t="shared" si="19"/>
        <v>0</v>
      </c>
      <c r="W228" s="136">
        <f t="shared" si="19"/>
        <v>0</v>
      </c>
      <c r="X228" s="136">
        <f t="shared" si="19"/>
        <v>0</v>
      </c>
      <c r="Y228" s="136">
        <f t="shared" si="19"/>
        <v>0</v>
      </c>
      <c r="Z228" s="136">
        <f t="shared" si="19"/>
        <v>0</v>
      </c>
      <c r="AA228" s="136">
        <f t="shared" si="19"/>
        <v>0</v>
      </c>
      <c r="AB228" s="136">
        <f t="shared" si="19"/>
        <v>0</v>
      </c>
      <c r="AC228" s="136">
        <f t="shared" si="19"/>
        <v>0</v>
      </c>
      <c r="AD228" s="136">
        <f t="shared" si="19"/>
        <v>0</v>
      </c>
      <c r="AE228" s="136">
        <f t="shared" si="19"/>
        <v>0</v>
      </c>
      <c r="AF228" s="136">
        <f t="shared" si="19"/>
        <v>0</v>
      </c>
      <c r="AG228" s="145">
        <f t="shared" si="19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1640.94</v>
      </c>
      <c r="C237" s="161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9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str">
        <f ca="1">"Pie Chart of Daily Peak Demand(Inclusive of Export) of Nepal ("&amp;A4&amp;" "&amp;B4&amp;")"</f>
        <v>Pie Chart of Daily Peak Demand(Inclusive of Export) of Nepal (Nepali Date: 2079/09/9)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2079/09/9)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0">B85</f>
        <v>1131.74</v>
      </c>
      <c r="U242" s="170">
        <f t="shared" si="20"/>
        <v>1130.04</v>
      </c>
      <c r="V242" s="170">
        <f t="shared" si="20"/>
        <v>1081.1399999999999</v>
      </c>
      <c r="W242" s="170">
        <f t="shared" si="20"/>
        <v>1062.3400000000001</v>
      </c>
      <c r="X242" s="170">
        <f t="shared" si="20"/>
        <v>1081.5700000000002</v>
      </c>
      <c r="Y242" s="170">
        <f t="shared" si="20"/>
        <v>1128.24</v>
      </c>
      <c r="Z242" s="170">
        <f t="shared" si="20"/>
        <v>1211.24</v>
      </c>
      <c r="AA242" s="170">
        <f t="shared" si="20"/>
        <v>1254.04</v>
      </c>
      <c r="AB242" s="170">
        <f t="shared" si="20"/>
        <v>1367.39</v>
      </c>
      <c r="AC242" s="170">
        <f t="shared" si="20"/>
        <v>1494.0700000000002</v>
      </c>
      <c r="AD242" s="170">
        <f t="shared" si="20"/>
        <v>1618.84</v>
      </c>
      <c r="AE242" s="170">
        <f t="shared" si="20"/>
        <v>1640.94</v>
      </c>
      <c r="AF242" s="170">
        <f t="shared" si="20"/>
        <v>1560.44</v>
      </c>
      <c r="AG242" s="170">
        <f t="shared" si="20"/>
        <v>1488.8399999999997</v>
      </c>
      <c r="AH242" s="170">
        <f t="shared" si="20"/>
        <v>1277.2399999999998</v>
      </c>
      <c r="AI242" s="170">
        <f t="shared" si="20"/>
        <v>1374.94</v>
      </c>
      <c r="AJ242" s="170">
        <f t="shared" si="20"/>
        <v>1356.1399999999999</v>
      </c>
      <c r="AK242" s="170">
        <f t="shared" si="20"/>
        <v>1363.84</v>
      </c>
      <c r="AL242" s="170">
        <f t="shared" si="20"/>
        <v>1346.14</v>
      </c>
      <c r="AM242" s="170">
        <f t="shared" si="20"/>
        <v>1395.6399999999999</v>
      </c>
      <c r="AN242" s="170">
        <f t="shared" si="20"/>
        <v>1353.24</v>
      </c>
      <c r="AO242" s="170">
        <f t="shared" si="20"/>
        <v>1446.04</v>
      </c>
      <c r="AP242" s="170">
        <f t="shared" si="20"/>
        <v>1622.64</v>
      </c>
      <c r="AQ242" s="170">
        <f t="shared" si="20"/>
        <v>1708.34</v>
      </c>
      <c r="AR242" s="170">
        <f t="shared" si="20"/>
        <v>1670.24</v>
      </c>
      <c r="AS242" s="170">
        <f t="shared" si="20"/>
        <v>1603.7400000000002</v>
      </c>
      <c r="AT242" s="170">
        <f t="shared" si="20"/>
        <v>1453.0400000000002</v>
      </c>
      <c r="AU242" s="170">
        <f t="shared" si="20"/>
        <v>1383.54</v>
      </c>
      <c r="AV242" s="170">
        <f t="shared" si="20"/>
        <v>1364.44</v>
      </c>
      <c r="AW242" s="170">
        <f t="shared" si="20"/>
        <v>1253.94</v>
      </c>
      <c r="AX242" s="170">
        <f t="shared" si="20"/>
        <v>1179.94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1">C227</f>
        <v>0.64</v>
      </c>
      <c r="C263" s="173">
        <f t="shared" si="21"/>
        <v>0.64</v>
      </c>
      <c r="D263" s="173">
        <f t="shared" si="21"/>
        <v>0.64</v>
      </c>
      <c r="E263" s="173">
        <f t="shared" si="21"/>
        <v>0.64</v>
      </c>
      <c r="F263" s="173">
        <f t="shared" si="21"/>
        <v>0.64</v>
      </c>
      <c r="G263" s="173">
        <f t="shared" si="21"/>
        <v>0.64</v>
      </c>
      <c r="H263" s="173">
        <f t="shared" si="21"/>
        <v>0.64</v>
      </c>
      <c r="I263" s="173">
        <f t="shared" si="21"/>
        <v>0.64</v>
      </c>
      <c r="J263" s="173">
        <f t="shared" si="21"/>
        <v>0.64</v>
      </c>
      <c r="K263" s="173">
        <f t="shared" si="21"/>
        <v>0.64</v>
      </c>
      <c r="L263" s="173">
        <f t="shared" si="21"/>
        <v>0.64</v>
      </c>
      <c r="M263" s="173">
        <f t="shared" si="21"/>
        <v>0.64</v>
      </c>
      <c r="N263" s="173">
        <f t="shared" si="21"/>
        <v>0.64</v>
      </c>
      <c r="O263" s="173">
        <f t="shared" si="21"/>
        <v>0.64</v>
      </c>
      <c r="P263" s="173">
        <f t="shared" si="21"/>
        <v>0</v>
      </c>
      <c r="Q263" s="173">
        <f t="shared" si="21"/>
        <v>0</v>
      </c>
      <c r="R263" s="173">
        <f t="shared" si="21"/>
        <v>0</v>
      </c>
      <c r="S263" s="173">
        <f t="shared" si="21"/>
        <v>0</v>
      </c>
      <c r="T263" s="173">
        <f t="shared" si="21"/>
        <v>0</v>
      </c>
      <c r="U263" s="173">
        <f t="shared" si="21"/>
        <v>0</v>
      </c>
      <c r="V263" s="173">
        <f t="shared" si="21"/>
        <v>0</v>
      </c>
      <c r="W263" s="173">
        <f t="shared" si="21"/>
        <v>0</v>
      </c>
      <c r="X263" s="173">
        <f t="shared" si="21"/>
        <v>0</v>
      </c>
      <c r="Y263" s="173">
        <f t="shared" si="21"/>
        <v>0</v>
      </c>
      <c r="Z263" s="173">
        <f t="shared" si="21"/>
        <v>0</v>
      </c>
      <c r="AA263" s="173">
        <f t="shared" si="21"/>
        <v>0</v>
      </c>
      <c r="AB263" s="173">
        <f t="shared" si="21"/>
        <v>0</v>
      </c>
      <c r="AC263" s="173">
        <f t="shared" si="21"/>
        <v>0</v>
      </c>
      <c r="AD263" s="173">
        <f t="shared" si="21"/>
        <v>0</v>
      </c>
      <c r="AE263" s="173">
        <f t="shared" si="21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2">IF(B231&lt;100,"",B231-520)</f>
        <v/>
      </c>
      <c r="C264" s="174" t="str">
        <f t="shared" si="22"/>
        <v/>
      </c>
      <c r="D264" s="174" t="str">
        <f t="shared" si="22"/>
        <v/>
      </c>
      <c r="E264" s="174" t="str">
        <f t="shared" si="22"/>
        <v/>
      </c>
      <c r="F264" s="174" t="str">
        <f t="shared" si="22"/>
        <v/>
      </c>
      <c r="G264" s="174" t="str">
        <f t="shared" si="22"/>
        <v/>
      </c>
      <c r="H264" s="174" t="str">
        <f t="shared" si="22"/>
        <v/>
      </c>
      <c r="I264" s="174" t="str">
        <f t="shared" si="22"/>
        <v/>
      </c>
      <c r="J264" s="174" t="str">
        <f t="shared" si="22"/>
        <v/>
      </c>
      <c r="K264" s="174" t="str">
        <f t="shared" si="22"/>
        <v/>
      </c>
      <c r="L264" s="174" t="str">
        <f t="shared" si="22"/>
        <v/>
      </c>
      <c r="M264" s="174" t="str">
        <f t="shared" si="22"/>
        <v/>
      </c>
      <c r="N264" s="174" t="str">
        <f t="shared" si="22"/>
        <v/>
      </c>
      <c r="O264" s="174" t="str">
        <f t="shared" si="22"/>
        <v/>
      </c>
      <c r="P264" s="174" t="str">
        <f t="shared" si="22"/>
        <v/>
      </c>
      <c r="Q264" s="174" t="str">
        <f t="shared" si="22"/>
        <v/>
      </c>
      <c r="R264" s="174" t="str">
        <f t="shared" si="22"/>
        <v/>
      </c>
      <c r="S264" s="174" t="str">
        <f t="shared" si="22"/>
        <v/>
      </c>
      <c r="T264" s="174" t="str">
        <f t="shared" si="22"/>
        <v/>
      </c>
      <c r="U264" s="174" t="str">
        <f t="shared" si="22"/>
        <v/>
      </c>
      <c r="V264" s="174" t="str">
        <f t="shared" si="22"/>
        <v/>
      </c>
      <c r="W264" s="174" t="str">
        <f t="shared" si="22"/>
        <v/>
      </c>
      <c r="X264" s="174" t="str">
        <f t="shared" si="22"/>
        <v/>
      </c>
      <c r="Y264" s="174" t="str">
        <f t="shared" si="22"/>
        <v/>
      </c>
      <c r="Z264" s="174" t="str">
        <f t="shared" si="22"/>
        <v/>
      </c>
      <c r="AA264" s="174" t="str">
        <f t="shared" si="22"/>
        <v/>
      </c>
      <c r="AB264" s="174" t="str">
        <f t="shared" si="22"/>
        <v/>
      </c>
      <c r="AC264" s="174" t="str">
        <f t="shared" si="22"/>
        <v/>
      </c>
      <c r="AD264" s="174" t="str">
        <f t="shared" si="22"/>
        <v/>
      </c>
      <c r="AE264" s="174" t="str">
        <f t="shared" si="22"/>
        <v/>
      </c>
      <c r="AF264" s="174" t="str">
        <f t="shared" si="22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3">IF(B232&lt;100,"",B232-620)</f>
        <v/>
      </c>
      <c r="C265" s="174" t="str">
        <f t="shared" si="23"/>
        <v/>
      </c>
      <c r="D265" s="174" t="str">
        <f t="shared" si="23"/>
        <v/>
      </c>
      <c r="E265" s="174" t="str">
        <f t="shared" si="23"/>
        <v/>
      </c>
      <c r="F265" s="174" t="str">
        <f t="shared" si="23"/>
        <v/>
      </c>
      <c r="G265" s="174" t="str">
        <f t="shared" si="23"/>
        <v/>
      </c>
      <c r="H265" s="174" t="str">
        <f t="shared" si="23"/>
        <v/>
      </c>
      <c r="I265" s="174" t="str">
        <f t="shared" si="23"/>
        <v/>
      </c>
      <c r="J265" s="174" t="str">
        <f t="shared" si="23"/>
        <v/>
      </c>
      <c r="K265" s="174" t="str">
        <f t="shared" si="23"/>
        <v/>
      </c>
      <c r="L265" s="174" t="str">
        <f t="shared" si="23"/>
        <v/>
      </c>
      <c r="M265" s="174" t="str">
        <f t="shared" si="23"/>
        <v/>
      </c>
      <c r="N265" s="174" t="str">
        <f t="shared" si="23"/>
        <v/>
      </c>
      <c r="O265" s="174" t="str">
        <f t="shared" si="23"/>
        <v/>
      </c>
      <c r="P265" s="174" t="str">
        <f t="shared" si="23"/>
        <v/>
      </c>
      <c r="Q265" s="174" t="str">
        <f t="shared" si="23"/>
        <v/>
      </c>
      <c r="R265" s="174" t="str">
        <f t="shared" si="23"/>
        <v/>
      </c>
      <c r="S265" s="174" t="str">
        <f t="shared" si="23"/>
        <v/>
      </c>
      <c r="T265" s="174" t="str">
        <f t="shared" si="23"/>
        <v/>
      </c>
      <c r="U265" s="174" t="str">
        <f t="shared" si="23"/>
        <v/>
      </c>
      <c r="V265" s="174" t="str">
        <f t="shared" si="23"/>
        <v/>
      </c>
      <c r="W265" s="174" t="str">
        <f t="shared" si="23"/>
        <v/>
      </c>
      <c r="X265" s="174" t="str">
        <f t="shared" si="23"/>
        <v/>
      </c>
      <c r="Y265" s="174" t="str">
        <f t="shared" si="23"/>
        <v/>
      </c>
      <c r="Z265" s="174" t="str">
        <f t="shared" si="23"/>
        <v/>
      </c>
      <c r="AA265" s="174" t="str">
        <f t="shared" si="23"/>
        <v/>
      </c>
      <c r="AB265" s="174" t="str">
        <f t="shared" si="23"/>
        <v/>
      </c>
      <c r="AC265" s="174" t="str">
        <f t="shared" si="23"/>
        <v/>
      </c>
      <c r="AD265" s="174" t="str">
        <f t="shared" si="23"/>
        <v/>
      </c>
      <c r="AE265" s="174" t="str">
        <f t="shared" si="23"/>
        <v/>
      </c>
      <c r="AF265" s="174" t="str">
        <f t="shared" si="23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4">IF(B233&lt;100,"",B233-330)</f>
        <v/>
      </c>
      <c r="C266" s="174" t="str">
        <f t="shared" si="24"/>
        <v/>
      </c>
      <c r="D266" s="174" t="str">
        <f t="shared" si="24"/>
        <v/>
      </c>
      <c r="E266" s="174" t="str">
        <f t="shared" si="24"/>
        <v/>
      </c>
      <c r="F266" s="174" t="str">
        <f t="shared" si="24"/>
        <v/>
      </c>
      <c r="G266" s="174" t="str">
        <f t="shared" si="24"/>
        <v/>
      </c>
      <c r="H266" s="174" t="str">
        <f t="shared" si="24"/>
        <v/>
      </c>
      <c r="I266" s="174" t="str">
        <f t="shared" si="24"/>
        <v/>
      </c>
      <c r="J266" s="174" t="str">
        <f t="shared" si="24"/>
        <v/>
      </c>
      <c r="K266" s="174" t="str">
        <f t="shared" si="24"/>
        <v/>
      </c>
      <c r="L266" s="174" t="str">
        <f t="shared" si="24"/>
        <v/>
      </c>
      <c r="M266" s="174" t="str">
        <f t="shared" si="24"/>
        <v/>
      </c>
      <c r="N266" s="174" t="str">
        <f t="shared" si="24"/>
        <v/>
      </c>
      <c r="O266" s="174" t="str">
        <f t="shared" si="24"/>
        <v/>
      </c>
      <c r="P266" s="174" t="str">
        <f t="shared" si="24"/>
        <v/>
      </c>
      <c r="Q266" s="174" t="str">
        <f t="shared" si="24"/>
        <v/>
      </c>
      <c r="R266" s="174" t="str">
        <f t="shared" si="24"/>
        <v/>
      </c>
      <c r="S266" s="174" t="str">
        <f t="shared" si="24"/>
        <v/>
      </c>
      <c r="T266" s="174" t="str">
        <f t="shared" si="24"/>
        <v/>
      </c>
      <c r="U266" s="174" t="str">
        <f t="shared" si="24"/>
        <v/>
      </c>
      <c r="V266" s="174" t="str">
        <f t="shared" si="24"/>
        <v/>
      </c>
      <c r="W266" s="174" t="str">
        <f t="shared" si="24"/>
        <v/>
      </c>
      <c r="X266" s="174" t="str">
        <f t="shared" si="24"/>
        <v/>
      </c>
      <c r="Y266" s="174" t="str">
        <f t="shared" si="24"/>
        <v/>
      </c>
      <c r="Z266" s="174" t="str">
        <f t="shared" si="24"/>
        <v/>
      </c>
      <c r="AA266" s="174" t="str">
        <f t="shared" si="24"/>
        <v/>
      </c>
      <c r="AB266" s="174" t="str">
        <f t="shared" si="24"/>
        <v/>
      </c>
      <c r="AC266" s="174" t="str">
        <f t="shared" si="24"/>
        <v/>
      </c>
      <c r="AD266" s="174" t="str">
        <f t="shared" si="24"/>
        <v/>
      </c>
      <c r="AE266" s="174" t="str">
        <f t="shared" si="24"/>
        <v/>
      </c>
      <c r="AF266" s="174" t="str">
        <f t="shared" si="24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5">IF(B234&lt;100,"",B234-1500)</f>
        <v/>
      </c>
      <c r="C267" s="174" t="str">
        <f t="shared" si="25"/>
        <v/>
      </c>
      <c r="D267" s="174" t="str">
        <f t="shared" si="25"/>
        <v/>
      </c>
      <c r="E267" s="174" t="str">
        <f t="shared" si="25"/>
        <v/>
      </c>
      <c r="F267" s="174" t="str">
        <f t="shared" si="25"/>
        <v/>
      </c>
      <c r="G267" s="174" t="str">
        <f t="shared" si="25"/>
        <v/>
      </c>
      <c r="H267" s="174" t="str">
        <f t="shared" si="25"/>
        <v/>
      </c>
      <c r="I267" s="174" t="str">
        <f t="shared" si="25"/>
        <v/>
      </c>
      <c r="J267" s="174" t="str">
        <f t="shared" si="25"/>
        <v/>
      </c>
      <c r="K267" s="174" t="str">
        <f t="shared" si="25"/>
        <v/>
      </c>
      <c r="L267" s="174" t="str">
        <f t="shared" si="25"/>
        <v/>
      </c>
      <c r="M267" s="174" t="str">
        <f t="shared" si="25"/>
        <v/>
      </c>
      <c r="N267" s="174" t="str">
        <f t="shared" si="25"/>
        <v/>
      </c>
      <c r="O267" s="174" t="str">
        <f t="shared" si="25"/>
        <v/>
      </c>
      <c r="P267" s="174" t="str">
        <f t="shared" si="25"/>
        <v/>
      </c>
      <c r="Q267" s="174" t="str">
        <f t="shared" si="25"/>
        <v/>
      </c>
      <c r="R267" s="174" t="str">
        <f t="shared" si="25"/>
        <v/>
      </c>
      <c r="S267" s="174" t="str">
        <f t="shared" si="25"/>
        <v/>
      </c>
      <c r="T267" s="174" t="str">
        <f t="shared" si="25"/>
        <v/>
      </c>
      <c r="U267" s="174" t="str">
        <f t="shared" si="25"/>
        <v/>
      </c>
      <c r="V267" s="174" t="str">
        <f t="shared" si="25"/>
        <v/>
      </c>
      <c r="W267" s="174" t="str">
        <f t="shared" si="25"/>
        <v/>
      </c>
      <c r="X267" s="174" t="str">
        <f t="shared" si="25"/>
        <v/>
      </c>
      <c r="Y267" s="174" t="str">
        <f t="shared" si="25"/>
        <v/>
      </c>
      <c r="Z267" s="174" t="str">
        <f t="shared" si="25"/>
        <v/>
      </c>
      <c r="AA267" s="174" t="str">
        <f t="shared" si="25"/>
        <v/>
      </c>
      <c r="AB267" s="174" t="str">
        <f t="shared" si="25"/>
        <v/>
      </c>
      <c r="AC267" s="174" t="str">
        <f t="shared" si="25"/>
        <v/>
      </c>
      <c r="AD267" s="174" t="str">
        <f t="shared" si="25"/>
        <v/>
      </c>
      <c r="AE267" s="174" t="str">
        <f t="shared" si="25"/>
        <v/>
      </c>
      <c r="AF267" s="174" t="str">
        <f t="shared" si="25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E105:AF105 E107:AF112">
    <cfRule type="expression" dxfId="7234" priority="234">
      <formula>B$9&gt;=20/24</formula>
    </cfRule>
    <cfRule type="expression" dxfId="7233" priority="235">
      <formula>AND(B$9&gt;=14/24,B$9&lt;20/24)</formula>
    </cfRule>
    <cfRule type="expression" dxfId="7232" priority="236">
      <formula>AND(B$9&gt;=8/24,B$9&lt;14/24)</formula>
    </cfRule>
    <cfRule type="expression" dxfId="7231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G61">
    <cfRule type="expression" dxfId="7230" priority="232">
      <formula>AG61&gt;$AG61</formula>
    </cfRule>
  </conditionalFormatting>
  <conditionalFormatting sqref="A95:A105 A55:A82 A91:A93 A198:A228 A42:A53 A114:A185 A38:A39 A87:A89 A84:A85 A107:A109 A35:A36 A17:A18 A11:A15 A20:A33">
    <cfRule type="expression" dxfId="7229" priority="231">
      <formula>$AH11=0</formula>
    </cfRule>
  </conditionalFormatting>
  <conditionalFormatting sqref="A110">
    <cfRule type="expression" dxfId="7228" priority="230">
      <formula>$AH110=0</formula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7227" priority="228">
      <formula>$AH41=0</formula>
    </cfRule>
  </conditionalFormatting>
  <conditionalFormatting sqref="A94">
    <cfRule type="expression" dxfId="7226" priority="227">
      <formula>$AH94=0</formula>
    </cfRule>
  </conditionalFormatting>
  <conditionalFormatting sqref="A16">
    <cfRule type="expression" dxfId="7225" priority="226">
      <formula>$AH16=0</formula>
    </cfRule>
  </conditionalFormatting>
  <conditionalFormatting sqref="A192:A197">
    <cfRule type="expression" dxfId="7224" priority="225">
      <formula>$AH192=0</formula>
    </cfRule>
  </conditionalFormatting>
  <conditionalFormatting sqref="A186:A191">
    <cfRule type="expression" dxfId="7223" priority="224">
      <formula>$AH186=0</formula>
    </cfRule>
  </conditionalFormatting>
  <conditionalFormatting sqref="A54">
    <cfRule type="expression" dxfId="7222" priority="223">
      <formula>$AH54=0</formula>
    </cfRule>
  </conditionalFormatting>
  <conditionalFormatting sqref="A90">
    <cfRule type="expression" dxfId="7221" priority="222">
      <formula>$AH90=0</formula>
    </cfRule>
  </conditionalFormatting>
  <conditionalFormatting sqref="F95:X95 AD95:AF95">
    <cfRule type="expression" dxfId="7220" priority="218">
      <formula>F$9&gt;=20/24</formula>
    </cfRule>
    <cfRule type="expression" dxfId="7219" priority="219">
      <formula>AND(F$9&gt;=14/24,F$9&lt;20/24)</formula>
    </cfRule>
    <cfRule type="expression" dxfId="7218" priority="220">
      <formula>AND(F$9&gt;=8/24,F$9&lt;14/24)</formula>
    </cfRule>
    <cfRule type="expression" dxfId="7217" priority="221">
      <formula>F$9&lt;8/24</formula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216" priority="240">
      <formula>C$9&gt;=20/24</formula>
    </cfRule>
    <cfRule type="expression" dxfId="7215" priority="241">
      <formula>AND(C$9&gt;=14/24,C$9&lt;20/24)</formula>
    </cfRule>
    <cfRule type="expression" dxfId="7214" priority="242">
      <formula>AND(C$9&gt;=8/24,C$9&lt;14/24)</formula>
    </cfRule>
    <cfRule type="expression" dxfId="7213" priority="243">
      <formula>C$9&lt;8/24</formula>
    </cfRule>
  </conditionalFormatting>
  <conditionalFormatting sqref="A229">
    <cfRule type="expression" dxfId="7212" priority="244">
      <formula>$AH229=0</formula>
    </cfRule>
  </conditionalFormatting>
  <conditionalFormatting sqref="AG241">
    <cfRule type="expression" dxfId="7211" priority="245">
      <formula>B$9&gt;=20/24</formula>
    </cfRule>
    <cfRule type="expression" dxfId="7210" priority="246">
      <formula>AND(B$9&gt;=14/24,B$9&lt;20/24)</formula>
    </cfRule>
    <cfRule type="expression" dxfId="7209" priority="247">
      <formula>AND(B$9&gt;=8/24,B$9&lt;14/24)</formula>
    </cfRule>
    <cfRule type="expression" dxfId="7208" priority="248">
      <formula>B$9&lt;8/24</formula>
    </cfRule>
  </conditionalFormatting>
  <conditionalFormatting sqref="S8">
    <cfRule type="expression" dxfId="7207" priority="213">
      <formula>U$9&gt;=20/24</formula>
    </cfRule>
    <cfRule type="expression" dxfId="7206" priority="214">
      <formula>AND(U$9&gt;=14/24,U$9&lt;20/24)</formula>
    </cfRule>
    <cfRule type="expression" dxfId="7205" priority="215">
      <formula>AND(U$9&gt;=8/24,U$9&lt;14/24)</formula>
    </cfRule>
    <cfRule type="expression" dxfId="7204" priority="216">
      <formula>U$9&lt;8/24</formula>
    </cfRule>
  </conditionalFormatting>
  <conditionalFormatting sqref="AB8">
    <cfRule type="expression" dxfId="7203" priority="209">
      <formula>AD$9&gt;=20/24</formula>
    </cfRule>
    <cfRule type="expression" dxfId="7202" priority="210">
      <formula>AND(AD$9&gt;=14/24,AD$9&lt;20/24)</formula>
    </cfRule>
    <cfRule type="expression" dxfId="7201" priority="211">
      <formula>AND(AD$9&gt;=8/24,AD$9&lt;14/24)</formula>
    </cfRule>
    <cfRule type="expression" dxfId="7200" priority="212">
      <formula>AD$9&lt;8/24</formula>
    </cfRule>
  </conditionalFormatting>
  <conditionalFormatting sqref="AH241:AX241">
    <cfRule type="expression" dxfId="7199" priority="249">
      <formula>AG$9&gt;=20/24</formula>
    </cfRule>
    <cfRule type="expression" dxfId="7198" priority="250">
      <formula>AND(AG$9&gt;=14/24,AG$9&lt;20/24)</formula>
    </cfRule>
    <cfRule type="expression" dxfId="7197" priority="251">
      <formula>AND(AG$9&gt;=8/24,AG$9&lt;14/24)</formula>
    </cfRule>
    <cfRule type="expression" dxfId="7196" priority="252">
      <formula>AG$9&lt;8/24</formula>
    </cfRule>
  </conditionalFormatting>
  <conditionalFormatting sqref="T241">
    <cfRule type="expression" dxfId="7195" priority="253">
      <formula>AX$9&gt;=20/24</formula>
    </cfRule>
    <cfRule type="expression" dxfId="7194" priority="254">
      <formula>AND(AX$9&gt;=14/24,AX$9&lt;20/24)</formula>
    </cfRule>
    <cfRule type="expression" dxfId="7193" priority="255">
      <formula>AND(AX$9&gt;=8/24,AX$9&lt;14/24)</formula>
    </cfRule>
    <cfRule type="expression" dxfId="7192" priority="256">
      <formula>AX$9&lt;8/24</formula>
    </cfRule>
  </conditionalFormatting>
  <conditionalFormatting sqref="A111:A112">
    <cfRule type="expression" dxfId="7191" priority="208">
      <formula>$AH111=0</formula>
    </cfRule>
  </conditionalFormatting>
  <conditionalFormatting sqref="M50:V53 AB50:AB51 W52:AB53 E67:AF67 AC50:AF53">
    <cfRule type="expression" dxfId="7190" priority="204">
      <formula>E$9&gt;=20/24</formula>
    </cfRule>
    <cfRule type="expression" dxfId="7189" priority="205">
      <formula>AND(E$9&gt;=14/24,E$9&lt;20/24)</formula>
    </cfRule>
    <cfRule type="expression" dxfId="7188" priority="206">
      <formula>AND(E$9&gt;=8/24,E$9&lt;14/24)</formula>
    </cfRule>
    <cfRule type="expression" dxfId="7187" priority="207">
      <formula>E$9&lt;8/24</formula>
    </cfRule>
  </conditionalFormatting>
  <conditionalFormatting sqref="M49:V49 AB49:AF49">
    <cfRule type="expression" dxfId="7186" priority="200">
      <formula>M$9&gt;=20/24</formula>
    </cfRule>
    <cfRule type="expression" dxfId="7185" priority="201">
      <formula>AND(M$9&gt;=14/24,M$9&lt;20/24)</formula>
    </cfRule>
    <cfRule type="expression" dxfId="7184" priority="202">
      <formula>AND(M$9&gt;=8/24,M$9&lt;14/24)</formula>
    </cfRule>
    <cfRule type="expression" dxfId="7183" priority="203">
      <formula>M$9&lt;8/24</formula>
    </cfRule>
  </conditionalFormatting>
  <conditionalFormatting sqref="M49:V53 AB49:AB51 W52:AB53 AC49:AF53">
    <cfRule type="expression" dxfId="7182" priority="199">
      <formula>M49&gt;$AG49</formula>
    </cfRule>
  </conditionalFormatting>
  <conditionalFormatting sqref="D82:AF82 M96:X102 X43:AF43 X92:AF92 E68:AB69 AB70 X63:AF65 AC68:AF70 AD96:AF102">
    <cfRule type="expression" dxfId="7181" priority="195">
      <formula>D$9&gt;=20/24</formula>
    </cfRule>
    <cfRule type="expression" dxfId="7180" priority="196">
      <formula>AND(D$9&gt;=14/24,D$9&lt;20/24)</formula>
    </cfRule>
    <cfRule type="expression" dxfId="7179" priority="197">
      <formula>AND(D$9&gt;=8/24,D$9&lt;14/24)</formula>
    </cfRule>
    <cfRule type="expression" dxfId="7178" priority="198">
      <formula>D$9&lt;8/24</formula>
    </cfRule>
  </conditionalFormatting>
  <conditionalFormatting sqref="X43:AF43 X63:AF65">
    <cfRule type="expression" dxfId="7177" priority="194">
      <formula>X43&gt;$AG43</formula>
    </cfRule>
  </conditionalFormatting>
  <conditionalFormatting sqref="W49:AA51">
    <cfRule type="expression" dxfId="7176" priority="190">
      <formula>W$9&gt;=20/24</formula>
    </cfRule>
    <cfRule type="expression" dxfId="7175" priority="191">
      <formula>AND(W$9&gt;=14/24,W$9&lt;20/24)</formula>
    </cfRule>
    <cfRule type="expression" dxfId="7174" priority="192">
      <formula>AND(W$9&gt;=8/24,W$9&lt;14/24)</formula>
    </cfRule>
    <cfRule type="expression" dxfId="7173" priority="193">
      <formula>W$9&lt;8/24</formula>
    </cfRule>
  </conditionalFormatting>
  <conditionalFormatting sqref="W49:AA51">
    <cfRule type="expression" dxfId="7172" priority="189">
      <formula>W49&gt;$AG49</formula>
    </cfRule>
  </conditionalFormatting>
  <conditionalFormatting sqref="C84:AF84 C93:AF93">
    <cfRule type="expression" dxfId="7171" priority="185">
      <formula>C$9&gt;=20/24</formula>
    </cfRule>
    <cfRule type="expression" dxfId="7170" priority="186">
      <formula>AND(C$9&gt;=14/24,C$9&lt;20/24)</formula>
    </cfRule>
    <cfRule type="expression" dxfId="7169" priority="187">
      <formula>AND(C$9&gt;=8/24,C$9&lt;14/24)</formula>
    </cfRule>
    <cfRule type="expression" dxfId="7168" priority="188">
      <formula>C$9&lt;8/24</formula>
    </cfRule>
  </conditionalFormatting>
  <conditionalFormatting sqref="T43:W43">
    <cfRule type="expression" dxfId="7167" priority="181">
      <formula>T$9&gt;=20/24</formula>
    </cfRule>
    <cfRule type="expression" dxfId="7166" priority="182">
      <formula>AND(T$9&gt;=14/24,T$9&lt;20/24)</formula>
    </cfRule>
    <cfRule type="expression" dxfId="7165" priority="183">
      <formula>AND(T$9&gt;=8/24,T$9&lt;14/24)</formula>
    </cfRule>
    <cfRule type="expression" dxfId="7164" priority="184">
      <formula>T$9&lt;8/24</formula>
    </cfRule>
  </conditionalFormatting>
  <conditionalFormatting sqref="T43:W43">
    <cfRule type="expression" dxfId="7163" priority="180">
      <formula>T43&gt;$AG43</formula>
    </cfRule>
  </conditionalFormatting>
  <conditionalFormatting sqref="G50:L51">
    <cfRule type="expression" dxfId="7162" priority="176">
      <formula>G$9&gt;=20/24</formula>
    </cfRule>
    <cfRule type="expression" dxfId="7161" priority="177">
      <formula>AND(G$9&gt;=14/24,G$9&lt;20/24)</formula>
    </cfRule>
    <cfRule type="expression" dxfId="7160" priority="178">
      <formula>AND(G$9&gt;=8/24,G$9&lt;14/24)</formula>
    </cfRule>
    <cfRule type="expression" dxfId="7159" priority="179">
      <formula>G$9&lt;8/24</formula>
    </cfRule>
  </conditionalFormatting>
  <conditionalFormatting sqref="G49:L49">
    <cfRule type="expression" dxfId="7158" priority="172">
      <formula>G$9&gt;=20/24</formula>
    </cfRule>
    <cfRule type="expression" dxfId="7157" priority="173">
      <formula>AND(G$9&gt;=14/24,G$9&lt;20/24)</formula>
    </cfRule>
    <cfRule type="expression" dxfId="7156" priority="174">
      <formula>AND(G$9&gt;=8/24,G$9&lt;14/24)</formula>
    </cfRule>
    <cfRule type="expression" dxfId="7155" priority="175">
      <formula>G$9&lt;8/24</formula>
    </cfRule>
  </conditionalFormatting>
  <conditionalFormatting sqref="G49:L51">
    <cfRule type="expression" dxfId="7154" priority="171">
      <formula>G49&gt;$AG49</formula>
    </cfRule>
  </conditionalFormatting>
  <conditionalFormatting sqref="AG66 AG83 F96:L102 S63:W65">
    <cfRule type="expression" dxfId="7153" priority="167">
      <formula>F$9&gt;=20/24</formula>
    </cfRule>
    <cfRule type="expression" dxfId="7152" priority="168">
      <formula>AND(F$9&gt;=14/24,F$9&lt;20/24)</formula>
    </cfRule>
    <cfRule type="expression" dxfId="7151" priority="169">
      <formula>AND(F$9&gt;=8/24,F$9&lt;14/24)</formula>
    </cfRule>
    <cfRule type="expression" dxfId="7150" priority="170">
      <formula>F$9&lt;8/24</formula>
    </cfRule>
  </conditionalFormatting>
  <conditionalFormatting sqref="AG44 AG62 AG66 S63:W65">
    <cfRule type="expression" dxfId="7149" priority="166">
      <formula>S44&gt;$AG44</formula>
    </cfRule>
  </conditionalFormatting>
  <conditionalFormatting sqref="A40">
    <cfRule type="expression" dxfId="7148" priority="160">
      <formula>$AH40=0</formula>
    </cfRule>
  </conditionalFormatting>
  <conditionalFormatting sqref="X87:AF91">
    <cfRule type="expression" dxfId="7147" priority="156">
      <formula>X$9&gt;=20/24</formula>
    </cfRule>
    <cfRule type="expression" dxfId="7146" priority="157">
      <formula>AND(X$9&gt;=14/24,X$9&lt;20/24)</formula>
    </cfRule>
    <cfRule type="expression" dxfId="7145" priority="158">
      <formula>AND(X$9&gt;=8/24,X$9&lt;14/24)</formula>
    </cfRule>
    <cfRule type="expression" dxfId="7144" priority="159">
      <formula>X$9&lt;8/24</formula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E45:R45 M46:R47 S45:AF47">
    <cfRule type="expression" dxfId="7143" priority="152">
      <formula>E$9&gt;=20/24</formula>
    </cfRule>
    <cfRule type="expression" dxfId="7142" priority="153">
      <formula>AND(E$9&gt;=14/24,E$9&lt;20/24)</formula>
    </cfRule>
    <cfRule type="expression" dxfId="7141" priority="154">
      <formula>AND(E$9&gt;=8/24,E$9&lt;14/24)</formula>
    </cfRule>
    <cfRule type="expression" dxfId="7140" priority="155">
      <formula>E$9&lt;8/24</formula>
    </cfRule>
  </conditionalFormatting>
  <conditionalFormatting sqref="E45:R45 M46:R47 S45:AF47">
    <cfRule type="expression" dxfId="7139" priority="151">
      <formula>E45&gt;$AG45</formula>
    </cfRule>
  </conditionalFormatting>
  <conditionalFormatting sqref="AG48">
    <cfRule type="expression" dxfId="7138" priority="147">
      <formula>AG$9&gt;=20/24</formula>
    </cfRule>
    <cfRule type="expression" dxfId="7137" priority="148">
      <formula>AND(AG$9&gt;=14/24,AG$9&lt;20/24)</formula>
    </cfRule>
    <cfRule type="expression" dxfId="7136" priority="149">
      <formula>AND(AG$9&gt;=8/24,AG$9&lt;14/24)</formula>
    </cfRule>
    <cfRule type="expression" dxfId="7135" priority="150">
      <formula>AG$9&lt;8/24</formula>
    </cfRule>
  </conditionalFormatting>
  <conditionalFormatting sqref="AG48">
    <cfRule type="expression" dxfId="7134" priority="146">
      <formula>AG48&gt;$AG48</formula>
    </cfRule>
  </conditionalFormatting>
  <conditionalFormatting sqref="C103:AF103">
    <cfRule type="expression" dxfId="7133" priority="142">
      <formula>C$9&gt;=20/24</formula>
    </cfRule>
    <cfRule type="expression" dxfId="7132" priority="143">
      <formula>AND(C$9&gt;=14/24,C$9&lt;20/24)</formula>
    </cfRule>
    <cfRule type="expression" dxfId="7131" priority="144">
      <formula>AND(C$9&gt;=8/24,C$9&lt;14/24)</formula>
    </cfRule>
    <cfRule type="expression" dxfId="7130" priority="145">
      <formula>C$9&lt;8/24</formula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7129" priority="140">
      <formula>$AH37=0</formula>
    </cfRule>
  </conditionalFormatting>
  <conditionalFormatting sqref="A86">
    <cfRule type="expression" dxfId="7128" priority="138">
      <formula>$AH86=0</formula>
    </cfRule>
  </conditionalFormatting>
  <conditionalFormatting sqref="A83">
    <cfRule type="expression" dxfId="7127" priority="139">
      <formula>$AH83=0</formula>
    </cfRule>
  </conditionalFormatting>
  <conditionalFormatting sqref="A113">
    <cfRule type="expression" dxfId="7126" priority="129">
      <formula>$AH113=0</formula>
    </cfRule>
  </conditionalFormatting>
  <conditionalFormatting sqref="E106:AF106">
    <cfRule type="expression" dxfId="7125" priority="125">
      <formula>E$9&gt;=20/24</formula>
    </cfRule>
    <cfRule type="expression" dxfId="7124" priority="126">
      <formula>AND(E$9&gt;=14/24,E$9&lt;20/24)</formula>
    </cfRule>
    <cfRule type="expression" dxfId="7123" priority="127">
      <formula>AND(E$9&gt;=8/24,E$9&lt;14/24)</formula>
    </cfRule>
    <cfRule type="expression" dxfId="7122" priority="128">
      <formula>E$9&lt;8/24</formula>
    </cfRule>
  </conditionalFormatting>
  <conditionalFormatting sqref="A106">
    <cfRule type="expression" dxfId="7121" priority="124">
      <formula>$AH106=0</formula>
    </cfRule>
  </conditionalFormatting>
  <conditionalFormatting sqref="A19">
    <cfRule type="expression" dxfId="7120" priority="122">
      <formula>$AH19=0</formula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7119" priority="120">
      <formula>$AH34=0</formula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7118" priority="116">
      <formula>Y$9&gt;=20/24</formula>
    </cfRule>
    <cfRule type="expression" dxfId="7117" priority="117">
      <formula>AND(Y$9&gt;=14/24,Y$9&lt;20/24)</formula>
    </cfRule>
    <cfRule type="expression" dxfId="7116" priority="118">
      <formula>AND(Y$9&gt;=8/24,Y$9&lt;14/24)</formula>
    </cfRule>
    <cfRule type="expression" dxfId="7115" priority="119">
      <formula>Y$9&lt;8/24</formula>
    </cfRule>
  </conditionalFormatting>
  <conditionalFormatting sqref="Y96:AC102">
    <cfRule type="expression" dxfId="7114" priority="112">
      <formula>Y$9&gt;=20/24</formula>
    </cfRule>
    <cfRule type="expression" dxfId="7113" priority="113">
      <formula>AND(Y$9&gt;=14/24,Y$9&lt;20/24)</formula>
    </cfRule>
    <cfRule type="expression" dxfId="7112" priority="114">
      <formula>AND(Y$9&gt;=8/24,Y$9&lt;14/24)</formula>
    </cfRule>
    <cfRule type="expression" dxfId="7111" priority="115">
      <formula>Y$9&lt;8/24</formula>
    </cfRule>
  </conditionalFormatting>
  <conditionalFormatting sqref="B105:D105 B107:D112 B15:AF40">
    <cfRule type="expression" dxfId="7110" priority="108">
      <formula>B$9&gt;=20/24</formula>
    </cfRule>
    <cfRule type="expression" dxfId="7109" priority="109">
      <formula>AND(B$9&gt;=14/24,B$9&lt;20/24)</formula>
    </cfRule>
    <cfRule type="expression" dxfId="7108" priority="110">
      <formula>AND(B$9&gt;=8/24,B$9&lt;14/24)</formula>
    </cfRule>
    <cfRule type="expression" dxfId="7107" priority="111">
      <formula>B$9&lt;8/24</formula>
    </cfRule>
  </conditionalFormatting>
  <conditionalFormatting sqref="B43:S43">
    <cfRule type="expression" dxfId="7106" priority="104">
      <formula>B$9&gt;=20/24</formula>
    </cfRule>
    <cfRule type="expression" dxfId="7105" priority="105">
      <formula>AND(B$9&gt;=14/24,B$9&lt;20/24)</formula>
    </cfRule>
    <cfRule type="expression" dxfId="7104" priority="106">
      <formula>AND(B$9&gt;=8/24,B$9&lt;14/24)</formula>
    </cfRule>
    <cfRule type="expression" dxfId="7103" priority="107">
      <formula>B$9&lt;8/24</formula>
    </cfRule>
  </conditionalFormatting>
  <conditionalFormatting sqref="B43:S43 B15:AF40">
    <cfRule type="expression" dxfId="7102" priority="103">
      <formula>B15&gt;$AG15</formula>
    </cfRule>
  </conditionalFormatting>
  <conditionalFormatting sqref="B95:E95">
    <cfRule type="expression" dxfId="7101" priority="99">
      <formula>B$9&gt;=20/24</formula>
    </cfRule>
    <cfRule type="expression" dxfId="7100" priority="100">
      <formula>AND(B$9&gt;=14/24,B$9&lt;20/24)</formula>
    </cfRule>
    <cfRule type="expression" dxfId="7099" priority="101">
      <formula>AND(B$9&gt;=8/24,B$9&lt;14/24)</formula>
    </cfRule>
    <cfRule type="expression" dxfId="7098" priority="102">
      <formula>B$9&lt;8/24</formula>
    </cfRule>
  </conditionalFormatting>
  <conditionalFormatting sqref="B67:D67 B50:F51">
    <cfRule type="expression" dxfId="7097" priority="95">
      <formula>B$9&gt;=20/24</formula>
    </cfRule>
    <cfRule type="expression" dxfId="7096" priority="96">
      <formula>AND(B$9&gt;=14/24,B$9&lt;20/24)</formula>
    </cfRule>
    <cfRule type="expression" dxfId="7095" priority="97">
      <formula>AND(B$9&gt;=8/24,B$9&lt;14/24)</formula>
    </cfRule>
    <cfRule type="expression" dxfId="7094" priority="98">
      <formula>B$9&lt;8/24</formula>
    </cfRule>
  </conditionalFormatting>
  <conditionalFormatting sqref="B49:F49">
    <cfRule type="expression" dxfId="7093" priority="91">
      <formula>B$9&gt;=20/24</formula>
    </cfRule>
    <cfRule type="expression" dxfId="7092" priority="92">
      <formula>AND(B$9&gt;=14/24,B$9&lt;20/24)</formula>
    </cfRule>
    <cfRule type="expression" dxfId="7091" priority="93">
      <formula>AND(B$9&gt;=8/24,B$9&lt;14/24)</formula>
    </cfRule>
    <cfRule type="expression" dxfId="7090" priority="94">
      <formula>B$9&lt;8/24</formula>
    </cfRule>
  </conditionalFormatting>
  <conditionalFormatting sqref="B49:F51">
    <cfRule type="expression" dxfId="7089" priority="90">
      <formula>B49&gt;$AG49</formula>
    </cfRule>
  </conditionalFormatting>
  <conditionalFormatting sqref="B82:C82 B92:W92 B68:D72 B96:E102 B63:R65 E70:AA72 B79:AF81 AB71:AF72">
    <cfRule type="expression" dxfId="7088" priority="86">
      <formula>B$9&gt;=20/24</formula>
    </cfRule>
    <cfRule type="expression" dxfId="7087" priority="87">
      <formula>AND(B$9&gt;=14/24,B$9&lt;20/24)</formula>
    </cfRule>
    <cfRule type="expression" dxfId="7086" priority="88">
      <formula>AND(B$9&gt;=8/24,B$9&lt;14/24)</formula>
    </cfRule>
    <cfRule type="expression" dxfId="7085" priority="89">
      <formula>B$9&lt;8/24</formula>
    </cfRule>
  </conditionalFormatting>
  <conditionalFormatting sqref="B52:L53 B63:R65">
    <cfRule type="expression" dxfId="7084" priority="85">
      <formula>B52&gt;$AG52</formula>
    </cfRule>
  </conditionalFormatting>
  <conditionalFormatting sqref="B54:AF54">
    <cfRule type="expression" dxfId="7083" priority="81">
      <formula>B$9&gt;=20/24</formula>
    </cfRule>
    <cfRule type="expression" dxfId="7082" priority="82">
      <formula>AND(B$9&gt;=14/24,B$9&lt;20/24)</formula>
    </cfRule>
    <cfRule type="expression" dxfId="7081" priority="83">
      <formula>AND(B$9&gt;=8/24,B$9&lt;14/24)</formula>
    </cfRule>
    <cfRule type="expression" dxfId="7080" priority="84">
      <formula>B$9&lt;8/24</formula>
    </cfRule>
  </conditionalFormatting>
  <conditionalFormatting sqref="B54:AF54">
    <cfRule type="expression" dxfId="7079" priority="80">
      <formula>B54&gt;$AG54</formula>
    </cfRule>
  </conditionalFormatting>
  <conditionalFormatting sqref="B84 B93">
    <cfRule type="expression" dxfId="7078" priority="76">
      <formula>B$9&gt;=20/24</formula>
    </cfRule>
    <cfRule type="expression" dxfId="7077" priority="77">
      <formula>AND(B$9&gt;=14/24,B$9&lt;20/24)</formula>
    </cfRule>
    <cfRule type="expression" dxfId="7076" priority="78">
      <formula>AND(B$9&gt;=8/24,B$9&lt;14/24)</formula>
    </cfRule>
    <cfRule type="expression" dxfId="7075" priority="79">
      <formula>B$9&lt;8/24</formula>
    </cfRule>
  </conditionalFormatting>
  <conditionalFormatting sqref="B42:AF42">
    <cfRule type="expression" dxfId="7074" priority="72">
      <formula>B$9&gt;=20/24</formula>
    </cfRule>
    <cfRule type="expression" dxfId="7073" priority="73">
      <formula>AND(B$9&gt;=14/24,B$9&lt;20/24)</formula>
    </cfRule>
    <cfRule type="expression" dxfId="7072" priority="74">
      <formula>AND(B$9&gt;=8/24,B$9&lt;14/24)</formula>
    </cfRule>
    <cfRule type="expression" dxfId="7071" priority="75">
      <formula>B$9&lt;8/24</formula>
    </cfRule>
  </conditionalFormatting>
  <conditionalFormatting sqref="B42:AF42">
    <cfRule type="expression" dxfId="7070" priority="71">
      <formula>B42&gt;$AG42</formula>
    </cfRule>
  </conditionalFormatting>
  <conditionalFormatting sqref="B66:AF66 B83:AF83 B85:AF85 B94:AF94">
    <cfRule type="expression" dxfId="7069" priority="67">
      <formula>B$9&gt;=20/24</formula>
    </cfRule>
    <cfRule type="expression" dxfId="7068" priority="68">
      <formula>AND(B$9&gt;=14/24,B$9&lt;20/24)</formula>
    </cfRule>
    <cfRule type="expression" dxfId="7067" priority="69">
      <formula>AND(B$9&gt;=8/24,B$9&lt;14/24)</formula>
    </cfRule>
    <cfRule type="expression" dxfId="7066" priority="70">
      <formula>B$9&lt;8/24</formula>
    </cfRule>
  </conditionalFormatting>
  <conditionalFormatting sqref="B44:AF44 B61:AF62 B66:AF66">
    <cfRule type="expression" dxfId="7065" priority="66">
      <formula>B44&gt;$AG44</formula>
    </cfRule>
  </conditionalFormatting>
  <conditionalFormatting sqref="B78:AF78">
    <cfRule type="expression" dxfId="7064" priority="62">
      <formula>B$9&gt;=20/24</formula>
    </cfRule>
    <cfRule type="expression" dxfId="7063" priority="63">
      <formula>AND(B$9&gt;=14/24,B$9&lt;20/24)</formula>
    </cfRule>
    <cfRule type="expression" dxfId="7062" priority="64">
      <formula>AND(B$9&gt;=8/24,B$9&lt;14/24)</formula>
    </cfRule>
    <cfRule type="expression" dxfId="7061" priority="65">
      <formula>B$9&lt;8/24</formula>
    </cfRule>
  </conditionalFormatting>
  <conditionalFormatting sqref="B87:W91">
    <cfRule type="expression" dxfId="7060" priority="58">
      <formula>B$9&gt;=20/24</formula>
    </cfRule>
    <cfRule type="expression" dxfId="7059" priority="59">
      <formula>AND(B$9&gt;=14/24,B$9&lt;20/24)</formula>
    </cfRule>
    <cfRule type="expression" dxfId="7058" priority="60">
      <formula>AND(B$9&gt;=8/24,B$9&lt;14/24)</formula>
    </cfRule>
    <cfRule type="expression" dxfId="7057" priority="61">
      <formula>B$9&lt;8/24</formula>
    </cfRule>
  </conditionalFormatting>
  <conditionalFormatting sqref="B45:D47 E46:L47">
    <cfRule type="expression" dxfId="7056" priority="54">
      <formula>B$9&gt;=20/24</formula>
    </cfRule>
    <cfRule type="expression" dxfId="7055" priority="55">
      <formula>AND(B$9&gt;=14/24,B$9&lt;20/24)</formula>
    </cfRule>
    <cfRule type="expression" dxfId="7054" priority="56">
      <formula>AND(B$9&gt;=8/24,B$9&lt;14/24)</formula>
    </cfRule>
    <cfRule type="expression" dxfId="7053" priority="57">
      <formula>B$9&lt;8/24</formula>
    </cfRule>
  </conditionalFormatting>
  <conditionalFormatting sqref="B45:D47 E46:L47">
    <cfRule type="expression" dxfId="7052" priority="53">
      <formula>B45&gt;$AG45</formula>
    </cfRule>
  </conditionalFormatting>
  <conditionalFormatting sqref="B48:AF48">
    <cfRule type="expression" dxfId="7051" priority="49">
      <formula>B$9&gt;=20/24</formula>
    </cfRule>
    <cfRule type="expression" dxfId="7050" priority="50">
      <formula>AND(B$9&gt;=14/24,B$9&lt;20/24)</formula>
    </cfRule>
    <cfRule type="expression" dxfId="7049" priority="51">
      <formula>AND(B$9&gt;=8/24,B$9&lt;14/24)</formula>
    </cfRule>
    <cfRule type="expression" dxfId="7048" priority="52">
      <formula>B$9&lt;8/24</formula>
    </cfRule>
  </conditionalFormatting>
  <conditionalFormatting sqref="B48:AF48">
    <cfRule type="expression" dxfId="7047" priority="48">
      <formula>B48&gt;$AG48</formula>
    </cfRule>
  </conditionalFormatting>
  <conditionalFormatting sqref="B103">
    <cfRule type="expression" dxfId="7046" priority="44">
      <formula>B$9&gt;=20/24</formula>
    </cfRule>
    <cfRule type="expression" dxfId="7045" priority="45">
      <formula>AND(B$9&gt;=14/24,B$9&lt;20/24)</formula>
    </cfRule>
    <cfRule type="expression" dxfId="7044" priority="46">
      <formula>AND(B$9&gt;=8/24,B$9&lt;14/24)</formula>
    </cfRule>
    <cfRule type="expression" dxfId="7043" priority="47">
      <formula>B$9&lt;8/24</formula>
    </cfRule>
  </conditionalFormatting>
  <conditionalFormatting sqref="B106:D106">
    <cfRule type="expression" dxfId="7042" priority="32">
      <formula>B$9&gt;=20/24</formula>
    </cfRule>
    <cfRule type="expression" dxfId="7041" priority="33">
      <formula>AND(B$9&gt;=14/24,B$9&lt;20/24)</formula>
    </cfRule>
    <cfRule type="expression" dxfId="7040" priority="34">
      <formula>AND(B$9&gt;=8/24,B$9&lt;14/24)</formula>
    </cfRule>
    <cfRule type="expression" dxfId="7039" priority="35">
      <formula>B$9&lt;8/24</formula>
    </cfRule>
  </conditionalFormatting>
  <conditionalFormatting sqref="B55:AF60">
    <cfRule type="expression" dxfId="7038" priority="28">
      <formula>B$9&gt;=20/24</formula>
    </cfRule>
    <cfRule type="expression" dxfId="7037" priority="29">
      <formula>AND(B$9&gt;=14/24,B$9&lt;20/24)</formula>
    </cfRule>
    <cfRule type="expression" dxfId="7036" priority="30">
      <formula>AND(B$9&gt;=8/24,B$9&lt;14/24)</formula>
    </cfRule>
    <cfRule type="expression" dxfId="7035" priority="31">
      <formula>B$9&lt;8/24</formula>
    </cfRule>
  </conditionalFormatting>
  <conditionalFormatting sqref="B55:AF60">
    <cfRule type="expression" dxfId="7034" priority="27">
      <formula>B55&gt;$AG55</formula>
    </cfRule>
  </conditionalFormatting>
  <conditionalFormatting sqref="B41:AF41 B12:AF14">
    <cfRule type="expression" dxfId="7033" priority="26">
      <formula>B12&gt;$AG12</formula>
    </cfRule>
  </conditionalFormatting>
  <conditionalFormatting sqref="B11:AF11">
    <cfRule type="expression" dxfId="7032" priority="22">
      <formula>B$9&gt;=20/24</formula>
    </cfRule>
    <cfRule type="expression" dxfId="7031" priority="23">
      <formula>AND(B$9&gt;=14/24,B$9&lt;20/24)</formula>
    </cfRule>
    <cfRule type="expression" dxfId="7030" priority="24">
      <formula>AND(B$9&gt;=8/24,B$9&lt;14/24)</formula>
    </cfRule>
    <cfRule type="expression" dxfId="7029" priority="25">
      <formula>B$9&lt;8/24</formula>
    </cfRule>
  </conditionalFormatting>
  <conditionalFormatting sqref="B11:AF11">
    <cfRule type="expression" dxfId="7028" priority="21">
      <formula>B11&gt;$AG11</formula>
    </cfRule>
  </conditionalFormatting>
  <conditionalFormatting sqref="B12:AF14">
    <cfRule type="expression" dxfId="7027" priority="17">
      <formula>B$9&gt;=20/24</formula>
    </cfRule>
    <cfRule type="expression" dxfId="7026" priority="18">
      <formula>AND(B$9&gt;=14/24,B$9&lt;20/24)</formula>
    </cfRule>
    <cfRule type="expression" dxfId="7025" priority="19">
      <formula>AND(B$9&gt;=8/24,B$9&lt;14/24)</formula>
    </cfRule>
    <cfRule type="expression" dxfId="7024" priority="20">
      <formula>B$9&lt;8/24</formula>
    </cfRule>
  </conditionalFormatting>
  <conditionalFormatting sqref="B41:AF41">
    <cfRule type="expression" dxfId="7023" priority="13">
      <formula>B$9&gt;=20/24</formula>
    </cfRule>
    <cfRule type="expression" dxfId="7022" priority="14">
      <formula>AND(B$9&gt;=14/24,B$9&lt;20/24)</formula>
    </cfRule>
    <cfRule type="expression" dxfId="7021" priority="15">
      <formula>AND(B$9&gt;=8/24,B$9&lt;14/24)</formula>
    </cfRule>
    <cfRule type="expression" dxfId="7020" priority="16">
      <formula>B$9&lt;8/24</formula>
    </cfRule>
  </conditionalFormatting>
  <conditionalFormatting sqref="B73:AF77">
    <cfRule type="expression" dxfId="7019" priority="9">
      <formula>B$9&gt;=20/24</formula>
    </cfRule>
    <cfRule type="expression" dxfId="7018" priority="10">
      <formula>AND(B$9&gt;=14/24,B$9&lt;20/24)</formula>
    </cfRule>
    <cfRule type="expression" dxfId="7017" priority="11">
      <formula>AND(B$9&gt;=8/24,B$9&lt;14/24)</formula>
    </cfRule>
    <cfRule type="expression" dxfId="7016" priority="12">
      <formula>B$9&lt;8/24</formula>
    </cfRule>
  </conditionalFormatting>
  <conditionalFormatting sqref="AL74:AN74 AL80:AN80 AN75:AN76">
    <cfRule type="expression" dxfId="7015" priority="5">
      <formula>AL$9&gt;=20/24</formula>
    </cfRule>
    <cfRule type="expression" dxfId="7014" priority="6">
      <formula>AND(AL$9&gt;=14/24,AL$9&lt;20/24)</formula>
    </cfRule>
    <cfRule type="expression" dxfId="7013" priority="7">
      <formula>AND(AL$9&gt;=8/24,AL$9&lt;14/24)</formula>
    </cfRule>
    <cfRule type="expression" dxfId="7012" priority="8">
      <formula>AL$9&lt;8/24</formula>
    </cfRule>
  </conditionalFormatting>
  <conditionalFormatting sqref="AN77:AN78">
    <cfRule type="expression" dxfId="7011" priority="1">
      <formula>AN$9&gt;=20/24</formula>
    </cfRule>
    <cfRule type="expression" dxfId="7010" priority="2">
      <formula>AND(AN$9&gt;=14/24,AN$9&lt;20/24)</formula>
    </cfRule>
    <cfRule type="expression" dxfId="7009" priority="3">
      <formula>AND(AN$9&gt;=8/24,AN$9&lt;14/24)</formula>
    </cfRule>
    <cfRule type="expression" dxfId="7008" priority="4">
      <formula>AN$9&lt;8/24</formula>
    </cfRule>
  </conditionalFormatting>
  <conditionalFormatting sqref="AL75:AM79">
    <cfRule type="expression" dxfId="7007" priority="258">
      <formula>AJ$9&gt;=20/24</formula>
    </cfRule>
    <cfRule type="expression" dxfId="7006" priority="259">
      <formula>AND(AJ$9&gt;=14/24,AJ$9&lt;20/24)</formula>
    </cfRule>
    <cfRule type="expression" dxfId="7005" priority="260">
      <formula>AND(AJ$9&gt;=8/24,AJ$9&lt;14/24)</formula>
    </cfRule>
    <cfRule type="expression" dxfId="7004" priority="261">
      <formula>AJ$9&lt;8/24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4" id="{49EBBF3A-847E-4CD9-9989-13CB1281AFC1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BBC51E6E-1E60-453B-89CD-3FABEC47221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C16E1A63-4302-47D9-A471-60419A1CA2A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44CA661E-4228-4969-BFCC-20678952E3D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E113:AF113</xm:sqref>
        </x14:conditionalFormatting>
        <x14:conditionalFormatting xmlns:xm="http://schemas.microsoft.com/office/excel/2006/main">
          <x14:cfRule type="expression" priority="40" id="{949E5C24-5C77-4478-8C02-69956A935CC4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6AB70458-95A3-479A-A860-F31E7C425D74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" id="{62DFACC1-E0E4-4CC5-9982-56A3ECE8981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" id="{5C4310E7-61AC-4738-A763-350C4ECA984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6" id="{A1FBC46F-A7E1-41A0-A209-EEC269E77F69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D920275C-D7F7-48BE-AB73-E29C5F0991F7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9A07C33E-4C81-4FC6-A337-B61302659FC5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55FA34D1-2963-48CC-A099-00D282DACBD8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B113:D113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J274"/>
  <sheetViews>
    <sheetView workbookViewId="0">
      <pane ySplit="10" topLeftCell="A23" activePane="bottomLeft" state="frozen"/>
      <selection activeCell="U80" sqref="U80"/>
      <selection pane="bottomLeft" activeCell="AF51" sqref="AF51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/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str">
        <f ca="1">"2079/"&amp;"09/"&amp;INT(MID(CELL("filename",D6),FIND("]",CELL("filename",D6))+1,200))</f>
        <v>2079/09/10</v>
      </c>
      <c r="C4" s="771"/>
      <c r="D4" s="771"/>
      <c r="E4" s="772" t="str">
        <f ca="1">"2079/"&amp;"09/"&amp;INT(MID(CELL("filename",G6),FIND("]",CELL("filename",G6))+1,200))</f>
        <v>2079/09/10</v>
      </c>
      <c r="F4" s="772"/>
      <c r="G4" s="772"/>
      <c r="H4" s="772" t="str">
        <f ca="1">TEXT(E4,"dddd")</f>
        <v>Sunday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477</v>
      </c>
      <c r="C5" s="30">
        <f t="shared" si="0"/>
        <v>457.8</v>
      </c>
      <c r="D5" s="30">
        <f t="shared" si="0"/>
        <v>445</v>
      </c>
      <c r="E5" s="30">
        <f t="shared" si="0"/>
        <v>456.55500000000001</v>
      </c>
      <c r="F5" s="30">
        <f t="shared" si="0"/>
        <v>478.9</v>
      </c>
      <c r="G5" s="30">
        <f t="shared" si="0"/>
        <v>465.8</v>
      </c>
      <c r="H5" s="30">
        <f t="shared" si="0"/>
        <v>486.40000000000003</v>
      </c>
      <c r="I5" s="30">
        <f t="shared" si="0"/>
        <v>427</v>
      </c>
      <c r="J5" s="30">
        <f t="shared" si="0"/>
        <v>0</v>
      </c>
      <c r="K5" s="30">
        <f t="shared" si="0"/>
        <v>343</v>
      </c>
      <c r="L5" s="30">
        <f t="shared" si="0"/>
        <v>369.6</v>
      </c>
      <c r="M5" s="30">
        <f t="shared" si="0"/>
        <v>369.09999999999997</v>
      </c>
      <c r="N5" s="30">
        <f t="shared" si="0"/>
        <v>373.9</v>
      </c>
      <c r="O5" s="30">
        <f t="shared" si="0"/>
        <v>417.90000000000003</v>
      </c>
      <c r="P5" s="30">
        <f t="shared" si="0"/>
        <v>446.5</v>
      </c>
      <c r="Q5" s="30">
        <f t="shared" si="0"/>
        <v>492.50000000000006</v>
      </c>
      <c r="R5" s="30">
        <f t="shared" si="0"/>
        <v>511.4</v>
      </c>
      <c r="S5" s="30">
        <f t="shared" si="0"/>
        <v>512.20000000000005</v>
      </c>
      <c r="T5" s="30">
        <f t="shared" si="0"/>
        <v>495.9</v>
      </c>
      <c r="U5" s="30">
        <f t="shared" si="0"/>
        <v>417.90000000000003</v>
      </c>
      <c r="V5" s="30">
        <f t="shared" si="0"/>
        <v>422.6</v>
      </c>
      <c r="W5" s="30">
        <f t="shared" si="0"/>
        <v>385.7</v>
      </c>
      <c r="X5" s="30">
        <f t="shared" si="0"/>
        <v>402.3</v>
      </c>
      <c r="Y5" s="30">
        <f t="shared" si="0"/>
        <v>354.8</v>
      </c>
      <c r="Z5" s="30">
        <f t="shared" si="0"/>
        <v>298</v>
      </c>
      <c r="AA5" s="30">
        <f t="shared" si="0"/>
        <v>411</v>
      </c>
      <c r="AB5" s="30">
        <f t="shared" si="0"/>
        <v>416</v>
      </c>
      <c r="AC5" s="30">
        <f t="shared" si="0"/>
        <v>415</v>
      </c>
      <c r="AD5" s="30">
        <f t="shared" si="0"/>
        <v>416</v>
      </c>
      <c r="AE5" s="30">
        <f t="shared" si="0"/>
        <v>471</v>
      </c>
      <c r="AF5" s="30">
        <f>B78</f>
        <v>478.9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1613MW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Load=124</v>
      </c>
      <c r="B7" s="35">
        <f t="shared" ref="B7:AF7" si="1">B85</f>
        <v>1091.54</v>
      </c>
      <c r="C7" s="35">
        <f t="shared" si="1"/>
        <v>1064.6399999999999</v>
      </c>
      <c r="D7" s="35">
        <f t="shared" si="1"/>
        <v>1080.44</v>
      </c>
      <c r="E7" s="35">
        <f t="shared" si="1"/>
        <v>1052.24</v>
      </c>
      <c r="F7" s="35">
        <f t="shared" si="1"/>
        <v>1073.7950000000001</v>
      </c>
      <c r="G7" s="35">
        <f t="shared" si="1"/>
        <v>1117.8399999999999</v>
      </c>
      <c r="H7" s="35">
        <f t="shared" si="1"/>
        <v>1168.8399999999999</v>
      </c>
      <c r="I7" s="35">
        <f t="shared" si="1"/>
        <v>1236.3399999999999</v>
      </c>
      <c r="J7" s="35">
        <f t="shared" si="1"/>
        <v>1306.8399999999999</v>
      </c>
      <c r="K7" s="35">
        <f t="shared" si="1"/>
        <v>123.54</v>
      </c>
      <c r="L7" s="35">
        <f t="shared" si="1"/>
        <v>923.04</v>
      </c>
      <c r="M7" s="35">
        <f t="shared" si="1"/>
        <v>1612.8399999999997</v>
      </c>
      <c r="N7" s="35">
        <f>N85</f>
        <v>1490.54</v>
      </c>
      <c r="O7" s="35">
        <f t="shared" si="1"/>
        <v>1388.1399999999999</v>
      </c>
      <c r="P7" s="35">
        <f t="shared" si="1"/>
        <v>1178.6400000000001</v>
      </c>
      <c r="Q7" s="35">
        <f t="shared" si="1"/>
        <v>1319.44</v>
      </c>
      <c r="R7" s="35">
        <f t="shared" si="1"/>
        <v>1288.6399999999999</v>
      </c>
      <c r="S7" s="35">
        <f t="shared" si="1"/>
        <v>1342.74</v>
      </c>
      <c r="T7" s="35">
        <f t="shared" si="1"/>
        <v>1320.24</v>
      </c>
      <c r="U7" s="35">
        <f t="shared" si="1"/>
        <v>1368.94</v>
      </c>
      <c r="V7" s="35">
        <f t="shared" si="1"/>
        <v>1346.94</v>
      </c>
      <c r="W7" s="35">
        <f t="shared" si="1"/>
        <v>1401.1399999999999</v>
      </c>
      <c r="X7" s="35">
        <f t="shared" si="1"/>
        <v>1583.74</v>
      </c>
      <c r="Y7" s="35">
        <f t="shared" si="1"/>
        <v>1633.34</v>
      </c>
      <c r="Z7" s="35">
        <f t="shared" si="1"/>
        <v>1586.94</v>
      </c>
      <c r="AA7" s="35">
        <f t="shared" si="1"/>
        <v>1539.14</v>
      </c>
      <c r="AB7" s="35">
        <f t="shared" si="1"/>
        <v>1405.34</v>
      </c>
      <c r="AC7" s="35">
        <f t="shared" si="1"/>
        <v>1372.74</v>
      </c>
      <c r="AD7" s="35">
        <f t="shared" si="1"/>
        <v>1301.3399999999999</v>
      </c>
      <c r="AE7" s="35">
        <f t="shared" si="1"/>
        <v>1277.3399999999999</v>
      </c>
      <c r="AF7" s="35">
        <f t="shared" si="1"/>
        <v>1120.3400000000001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17.7</v>
      </c>
      <c r="C11" s="45">
        <v>17.7</v>
      </c>
      <c r="D11" s="45">
        <v>17.7</v>
      </c>
      <c r="E11" s="45">
        <v>18.8</v>
      </c>
      <c r="F11" s="45">
        <v>18.8</v>
      </c>
      <c r="G11" s="45">
        <v>18.8</v>
      </c>
      <c r="H11" s="45">
        <v>18.8</v>
      </c>
      <c r="I11" s="45">
        <v>18.8</v>
      </c>
      <c r="J11" s="45">
        <v>18.8</v>
      </c>
      <c r="K11" s="45"/>
      <c r="L11" s="45">
        <v>18.8</v>
      </c>
      <c r="M11" s="45">
        <v>18.100000000000001</v>
      </c>
      <c r="N11" s="45">
        <v>18.100000000000001</v>
      </c>
      <c r="O11" s="45">
        <v>18.899999999999999</v>
      </c>
      <c r="P11" s="45">
        <v>18.7</v>
      </c>
      <c r="Q11" s="45">
        <v>18.2</v>
      </c>
      <c r="R11" s="45">
        <v>18.2</v>
      </c>
      <c r="S11" s="45">
        <v>17.5</v>
      </c>
      <c r="T11" s="45">
        <v>17.5</v>
      </c>
      <c r="U11" s="45">
        <v>17.5</v>
      </c>
      <c r="V11" s="45">
        <v>17.5</v>
      </c>
      <c r="W11" s="45">
        <v>17.5</v>
      </c>
      <c r="X11" s="45">
        <v>17.5</v>
      </c>
      <c r="Y11" s="45">
        <v>17.5</v>
      </c>
      <c r="Z11" s="45">
        <v>17.5</v>
      </c>
      <c r="AA11" s="45">
        <v>17.5</v>
      </c>
      <c r="AB11" s="45">
        <v>17.5</v>
      </c>
      <c r="AC11" s="45">
        <v>18.399999999999999</v>
      </c>
      <c r="AD11" s="45">
        <v>18.399999999999999</v>
      </c>
      <c r="AE11" s="45">
        <v>18.399999999999999</v>
      </c>
      <c r="AF11" s="45">
        <v>18.399999999999999</v>
      </c>
      <c r="AG11" s="46">
        <v>52.4</v>
      </c>
      <c r="AH11" s="47">
        <f t="shared" ref="AH11:AH74" si="2">MAX(B11:AF11)</f>
        <v>18.899999999999999</v>
      </c>
      <c r="AI11" s="48">
        <f t="shared" ref="AI11:AI74" si="3">MIN(B11:AF11)</f>
        <v>17.5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34.6</v>
      </c>
      <c r="C12" s="45">
        <v>34.6</v>
      </c>
      <c r="D12" s="45">
        <v>34.6</v>
      </c>
      <c r="E12" s="45">
        <v>35</v>
      </c>
      <c r="F12" s="45">
        <v>35</v>
      </c>
      <c r="G12" s="45">
        <v>35</v>
      </c>
      <c r="H12" s="45">
        <v>35</v>
      </c>
      <c r="I12" s="45">
        <v>35</v>
      </c>
      <c r="J12" s="45">
        <v>35</v>
      </c>
      <c r="K12" s="45" t="s">
        <v>694</v>
      </c>
      <c r="L12" s="45">
        <v>35</v>
      </c>
      <c r="M12" s="45">
        <v>40</v>
      </c>
      <c r="N12" s="45">
        <v>40</v>
      </c>
      <c r="O12" s="45">
        <v>33</v>
      </c>
      <c r="P12" s="45">
        <v>34.9</v>
      </c>
      <c r="Q12" s="45">
        <v>34.9</v>
      </c>
      <c r="R12" s="45">
        <v>35</v>
      </c>
      <c r="S12" s="45">
        <v>35</v>
      </c>
      <c r="T12" s="45">
        <v>35</v>
      </c>
      <c r="U12" s="45">
        <v>35</v>
      </c>
      <c r="V12" s="45">
        <v>35</v>
      </c>
      <c r="W12" s="45">
        <v>35</v>
      </c>
      <c r="X12" s="45">
        <v>35</v>
      </c>
      <c r="Y12" s="45">
        <v>35</v>
      </c>
      <c r="Z12" s="45">
        <v>35</v>
      </c>
      <c r="AA12" s="45">
        <v>35</v>
      </c>
      <c r="AB12" s="45">
        <v>35</v>
      </c>
      <c r="AC12" s="45">
        <v>35</v>
      </c>
      <c r="AD12" s="45">
        <v>35</v>
      </c>
      <c r="AE12" s="45">
        <v>35</v>
      </c>
      <c r="AF12" s="45">
        <v>35</v>
      </c>
      <c r="AG12" s="50">
        <v>50</v>
      </c>
      <c r="AH12" s="47">
        <f t="shared" si="2"/>
        <v>40</v>
      </c>
      <c r="AI12" s="48">
        <f t="shared" si="3"/>
        <v>33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21.8</v>
      </c>
      <c r="C13" s="45">
        <v>21.8</v>
      </c>
      <c r="D13" s="45">
        <v>21.8</v>
      </c>
      <c r="E13" s="45">
        <v>19.7</v>
      </c>
      <c r="F13" s="45">
        <v>19.7</v>
      </c>
      <c r="G13" s="45">
        <v>19.7</v>
      </c>
      <c r="H13" s="45">
        <v>19.7</v>
      </c>
      <c r="I13" s="45">
        <v>19.7</v>
      </c>
      <c r="J13" s="45">
        <v>19.7</v>
      </c>
      <c r="K13" s="45" t="s">
        <v>695</v>
      </c>
      <c r="L13" s="45">
        <v>19.7</v>
      </c>
      <c r="M13" s="45">
        <v>19.3</v>
      </c>
      <c r="N13" s="45">
        <v>19.3</v>
      </c>
      <c r="O13" s="45">
        <v>19.399999999999999</v>
      </c>
      <c r="P13" s="45">
        <v>19.100000000000001</v>
      </c>
      <c r="Q13" s="45">
        <v>19.100000000000001</v>
      </c>
      <c r="R13" s="45">
        <v>19.2</v>
      </c>
      <c r="S13" s="45">
        <v>18.7</v>
      </c>
      <c r="T13" s="45">
        <v>18.7</v>
      </c>
      <c r="U13" s="45">
        <v>18.7</v>
      </c>
      <c r="V13" s="45">
        <v>18.7</v>
      </c>
      <c r="W13" s="45">
        <v>18.7</v>
      </c>
      <c r="X13" s="45">
        <v>18.7</v>
      </c>
      <c r="Y13" s="45">
        <v>18.7</v>
      </c>
      <c r="Z13" s="45">
        <v>18.7</v>
      </c>
      <c r="AA13" s="45">
        <v>18.7</v>
      </c>
      <c r="AB13" s="45">
        <v>18.7</v>
      </c>
      <c r="AC13" s="45">
        <v>18.7</v>
      </c>
      <c r="AD13" s="45">
        <v>18.7</v>
      </c>
      <c r="AE13" s="45">
        <v>18.7</v>
      </c>
      <c r="AF13" s="45">
        <v>18.7</v>
      </c>
      <c r="AG13" s="50">
        <v>45</v>
      </c>
      <c r="AH13" s="47">
        <f t="shared" si="2"/>
        <v>21.8</v>
      </c>
      <c r="AI13" s="48">
        <f t="shared" si="3"/>
        <v>18.7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8</v>
      </c>
      <c r="C14" s="45">
        <v>8</v>
      </c>
      <c r="D14" s="45">
        <v>8</v>
      </c>
      <c r="E14" s="45">
        <v>9</v>
      </c>
      <c r="F14" s="45">
        <v>9</v>
      </c>
      <c r="G14" s="45">
        <v>9</v>
      </c>
      <c r="H14" s="45">
        <v>9</v>
      </c>
      <c r="I14" s="45">
        <v>9</v>
      </c>
      <c r="J14" s="45">
        <v>9</v>
      </c>
      <c r="K14" s="45" t="s">
        <v>694</v>
      </c>
      <c r="L14" s="45">
        <v>9</v>
      </c>
      <c r="M14" s="45">
        <v>9</v>
      </c>
      <c r="N14" s="45">
        <v>9</v>
      </c>
      <c r="O14" s="45">
        <v>10</v>
      </c>
      <c r="P14" s="45">
        <v>10</v>
      </c>
      <c r="Q14" s="45">
        <v>10</v>
      </c>
      <c r="R14" s="45">
        <v>10</v>
      </c>
      <c r="S14" s="45">
        <v>10</v>
      </c>
      <c r="T14" s="45">
        <v>10</v>
      </c>
      <c r="U14" s="45">
        <v>10</v>
      </c>
      <c r="V14" s="45">
        <v>10</v>
      </c>
      <c r="W14" s="45">
        <v>10</v>
      </c>
      <c r="X14" s="45">
        <v>10</v>
      </c>
      <c r="Y14" s="45">
        <v>0</v>
      </c>
      <c r="Z14" s="45">
        <v>10</v>
      </c>
      <c r="AA14" s="45">
        <v>10</v>
      </c>
      <c r="AB14" s="45">
        <v>10</v>
      </c>
      <c r="AC14" s="45">
        <v>10</v>
      </c>
      <c r="AD14" s="45">
        <v>10</v>
      </c>
      <c r="AE14" s="45">
        <v>10</v>
      </c>
      <c r="AF14" s="45">
        <v>10</v>
      </c>
      <c r="AG14" s="50">
        <v>42</v>
      </c>
      <c r="AH14" s="47">
        <f t="shared" si="2"/>
        <v>10</v>
      </c>
      <c r="AI14" s="48">
        <f t="shared" si="3"/>
        <v>0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13</v>
      </c>
      <c r="C15" s="45">
        <v>13</v>
      </c>
      <c r="D15" s="45">
        <v>13</v>
      </c>
      <c r="E15" s="45">
        <v>13</v>
      </c>
      <c r="F15" s="45">
        <v>13</v>
      </c>
      <c r="G15" s="45">
        <v>13</v>
      </c>
      <c r="H15" s="45">
        <v>13</v>
      </c>
      <c r="I15" s="45">
        <v>13</v>
      </c>
      <c r="J15" s="45">
        <v>13</v>
      </c>
      <c r="K15" s="45"/>
      <c r="L15" s="45">
        <v>13</v>
      </c>
      <c r="M15" s="45">
        <v>13</v>
      </c>
      <c r="N15" s="45">
        <v>13</v>
      </c>
      <c r="O15" s="45">
        <v>13</v>
      </c>
      <c r="P15" s="45">
        <v>13</v>
      </c>
      <c r="Q15" s="45">
        <v>13</v>
      </c>
      <c r="R15" s="45">
        <v>13</v>
      </c>
      <c r="S15" s="45">
        <v>13</v>
      </c>
      <c r="T15" s="45">
        <v>13</v>
      </c>
      <c r="U15" s="45">
        <v>13</v>
      </c>
      <c r="V15" s="45">
        <v>13</v>
      </c>
      <c r="W15" s="45">
        <v>13</v>
      </c>
      <c r="X15" s="45">
        <v>13</v>
      </c>
      <c r="Y15" s="45">
        <v>13</v>
      </c>
      <c r="Z15" s="45">
        <v>13</v>
      </c>
      <c r="AA15" s="45">
        <v>13</v>
      </c>
      <c r="AB15" s="45">
        <v>13</v>
      </c>
      <c r="AC15" s="45">
        <v>13</v>
      </c>
      <c r="AD15" s="45">
        <v>13</v>
      </c>
      <c r="AE15" s="45">
        <v>13</v>
      </c>
      <c r="AF15" s="45">
        <v>13</v>
      </c>
      <c r="AG15" s="50">
        <v>36</v>
      </c>
      <c r="AH15" s="47">
        <f t="shared" si="2"/>
        <v>13</v>
      </c>
      <c r="AI15" s="48">
        <f t="shared" si="3"/>
        <v>13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9</v>
      </c>
      <c r="C16" s="45">
        <v>9</v>
      </c>
      <c r="D16" s="45">
        <v>9</v>
      </c>
      <c r="E16" s="45">
        <v>9</v>
      </c>
      <c r="F16" s="45">
        <v>9</v>
      </c>
      <c r="G16" s="45">
        <v>9</v>
      </c>
      <c r="H16" s="45">
        <v>9</v>
      </c>
      <c r="I16" s="45">
        <v>9</v>
      </c>
      <c r="J16" s="45">
        <v>9</v>
      </c>
      <c r="K16" s="45"/>
      <c r="L16" s="45">
        <v>9</v>
      </c>
      <c r="M16" s="45">
        <v>9</v>
      </c>
      <c r="N16" s="45">
        <v>9</v>
      </c>
      <c r="O16" s="45">
        <v>9</v>
      </c>
      <c r="P16" s="45">
        <v>9</v>
      </c>
      <c r="Q16" s="45">
        <v>9</v>
      </c>
      <c r="R16" s="45">
        <v>9</v>
      </c>
      <c r="S16" s="45">
        <v>9</v>
      </c>
      <c r="T16" s="45">
        <v>9</v>
      </c>
      <c r="U16" s="45">
        <v>9</v>
      </c>
      <c r="V16" s="45">
        <v>9</v>
      </c>
      <c r="W16" s="45">
        <v>9</v>
      </c>
      <c r="X16" s="45">
        <v>9</v>
      </c>
      <c r="Y16" s="45">
        <v>9</v>
      </c>
      <c r="Z16" s="45">
        <v>9</v>
      </c>
      <c r="AA16" s="45">
        <v>9</v>
      </c>
      <c r="AB16" s="45">
        <v>9</v>
      </c>
      <c r="AC16" s="45">
        <v>9</v>
      </c>
      <c r="AD16" s="45">
        <v>9</v>
      </c>
      <c r="AE16" s="45">
        <v>9</v>
      </c>
      <c r="AF16" s="45">
        <v>9</v>
      </c>
      <c r="AG16" s="51">
        <v>30</v>
      </c>
      <c r="AH16" s="47">
        <f t="shared" si="2"/>
        <v>9</v>
      </c>
      <c r="AI16" s="48">
        <f t="shared" si="3"/>
        <v>9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8.5</v>
      </c>
      <c r="C17" s="45">
        <v>8.5</v>
      </c>
      <c r="D17" s="45">
        <v>8.5</v>
      </c>
      <c r="E17" s="45">
        <v>8.4</v>
      </c>
      <c r="F17" s="45">
        <v>8.4</v>
      </c>
      <c r="G17" s="45">
        <v>8.4</v>
      </c>
      <c r="H17" s="45">
        <v>8.4</v>
      </c>
      <c r="I17" s="45">
        <v>8.4</v>
      </c>
      <c r="J17" s="45">
        <v>8.4</v>
      </c>
      <c r="K17" s="45"/>
      <c r="L17" s="45">
        <v>8.4</v>
      </c>
      <c r="M17" s="45">
        <v>8.4</v>
      </c>
      <c r="N17" s="45">
        <v>8.4</v>
      </c>
      <c r="O17" s="45">
        <v>8.4</v>
      </c>
      <c r="P17" s="45">
        <v>8.4</v>
      </c>
      <c r="Q17" s="45">
        <v>8.4</v>
      </c>
      <c r="R17" s="45">
        <v>8.4</v>
      </c>
      <c r="S17" s="45">
        <v>8.4</v>
      </c>
      <c r="T17" s="45">
        <v>8.4</v>
      </c>
      <c r="U17" s="45">
        <v>8.4</v>
      </c>
      <c r="V17" s="45">
        <v>8.4</v>
      </c>
      <c r="W17" s="45">
        <v>8.4</v>
      </c>
      <c r="X17" s="45">
        <v>8.4</v>
      </c>
      <c r="Y17" s="45">
        <v>8.4</v>
      </c>
      <c r="Z17" s="45">
        <v>8.4</v>
      </c>
      <c r="AA17" s="45">
        <v>8.4</v>
      </c>
      <c r="AB17" s="45">
        <v>8.4</v>
      </c>
      <c r="AC17" s="45">
        <v>8.4</v>
      </c>
      <c r="AD17" s="45">
        <v>8.4</v>
      </c>
      <c r="AE17" s="45">
        <v>8.4</v>
      </c>
      <c r="AF17" s="45">
        <v>8.4</v>
      </c>
      <c r="AG17" s="50">
        <v>24.2</v>
      </c>
      <c r="AH17" s="47">
        <f t="shared" si="2"/>
        <v>8.5</v>
      </c>
      <c r="AI17" s="48">
        <f t="shared" si="3"/>
        <v>8.4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/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0">
        <v>28</v>
      </c>
      <c r="AH18" s="47">
        <f t="shared" si="2"/>
        <v>13</v>
      </c>
      <c r="AI18" s="48">
        <f t="shared" si="3"/>
        <v>13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/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9.3000000000000007</v>
      </c>
      <c r="C20" s="45">
        <v>9.3000000000000007</v>
      </c>
      <c r="D20" s="45">
        <v>9.3000000000000007</v>
      </c>
      <c r="E20" s="45">
        <v>9.3000000000000007</v>
      </c>
      <c r="F20" s="45">
        <v>9.3000000000000007</v>
      </c>
      <c r="G20" s="45">
        <v>9.3000000000000007</v>
      </c>
      <c r="H20" s="45">
        <v>9.3000000000000007</v>
      </c>
      <c r="I20" s="45">
        <v>9.3000000000000007</v>
      </c>
      <c r="J20" s="45">
        <v>9.3000000000000007</v>
      </c>
      <c r="K20" s="45"/>
      <c r="L20" s="45">
        <v>9.3000000000000007</v>
      </c>
      <c r="M20" s="45">
        <v>9.3000000000000007</v>
      </c>
      <c r="N20" s="45">
        <v>9.3000000000000007</v>
      </c>
      <c r="O20" s="45">
        <v>9.3000000000000007</v>
      </c>
      <c r="P20" s="45">
        <v>9.3000000000000007</v>
      </c>
      <c r="Q20" s="45">
        <v>9.3000000000000007</v>
      </c>
      <c r="R20" s="45">
        <v>9.3000000000000007</v>
      </c>
      <c r="S20" s="45">
        <v>9.3000000000000007</v>
      </c>
      <c r="T20" s="45">
        <v>9.3000000000000007</v>
      </c>
      <c r="U20" s="45">
        <v>9.3000000000000007</v>
      </c>
      <c r="V20" s="45">
        <v>9.3000000000000007</v>
      </c>
      <c r="W20" s="45">
        <v>9.3000000000000007</v>
      </c>
      <c r="X20" s="45">
        <v>9.3000000000000007</v>
      </c>
      <c r="Y20" s="45">
        <v>0</v>
      </c>
      <c r="Z20" s="45">
        <v>9.3000000000000007</v>
      </c>
      <c r="AA20" s="45">
        <v>9.3000000000000007</v>
      </c>
      <c r="AB20" s="45">
        <v>9.3000000000000007</v>
      </c>
      <c r="AC20" s="45">
        <v>9.3000000000000007</v>
      </c>
      <c r="AD20" s="45">
        <v>9.3000000000000007</v>
      </c>
      <c r="AE20" s="45">
        <v>9.3000000000000007</v>
      </c>
      <c r="AF20" s="45">
        <v>9.3000000000000007</v>
      </c>
      <c r="AG20" s="50">
        <v>25</v>
      </c>
      <c r="AH20" s="47">
        <f t="shared" si="2"/>
        <v>9.3000000000000007</v>
      </c>
      <c r="AI20" s="48">
        <f t="shared" si="3"/>
        <v>0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/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/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0">
        <v>25</v>
      </c>
      <c r="AH22" s="47">
        <f t="shared" si="2"/>
        <v>11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/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8.9</v>
      </c>
      <c r="C24" s="45">
        <v>8.9</v>
      </c>
      <c r="D24" s="45">
        <v>8.9</v>
      </c>
      <c r="E24" s="45">
        <v>8.9</v>
      </c>
      <c r="F24" s="45">
        <v>8.9</v>
      </c>
      <c r="G24" s="45">
        <v>8.9</v>
      </c>
      <c r="H24" s="45">
        <v>8.9</v>
      </c>
      <c r="I24" s="45">
        <v>8.9</v>
      </c>
      <c r="J24" s="45">
        <v>8.9</v>
      </c>
      <c r="K24" s="45"/>
      <c r="L24" s="45">
        <v>8.9</v>
      </c>
      <c r="M24" s="45">
        <v>8.9</v>
      </c>
      <c r="N24" s="45">
        <v>8.9</v>
      </c>
      <c r="O24" s="45">
        <v>8.9</v>
      </c>
      <c r="P24" s="45">
        <v>8.9</v>
      </c>
      <c r="Q24" s="45">
        <v>8.9</v>
      </c>
      <c r="R24" s="45">
        <v>8.9</v>
      </c>
      <c r="S24" s="45">
        <v>8.9</v>
      </c>
      <c r="T24" s="45">
        <v>8.9</v>
      </c>
      <c r="U24" s="45">
        <v>8.9</v>
      </c>
      <c r="V24" s="45">
        <v>8.9</v>
      </c>
      <c r="W24" s="45">
        <v>8.9</v>
      </c>
      <c r="X24" s="45">
        <v>8.9</v>
      </c>
      <c r="Y24" s="45">
        <v>8.9</v>
      </c>
      <c r="Z24" s="45">
        <v>8.9</v>
      </c>
      <c r="AA24" s="45">
        <v>8.9</v>
      </c>
      <c r="AB24" s="45">
        <v>8.9</v>
      </c>
      <c r="AC24" s="45">
        <v>8.9</v>
      </c>
      <c r="AD24" s="45">
        <v>8.9</v>
      </c>
      <c r="AE24" s="45">
        <v>8.9</v>
      </c>
      <c r="AF24" s="45">
        <v>8.9</v>
      </c>
      <c r="AG24" s="50">
        <v>23.5</v>
      </c>
      <c r="AH24" s="47">
        <f t="shared" si="2"/>
        <v>8.9</v>
      </c>
      <c r="AI24" s="48">
        <f t="shared" si="3"/>
        <v>8.9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/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/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/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11</v>
      </c>
      <c r="C28" s="45">
        <v>11</v>
      </c>
      <c r="D28" s="45">
        <v>11</v>
      </c>
      <c r="E28" s="45">
        <v>11</v>
      </c>
      <c r="F28" s="45">
        <v>11</v>
      </c>
      <c r="G28" s="45">
        <v>11</v>
      </c>
      <c r="H28" s="45">
        <v>11</v>
      </c>
      <c r="I28" s="45">
        <v>11</v>
      </c>
      <c r="J28" s="45">
        <v>11</v>
      </c>
      <c r="K28" s="45"/>
      <c r="L28" s="45">
        <v>11</v>
      </c>
      <c r="M28" s="45">
        <v>11</v>
      </c>
      <c r="N28" s="45">
        <v>11</v>
      </c>
      <c r="O28" s="45">
        <v>11</v>
      </c>
      <c r="P28" s="45">
        <v>11</v>
      </c>
      <c r="Q28" s="45">
        <v>11</v>
      </c>
      <c r="R28" s="45">
        <v>11</v>
      </c>
      <c r="S28" s="45">
        <v>11</v>
      </c>
      <c r="T28" s="45">
        <v>11</v>
      </c>
      <c r="U28" s="45">
        <v>11</v>
      </c>
      <c r="V28" s="45">
        <v>11</v>
      </c>
      <c r="W28" s="45">
        <v>11</v>
      </c>
      <c r="X28" s="45">
        <v>11</v>
      </c>
      <c r="Y28" s="45">
        <v>11</v>
      </c>
      <c r="Z28" s="45">
        <v>11</v>
      </c>
      <c r="AA28" s="45">
        <v>11</v>
      </c>
      <c r="AB28" s="45">
        <v>11</v>
      </c>
      <c r="AC28" s="45">
        <v>11</v>
      </c>
      <c r="AD28" s="45">
        <v>11</v>
      </c>
      <c r="AE28" s="45">
        <v>11</v>
      </c>
      <c r="AF28" s="45">
        <v>11</v>
      </c>
      <c r="AG28" s="50">
        <v>22</v>
      </c>
      <c r="AH28" s="47">
        <f t="shared" si="2"/>
        <v>11</v>
      </c>
      <c r="AI28" s="48">
        <f t="shared" si="3"/>
        <v>11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/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0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0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/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0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/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/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/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0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0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/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/>
      <c r="L35" s="45">
        <v>10</v>
      </c>
      <c r="M35" s="45">
        <v>10</v>
      </c>
      <c r="N35" s="45">
        <v>10</v>
      </c>
      <c r="O35" s="45">
        <v>10</v>
      </c>
      <c r="P35" s="45">
        <v>10</v>
      </c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45">
        <v>10</v>
      </c>
      <c r="Z35" s="45">
        <v>10</v>
      </c>
      <c r="AA35" s="45">
        <v>10</v>
      </c>
      <c r="AB35" s="45">
        <v>10</v>
      </c>
      <c r="AC35" s="45">
        <v>10</v>
      </c>
      <c r="AD35" s="45">
        <v>10</v>
      </c>
      <c r="AE35" s="45">
        <v>10</v>
      </c>
      <c r="AF35" s="45">
        <v>10</v>
      </c>
      <c r="AG35" s="50">
        <v>12</v>
      </c>
      <c r="AH35" s="47">
        <f t="shared" si="2"/>
        <v>10</v>
      </c>
      <c r="AI35" s="48">
        <f t="shared" si="3"/>
        <v>10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/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/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/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0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0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/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/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0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0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/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120</v>
      </c>
      <c r="C42" s="56">
        <v>120</v>
      </c>
      <c r="D42" s="56">
        <v>120</v>
      </c>
      <c r="E42" s="56">
        <v>120</v>
      </c>
      <c r="F42" s="56">
        <v>120</v>
      </c>
      <c r="G42" s="56">
        <v>120</v>
      </c>
      <c r="H42" s="56">
        <v>120</v>
      </c>
      <c r="I42" s="56">
        <v>120</v>
      </c>
      <c r="J42" s="56">
        <v>120</v>
      </c>
      <c r="K42" s="56">
        <v>120</v>
      </c>
      <c r="L42" s="56">
        <v>120</v>
      </c>
      <c r="M42" s="56">
        <v>120</v>
      </c>
      <c r="N42" s="56">
        <v>120</v>
      </c>
      <c r="O42" s="56">
        <v>120</v>
      </c>
      <c r="P42" s="56">
        <v>120</v>
      </c>
      <c r="Q42" s="56">
        <v>120</v>
      </c>
      <c r="R42" s="56">
        <v>120</v>
      </c>
      <c r="S42" s="56">
        <v>120</v>
      </c>
      <c r="T42" s="56">
        <v>120</v>
      </c>
      <c r="U42" s="56">
        <v>120</v>
      </c>
      <c r="V42" s="56">
        <v>120</v>
      </c>
      <c r="W42" s="56">
        <v>120</v>
      </c>
      <c r="X42" s="56">
        <v>120</v>
      </c>
      <c r="Y42" s="56">
        <v>120</v>
      </c>
      <c r="Z42" s="56">
        <v>120</v>
      </c>
      <c r="AA42" s="56">
        <v>120</v>
      </c>
      <c r="AB42" s="56">
        <v>120</v>
      </c>
      <c r="AC42" s="56">
        <v>120</v>
      </c>
      <c r="AD42" s="56">
        <v>120</v>
      </c>
      <c r="AE42" s="56">
        <v>120</v>
      </c>
      <c r="AF42" s="56">
        <v>120</v>
      </c>
      <c r="AG42" s="54">
        <v>85</v>
      </c>
      <c r="AH42" s="47">
        <f t="shared" si="2"/>
        <v>120</v>
      </c>
      <c r="AI42" s="48">
        <f t="shared" si="3"/>
        <v>120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:AG44" si="4">SUM(B11:B42)</f>
        <v>413.5</v>
      </c>
      <c r="C44" s="60">
        <f t="shared" si="4"/>
        <v>413.5</v>
      </c>
      <c r="D44" s="60">
        <f t="shared" si="4"/>
        <v>413.5</v>
      </c>
      <c r="E44" s="60">
        <f t="shared" si="4"/>
        <v>413.8</v>
      </c>
      <c r="F44" s="60">
        <f t="shared" si="4"/>
        <v>413.8</v>
      </c>
      <c r="G44" s="60">
        <f t="shared" si="4"/>
        <v>413.8</v>
      </c>
      <c r="H44" s="60">
        <f t="shared" si="4"/>
        <v>413.8</v>
      </c>
      <c r="I44" s="60">
        <f t="shared" si="4"/>
        <v>413.8</v>
      </c>
      <c r="J44" s="60">
        <f t="shared" si="4"/>
        <v>413.8</v>
      </c>
      <c r="K44" s="60">
        <f t="shared" si="4"/>
        <v>120</v>
      </c>
      <c r="L44" s="60"/>
      <c r="M44" s="60">
        <f t="shared" si="4"/>
        <v>417.7</v>
      </c>
      <c r="N44" s="60">
        <f t="shared" si="4"/>
        <v>417.7</v>
      </c>
      <c r="O44" s="60">
        <f t="shared" si="4"/>
        <v>412.59999999999997</v>
      </c>
      <c r="P44" s="60">
        <f t="shared" si="4"/>
        <v>414</v>
      </c>
      <c r="Q44" s="60">
        <f t="shared" si="4"/>
        <v>413.5</v>
      </c>
      <c r="R44" s="60">
        <f t="shared" si="4"/>
        <v>413.7</v>
      </c>
      <c r="S44" s="60">
        <f t="shared" si="4"/>
        <v>412.50000000000006</v>
      </c>
      <c r="T44" s="60">
        <f t="shared" si="4"/>
        <v>412.50000000000006</v>
      </c>
      <c r="U44" s="60">
        <f t="shared" si="4"/>
        <v>412.50000000000006</v>
      </c>
      <c r="V44" s="60">
        <f t="shared" si="4"/>
        <v>412.50000000000006</v>
      </c>
      <c r="W44" s="60">
        <f t="shared" si="4"/>
        <v>412.50000000000006</v>
      </c>
      <c r="X44" s="60">
        <f t="shared" si="4"/>
        <v>412.50000000000006</v>
      </c>
      <c r="Y44" s="60">
        <f t="shared" si="4"/>
        <v>368.20000000000005</v>
      </c>
      <c r="Z44" s="60">
        <f t="shared" si="4"/>
        <v>412.50000000000006</v>
      </c>
      <c r="AA44" s="60">
        <f t="shared" si="4"/>
        <v>412.50000000000006</v>
      </c>
      <c r="AB44" s="60">
        <f t="shared" si="4"/>
        <v>412.50000000000006</v>
      </c>
      <c r="AC44" s="60">
        <f t="shared" si="4"/>
        <v>413.40000000000003</v>
      </c>
      <c r="AD44" s="60">
        <f t="shared" si="4"/>
        <v>413.40000000000003</v>
      </c>
      <c r="AE44" s="60">
        <f t="shared" si="4"/>
        <v>413.40000000000003</v>
      </c>
      <c r="AF44" s="60">
        <f t="shared" si="4"/>
        <v>413.40000000000003</v>
      </c>
      <c r="AG44" s="61">
        <f t="shared" si="4"/>
        <v>814.78000000000009</v>
      </c>
      <c r="AH44" s="47">
        <f t="shared" si="2"/>
        <v>417.7</v>
      </c>
      <c r="AI44" s="48">
        <f t="shared" si="3"/>
        <v>120</v>
      </c>
      <c r="AK44" s="49"/>
    </row>
    <row r="45" spans="1:88" x14ac:dyDescent="0.25">
      <c r="A45" s="62" t="s">
        <v>53</v>
      </c>
      <c r="B45" s="45">
        <v>40</v>
      </c>
      <c r="C45" s="45">
        <v>15</v>
      </c>
      <c r="D45" s="45">
        <v>50</v>
      </c>
      <c r="E45" s="45">
        <v>35</v>
      </c>
      <c r="F45" s="45">
        <v>45</v>
      </c>
      <c r="G45" s="45">
        <v>30</v>
      </c>
      <c r="H45" s="45">
        <v>30</v>
      </c>
      <c r="I45" s="45">
        <v>50</v>
      </c>
      <c r="J45" s="45">
        <v>105</v>
      </c>
      <c r="K45" s="45"/>
      <c r="L45" s="45">
        <v>150</v>
      </c>
      <c r="M45" s="63">
        <v>200</v>
      </c>
      <c r="N45" s="63">
        <v>100</v>
      </c>
      <c r="O45" s="45">
        <v>90</v>
      </c>
      <c r="P45" s="45">
        <v>70</v>
      </c>
      <c r="Q45" s="45">
        <v>120</v>
      </c>
      <c r="R45" s="45">
        <v>30</v>
      </c>
      <c r="S45" s="45">
        <v>45</v>
      </c>
      <c r="T45" s="45">
        <v>35</v>
      </c>
      <c r="U45" s="45">
        <v>80</v>
      </c>
      <c r="V45" s="45">
        <v>40</v>
      </c>
      <c r="W45" s="45">
        <v>65</v>
      </c>
      <c r="X45" s="45">
        <v>140</v>
      </c>
      <c r="Y45" s="45">
        <v>175</v>
      </c>
      <c r="Z45" s="45">
        <v>225</v>
      </c>
      <c r="AA45" s="45">
        <v>280</v>
      </c>
      <c r="AB45" s="45">
        <v>160</v>
      </c>
      <c r="AC45" s="45">
        <v>150</v>
      </c>
      <c r="AD45" s="45">
        <v>130</v>
      </c>
      <c r="AE45" s="45">
        <v>120</v>
      </c>
      <c r="AF45" s="45">
        <v>0</v>
      </c>
      <c r="AG45" s="51">
        <v>456</v>
      </c>
      <c r="AH45" s="47">
        <f t="shared" si="2"/>
        <v>280</v>
      </c>
      <c r="AI45" s="48">
        <f t="shared" si="3"/>
        <v>0</v>
      </c>
      <c r="AK45" s="49"/>
    </row>
    <row r="46" spans="1:88" x14ac:dyDescent="0.25">
      <c r="A46" s="64" t="s">
        <v>54</v>
      </c>
      <c r="B46" s="65">
        <v>35</v>
      </c>
      <c r="C46" s="65">
        <v>35</v>
      </c>
      <c r="D46" s="65">
        <v>35</v>
      </c>
      <c r="E46" s="65">
        <v>35</v>
      </c>
      <c r="F46" s="65">
        <v>35</v>
      </c>
      <c r="G46" s="65">
        <v>35</v>
      </c>
      <c r="H46" s="65">
        <v>35</v>
      </c>
      <c r="I46" s="65">
        <v>35</v>
      </c>
      <c r="J46" s="65">
        <v>35</v>
      </c>
      <c r="K46" s="65"/>
      <c r="L46" s="65">
        <v>35</v>
      </c>
      <c r="M46" s="65">
        <v>35</v>
      </c>
      <c r="N46" s="65">
        <v>35</v>
      </c>
      <c r="O46" s="65">
        <v>35</v>
      </c>
      <c r="P46" s="65">
        <v>35</v>
      </c>
      <c r="Q46" s="65">
        <v>35</v>
      </c>
      <c r="R46" s="65">
        <v>35</v>
      </c>
      <c r="S46" s="65">
        <v>35</v>
      </c>
      <c r="T46" s="65">
        <v>35</v>
      </c>
      <c r="U46" s="65">
        <v>35</v>
      </c>
      <c r="V46" s="65">
        <v>35</v>
      </c>
      <c r="W46" s="65">
        <v>35</v>
      </c>
      <c r="X46" s="65">
        <v>35</v>
      </c>
      <c r="Y46" s="65">
        <v>35</v>
      </c>
      <c r="Z46" s="65">
        <v>35</v>
      </c>
      <c r="AA46" s="65">
        <v>35</v>
      </c>
      <c r="AB46" s="65">
        <v>35</v>
      </c>
      <c r="AC46" s="65">
        <v>35</v>
      </c>
      <c r="AD46" s="65">
        <v>35</v>
      </c>
      <c r="AE46" s="65">
        <v>35</v>
      </c>
      <c r="AF46" s="65">
        <v>35</v>
      </c>
      <c r="AG46" s="54">
        <v>60</v>
      </c>
      <c r="AH46" s="47">
        <f t="shared" si="2"/>
        <v>35</v>
      </c>
      <c r="AI46" s="48">
        <f t="shared" si="3"/>
        <v>35</v>
      </c>
      <c r="AK46" s="49"/>
    </row>
    <row r="47" spans="1:88" ht="15.75" thickBot="1" x14ac:dyDescent="0.3">
      <c r="A47" s="66" t="s">
        <v>55</v>
      </c>
      <c r="B47" s="67">
        <v>11.2</v>
      </c>
      <c r="C47" s="67">
        <v>11.2</v>
      </c>
      <c r="D47" s="67">
        <v>11.2</v>
      </c>
      <c r="E47" s="67">
        <v>11.2</v>
      </c>
      <c r="F47" s="67">
        <v>11.2</v>
      </c>
      <c r="G47" s="67">
        <v>11.2</v>
      </c>
      <c r="H47" s="67">
        <v>11.2</v>
      </c>
      <c r="I47" s="67">
        <v>11.2</v>
      </c>
      <c r="J47" s="67">
        <v>11.2</v>
      </c>
      <c r="K47" s="67"/>
      <c r="L47" s="67">
        <v>11.2</v>
      </c>
      <c r="M47" s="67">
        <v>14.1</v>
      </c>
      <c r="N47" s="67">
        <v>12.2</v>
      </c>
      <c r="O47" s="67">
        <v>12.2</v>
      </c>
      <c r="P47" s="67">
        <v>14.7</v>
      </c>
      <c r="Q47" s="67">
        <v>9.1999999999999993</v>
      </c>
      <c r="R47" s="67">
        <v>9.1999999999999993</v>
      </c>
      <c r="S47" s="67">
        <v>9.1999999999999993</v>
      </c>
      <c r="T47" s="67">
        <v>10</v>
      </c>
      <c r="U47" s="67">
        <v>10</v>
      </c>
      <c r="V47" s="67">
        <v>10</v>
      </c>
      <c r="W47" s="67">
        <v>10.199999999999999</v>
      </c>
      <c r="X47" s="67">
        <v>10.199999999999999</v>
      </c>
      <c r="Y47" s="67">
        <v>18</v>
      </c>
      <c r="Z47" s="67">
        <v>18.100000000000001</v>
      </c>
      <c r="AA47" s="67">
        <v>18.100000000000001</v>
      </c>
      <c r="AB47" s="67">
        <v>18.100000000000001</v>
      </c>
      <c r="AC47" s="67">
        <v>18.100000000000001</v>
      </c>
      <c r="AD47" s="67">
        <v>18.100000000000001</v>
      </c>
      <c r="AE47" s="67">
        <v>18.100000000000001</v>
      </c>
      <c r="AF47" s="67">
        <v>18.100000000000001</v>
      </c>
      <c r="AG47" s="68">
        <v>22.1</v>
      </c>
      <c r="AH47" s="47">
        <f t="shared" si="2"/>
        <v>18.100000000000001</v>
      </c>
      <c r="AI47" s="48">
        <f t="shared" si="3"/>
        <v>9.1999999999999993</v>
      </c>
      <c r="AK47" s="49"/>
    </row>
    <row r="48" spans="1:88" ht="15.75" thickBot="1" x14ac:dyDescent="0.3">
      <c r="A48" s="69" t="s">
        <v>56</v>
      </c>
      <c r="B48" s="60">
        <f t="shared" ref="B48:AG48" si="5">SUM(B45:B47)</f>
        <v>86.2</v>
      </c>
      <c r="C48" s="60">
        <f t="shared" si="5"/>
        <v>61.2</v>
      </c>
      <c r="D48" s="60">
        <f t="shared" si="5"/>
        <v>96.2</v>
      </c>
      <c r="E48" s="60">
        <f t="shared" si="5"/>
        <v>81.2</v>
      </c>
      <c r="F48" s="60">
        <f t="shared" si="5"/>
        <v>91.2</v>
      </c>
      <c r="G48" s="60">
        <f t="shared" si="5"/>
        <v>76.2</v>
      </c>
      <c r="H48" s="60">
        <f t="shared" si="5"/>
        <v>76.2</v>
      </c>
      <c r="I48" s="60">
        <f t="shared" si="5"/>
        <v>96.2</v>
      </c>
      <c r="J48" s="60">
        <f t="shared" si="5"/>
        <v>151.19999999999999</v>
      </c>
      <c r="K48" s="60">
        <f t="shared" si="5"/>
        <v>0</v>
      </c>
      <c r="L48" s="60">
        <f t="shared" si="5"/>
        <v>196.2</v>
      </c>
      <c r="M48" s="60">
        <f t="shared" si="5"/>
        <v>249.1</v>
      </c>
      <c r="N48" s="60">
        <f t="shared" si="5"/>
        <v>147.19999999999999</v>
      </c>
      <c r="O48" s="60">
        <f t="shared" si="5"/>
        <v>137.19999999999999</v>
      </c>
      <c r="P48" s="60">
        <f t="shared" si="5"/>
        <v>119.7</v>
      </c>
      <c r="Q48" s="60">
        <f t="shared" si="5"/>
        <v>164.2</v>
      </c>
      <c r="R48" s="60">
        <f t="shared" si="5"/>
        <v>74.2</v>
      </c>
      <c r="S48" s="60">
        <f t="shared" si="5"/>
        <v>89.2</v>
      </c>
      <c r="T48" s="60">
        <f t="shared" si="5"/>
        <v>80</v>
      </c>
      <c r="U48" s="60">
        <f t="shared" si="5"/>
        <v>125</v>
      </c>
      <c r="V48" s="60">
        <f t="shared" si="5"/>
        <v>85</v>
      </c>
      <c r="W48" s="60">
        <f t="shared" si="5"/>
        <v>110.2</v>
      </c>
      <c r="X48" s="60">
        <f t="shared" si="5"/>
        <v>185.2</v>
      </c>
      <c r="Y48" s="60">
        <f t="shared" si="5"/>
        <v>228</v>
      </c>
      <c r="Z48" s="60">
        <f t="shared" si="5"/>
        <v>278.10000000000002</v>
      </c>
      <c r="AA48" s="60">
        <f t="shared" si="5"/>
        <v>333.1</v>
      </c>
      <c r="AB48" s="60">
        <f t="shared" si="5"/>
        <v>213.1</v>
      </c>
      <c r="AC48" s="60">
        <f t="shared" si="5"/>
        <v>203.1</v>
      </c>
      <c r="AD48" s="60">
        <f t="shared" si="5"/>
        <v>183.1</v>
      </c>
      <c r="AE48" s="60">
        <f t="shared" si="5"/>
        <v>173.1</v>
      </c>
      <c r="AF48" s="60">
        <f t="shared" si="5"/>
        <v>53.1</v>
      </c>
      <c r="AG48" s="61">
        <f t="shared" si="5"/>
        <v>538.1</v>
      </c>
      <c r="AH48" s="47">
        <f t="shared" si="2"/>
        <v>333.1</v>
      </c>
      <c r="AI48" s="48">
        <f t="shared" si="3"/>
        <v>0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28</v>
      </c>
      <c r="I49" s="45">
        <v>28</v>
      </c>
      <c r="J49" s="45">
        <v>70</v>
      </c>
      <c r="K49" s="45"/>
      <c r="L49" s="45">
        <v>65</v>
      </c>
      <c r="M49" s="45">
        <v>60</v>
      </c>
      <c r="N49" s="45">
        <v>90</v>
      </c>
      <c r="O49" s="45">
        <v>60</v>
      </c>
      <c r="P49" s="45">
        <v>60</v>
      </c>
      <c r="Q49" s="45">
        <v>90</v>
      </c>
      <c r="R49" s="45">
        <v>90</v>
      </c>
      <c r="S49" s="45">
        <v>120</v>
      </c>
      <c r="T49" s="45">
        <v>110</v>
      </c>
      <c r="U49" s="45">
        <v>130</v>
      </c>
      <c r="V49" s="45">
        <v>100</v>
      </c>
      <c r="W49" s="45">
        <v>100</v>
      </c>
      <c r="X49" s="45">
        <v>142</v>
      </c>
      <c r="Y49" s="45">
        <v>142</v>
      </c>
      <c r="Z49" s="45">
        <v>110</v>
      </c>
      <c r="AA49" s="45">
        <v>110</v>
      </c>
      <c r="AB49" s="45">
        <v>100</v>
      </c>
      <c r="AC49" s="45">
        <v>90</v>
      </c>
      <c r="AD49" s="45">
        <v>70</v>
      </c>
      <c r="AE49" s="45">
        <v>80</v>
      </c>
      <c r="AF49" s="45">
        <v>0</v>
      </c>
      <c r="AG49" s="51">
        <v>144</v>
      </c>
      <c r="AH49" s="47">
        <f t="shared" si="2"/>
        <v>142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21.8</v>
      </c>
      <c r="H50" s="65">
        <v>44.7</v>
      </c>
      <c r="I50" s="65">
        <v>60.8</v>
      </c>
      <c r="J50" s="65">
        <v>71.900000000000006</v>
      </c>
      <c r="K50" s="65"/>
      <c r="L50" s="65">
        <v>70</v>
      </c>
      <c r="M50" s="65">
        <v>69.599999999999994</v>
      </c>
      <c r="N50" s="65">
        <v>35.200000000000003</v>
      </c>
      <c r="O50" s="65">
        <v>35.299999999999997</v>
      </c>
      <c r="P50" s="65">
        <v>35.5</v>
      </c>
      <c r="Q50" s="65">
        <v>35.299999999999997</v>
      </c>
      <c r="R50" s="45">
        <v>61.3</v>
      </c>
      <c r="S50" s="45">
        <v>62.1</v>
      </c>
      <c r="T50" s="45">
        <v>50.3</v>
      </c>
      <c r="U50" s="45">
        <v>50.3</v>
      </c>
      <c r="V50" s="45">
        <v>48.7</v>
      </c>
      <c r="W50" s="45">
        <v>48.2</v>
      </c>
      <c r="X50" s="45">
        <v>47.5</v>
      </c>
      <c r="Y50" s="45">
        <v>62.8</v>
      </c>
      <c r="Z50" s="45">
        <v>50</v>
      </c>
      <c r="AA50" s="45">
        <v>48.6</v>
      </c>
      <c r="AB50" s="65">
        <v>46.9</v>
      </c>
      <c r="AC50" s="65">
        <v>25</v>
      </c>
      <c r="AD50" s="65">
        <v>25</v>
      </c>
      <c r="AE50" s="65">
        <v>24</v>
      </c>
      <c r="AF50" s="65">
        <v>24</v>
      </c>
      <c r="AG50" s="54">
        <v>70</v>
      </c>
      <c r="AH50" s="47">
        <f t="shared" si="2"/>
        <v>71.900000000000006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17</v>
      </c>
      <c r="C51" s="65">
        <v>17</v>
      </c>
      <c r="D51" s="65">
        <v>17</v>
      </c>
      <c r="E51" s="65">
        <v>16.3</v>
      </c>
      <c r="F51" s="65">
        <v>16.3</v>
      </c>
      <c r="G51" s="65">
        <v>21.2</v>
      </c>
      <c r="H51" s="65">
        <v>34.4</v>
      </c>
      <c r="I51" s="65">
        <v>45.2</v>
      </c>
      <c r="J51" s="65">
        <v>67</v>
      </c>
      <c r="K51" s="65"/>
      <c r="L51" s="65">
        <v>67</v>
      </c>
      <c r="M51" s="65">
        <v>67.7</v>
      </c>
      <c r="N51" s="65">
        <v>67.8</v>
      </c>
      <c r="O51" s="65">
        <v>39.799999999999997</v>
      </c>
      <c r="P51" s="65">
        <v>22.5</v>
      </c>
      <c r="Q51" s="65">
        <v>62.5</v>
      </c>
      <c r="R51" s="45">
        <v>51.5</v>
      </c>
      <c r="S51" s="45">
        <v>32.1</v>
      </c>
      <c r="T51" s="45">
        <v>40</v>
      </c>
      <c r="U51" s="45">
        <v>40</v>
      </c>
      <c r="V51" s="45">
        <v>33.9</v>
      </c>
      <c r="W51" s="45">
        <v>33.700000000000003</v>
      </c>
      <c r="X51" s="45">
        <v>45</v>
      </c>
      <c r="Y51" s="45">
        <v>68</v>
      </c>
      <c r="Z51" s="45">
        <v>67.400000000000006</v>
      </c>
      <c r="AA51" s="45">
        <v>62.8</v>
      </c>
      <c r="AB51" s="65">
        <v>56.6</v>
      </c>
      <c r="AC51" s="65">
        <v>60</v>
      </c>
      <c r="AD51" s="65">
        <v>60</v>
      </c>
      <c r="AE51" s="65">
        <v>67</v>
      </c>
      <c r="AF51" s="65">
        <v>55</v>
      </c>
      <c r="AG51" s="54">
        <v>69</v>
      </c>
      <c r="AH51" s="47">
        <f t="shared" si="2"/>
        <v>68</v>
      </c>
      <c r="AI51" s="48">
        <f t="shared" si="3"/>
        <v>16.3</v>
      </c>
      <c r="AK51" s="49"/>
    </row>
    <row r="52" spans="1:41" x14ac:dyDescent="0.25">
      <c r="A52" s="53" t="s">
        <v>60</v>
      </c>
      <c r="B52" s="56">
        <v>48.1</v>
      </c>
      <c r="C52" s="56">
        <v>48.1</v>
      </c>
      <c r="D52" s="56">
        <v>48.1</v>
      </c>
      <c r="E52" s="56">
        <v>48.1</v>
      </c>
      <c r="F52" s="56">
        <v>48.1</v>
      </c>
      <c r="G52" s="56">
        <v>48.1</v>
      </c>
      <c r="H52" s="56">
        <v>48.1</v>
      </c>
      <c r="I52" s="56">
        <v>48.1</v>
      </c>
      <c r="J52" s="56">
        <v>48.1</v>
      </c>
      <c r="K52" s="56"/>
      <c r="L52" s="56">
        <v>30</v>
      </c>
      <c r="M52" s="65">
        <v>30</v>
      </c>
      <c r="N52" s="65">
        <v>29.7</v>
      </c>
      <c r="O52" s="65">
        <v>56.5</v>
      </c>
      <c r="P52" s="65">
        <v>50.2</v>
      </c>
      <c r="Q52" s="65">
        <v>48.6</v>
      </c>
      <c r="R52" s="45">
        <v>46.6</v>
      </c>
      <c r="S52" s="45">
        <v>46.6</v>
      </c>
      <c r="T52" s="45">
        <v>46.6</v>
      </c>
      <c r="U52" s="45">
        <v>46.6</v>
      </c>
      <c r="V52" s="45">
        <v>45.3</v>
      </c>
      <c r="W52" s="65">
        <v>45.1</v>
      </c>
      <c r="X52" s="65">
        <v>45.3</v>
      </c>
      <c r="Y52" s="65" t="s">
        <v>704</v>
      </c>
      <c r="Z52" s="65">
        <v>47.4</v>
      </c>
      <c r="AA52" s="65">
        <v>47.4</v>
      </c>
      <c r="AB52" s="65">
        <v>47</v>
      </c>
      <c r="AC52" s="65">
        <v>47</v>
      </c>
      <c r="AD52" s="65">
        <v>47</v>
      </c>
      <c r="AE52" s="65">
        <v>47</v>
      </c>
      <c r="AF52" s="65">
        <v>47</v>
      </c>
      <c r="AG52" s="54">
        <v>60</v>
      </c>
      <c r="AH52" s="47">
        <f t="shared" si="2"/>
        <v>56.5</v>
      </c>
      <c r="AI52" s="48">
        <f t="shared" si="3"/>
        <v>29.7</v>
      </c>
      <c r="AK52" s="49"/>
    </row>
    <row r="53" spans="1:41" x14ac:dyDescent="0.25">
      <c r="A53" s="53" t="s">
        <v>61</v>
      </c>
      <c r="B53" s="56">
        <v>0</v>
      </c>
      <c r="C53" s="56">
        <v>0</v>
      </c>
      <c r="D53" s="56">
        <v>0</v>
      </c>
      <c r="E53" s="56">
        <v>0</v>
      </c>
      <c r="F53" s="56">
        <v>0</v>
      </c>
      <c r="G53" s="56">
        <v>10</v>
      </c>
      <c r="H53" s="56">
        <v>10</v>
      </c>
      <c r="I53" s="56">
        <v>10</v>
      </c>
      <c r="J53" s="56">
        <v>10</v>
      </c>
      <c r="K53" s="56"/>
      <c r="L53" s="56">
        <v>20</v>
      </c>
      <c r="M53" s="65">
        <v>24.5</v>
      </c>
      <c r="N53" s="65">
        <v>15</v>
      </c>
      <c r="O53" s="65">
        <v>15</v>
      </c>
      <c r="P53" s="65">
        <v>15</v>
      </c>
      <c r="Q53" s="65">
        <v>15</v>
      </c>
      <c r="R53" s="65">
        <v>15</v>
      </c>
      <c r="S53" s="65">
        <v>15</v>
      </c>
      <c r="T53" s="45">
        <v>14.8</v>
      </c>
      <c r="U53" s="45">
        <v>14.8</v>
      </c>
      <c r="V53" s="45">
        <v>14.8</v>
      </c>
      <c r="W53" s="65">
        <v>9.9</v>
      </c>
      <c r="X53" s="65">
        <v>9.8000000000000007</v>
      </c>
      <c r="Y53" s="65">
        <v>29</v>
      </c>
      <c r="Z53" s="65">
        <v>29.1</v>
      </c>
      <c r="AA53" s="65">
        <v>25</v>
      </c>
      <c r="AB53" s="65">
        <v>20</v>
      </c>
      <c r="AC53" s="65">
        <v>20</v>
      </c>
      <c r="AD53" s="65">
        <v>15</v>
      </c>
      <c r="AE53" s="65">
        <v>9</v>
      </c>
      <c r="AF53" s="65">
        <v>9</v>
      </c>
      <c r="AG53" s="54">
        <v>30</v>
      </c>
      <c r="AH53" s="47">
        <f t="shared" si="2"/>
        <v>29.1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/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10</v>
      </c>
      <c r="T54" s="45">
        <v>10</v>
      </c>
      <c r="U54" s="45">
        <v>10</v>
      </c>
      <c r="V54" s="45">
        <v>10</v>
      </c>
      <c r="W54" s="45">
        <v>10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10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16</v>
      </c>
      <c r="C55" s="65">
        <v>16</v>
      </c>
      <c r="D55" s="65">
        <v>16</v>
      </c>
      <c r="E55" s="65">
        <v>16</v>
      </c>
      <c r="F55" s="65">
        <v>16</v>
      </c>
      <c r="G55" s="65">
        <v>16</v>
      </c>
      <c r="H55" s="65">
        <v>16</v>
      </c>
      <c r="I55" s="65">
        <v>16</v>
      </c>
      <c r="J55" s="65">
        <v>16</v>
      </c>
      <c r="K55" s="65"/>
      <c r="L55" s="65">
        <v>16</v>
      </c>
      <c r="M55" s="65">
        <v>16</v>
      </c>
      <c r="N55" s="65">
        <v>16</v>
      </c>
      <c r="O55" s="65">
        <v>16</v>
      </c>
      <c r="P55" s="65">
        <v>12</v>
      </c>
      <c r="Q55" s="65">
        <v>12</v>
      </c>
      <c r="R55" s="65">
        <v>12</v>
      </c>
      <c r="S55" s="65">
        <v>12</v>
      </c>
      <c r="T55" s="65">
        <v>12</v>
      </c>
      <c r="U55" s="65">
        <v>12</v>
      </c>
      <c r="V55" s="65">
        <v>12</v>
      </c>
      <c r="W55" s="65">
        <v>12</v>
      </c>
      <c r="X55" s="65">
        <v>16</v>
      </c>
      <c r="Y55" s="65">
        <v>16</v>
      </c>
      <c r="Z55" s="65">
        <v>16</v>
      </c>
      <c r="AA55" s="65">
        <v>16</v>
      </c>
      <c r="AB55" s="65">
        <v>16</v>
      </c>
      <c r="AC55" s="65">
        <v>16</v>
      </c>
      <c r="AD55" s="65">
        <v>16</v>
      </c>
      <c r="AE55" s="65">
        <v>16</v>
      </c>
      <c r="AF55" s="65">
        <v>16</v>
      </c>
      <c r="AG55" s="54">
        <v>24</v>
      </c>
      <c r="AH55" s="47">
        <f t="shared" si="2"/>
        <v>16</v>
      </c>
      <c r="AI55" s="48">
        <f t="shared" si="3"/>
        <v>12</v>
      </c>
      <c r="AK55" s="49"/>
    </row>
    <row r="56" spans="1:41" x14ac:dyDescent="0.25">
      <c r="A56" s="53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/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4">
        <v>15</v>
      </c>
      <c r="AH56" s="47">
        <f t="shared" si="2"/>
        <v>3.2</v>
      </c>
      <c r="AI56" s="48">
        <f t="shared" si="3"/>
        <v>3.2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12</v>
      </c>
      <c r="C57" s="65">
        <v>12</v>
      </c>
      <c r="D57" s="65">
        <v>12</v>
      </c>
      <c r="E57" s="65">
        <v>12</v>
      </c>
      <c r="F57" s="65">
        <v>12</v>
      </c>
      <c r="G57" s="65">
        <v>12</v>
      </c>
      <c r="H57" s="65">
        <v>12</v>
      </c>
      <c r="I57" s="65">
        <v>12</v>
      </c>
      <c r="J57" s="65">
        <v>12</v>
      </c>
      <c r="K57" s="65"/>
      <c r="L57" s="65">
        <v>12</v>
      </c>
      <c r="M57" s="65">
        <v>12</v>
      </c>
      <c r="N57" s="65">
        <v>12</v>
      </c>
      <c r="O57" s="65">
        <v>12</v>
      </c>
      <c r="P57" s="65">
        <v>12</v>
      </c>
      <c r="Q57" s="65">
        <v>12</v>
      </c>
      <c r="R57" s="65">
        <v>12</v>
      </c>
      <c r="S57" s="65">
        <v>12</v>
      </c>
      <c r="T57" s="65">
        <v>12</v>
      </c>
      <c r="U57" s="65">
        <v>12</v>
      </c>
      <c r="V57" s="65">
        <v>12</v>
      </c>
      <c r="W57" s="65">
        <v>12</v>
      </c>
      <c r="X57" s="65">
        <v>12</v>
      </c>
      <c r="Y57" s="65">
        <v>12</v>
      </c>
      <c r="Z57" s="65">
        <v>12</v>
      </c>
      <c r="AA57" s="65">
        <v>12</v>
      </c>
      <c r="AB57" s="65">
        <v>12</v>
      </c>
      <c r="AC57" s="65">
        <v>12</v>
      </c>
      <c r="AD57" s="65">
        <v>12</v>
      </c>
      <c r="AE57" s="65">
        <v>12</v>
      </c>
      <c r="AF57" s="65">
        <v>12</v>
      </c>
      <c r="AG57" s="54">
        <v>14.1</v>
      </c>
      <c r="AH57" s="47">
        <f t="shared" si="2"/>
        <v>12</v>
      </c>
      <c r="AI57" s="48">
        <f t="shared" si="3"/>
        <v>12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4.7</v>
      </c>
      <c r="C58" s="65">
        <v>4.7</v>
      </c>
      <c r="D58" s="65">
        <v>4.7</v>
      </c>
      <c r="E58" s="65">
        <v>4.7</v>
      </c>
      <c r="F58" s="65">
        <v>4.7</v>
      </c>
      <c r="G58" s="65">
        <v>4.7</v>
      </c>
      <c r="H58" s="65">
        <v>4.7</v>
      </c>
      <c r="I58" s="65">
        <v>4.7</v>
      </c>
      <c r="J58" s="65">
        <v>4.7</v>
      </c>
      <c r="K58" s="65"/>
      <c r="L58" s="65">
        <v>4.7</v>
      </c>
      <c r="M58" s="65">
        <v>4.7</v>
      </c>
      <c r="N58" s="65">
        <v>4.7</v>
      </c>
      <c r="O58" s="65">
        <v>4.7</v>
      </c>
      <c r="P58" s="65">
        <v>4.7</v>
      </c>
      <c r="Q58" s="65">
        <v>4.7</v>
      </c>
      <c r="R58" s="65">
        <v>4.7</v>
      </c>
      <c r="S58" s="65">
        <v>4.7</v>
      </c>
      <c r="T58" s="65">
        <v>4.7</v>
      </c>
      <c r="U58" s="65">
        <v>4.7</v>
      </c>
      <c r="V58" s="65">
        <v>4.7</v>
      </c>
      <c r="W58" s="65">
        <v>4.7</v>
      </c>
      <c r="X58" s="65">
        <v>4.7</v>
      </c>
      <c r="Y58" s="65">
        <v>0</v>
      </c>
      <c r="Z58" s="65">
        <v>4.7</v>
      </c>
      <c r="AA58" s="65">
        <v>4.7</v>
      </c>
      <c r="AB58" s="65">
        <v>4.7</v>
      </c>
      <c r="AC58" s="65">
        <v>4.7</v>
      </c>
      <c r="AD58" s="65">
        <v>4.7</v>
      </c>
      <c r="AE58" s="65">
        <v>4.7</v>
      </c>
      <c r="AF58" s="65">
        <v>4.7</v>
      </c>
      <c r="AG58" s="54">
        <v>14</v>
      </c>
      <c r="AH58" s="47">
        <f t="shared" si="2"/>
        <v>4.7</v>
      </c>
      <c r="AI58" s="48">
        <f t="shared" si="3"/>
        <v>0</v>
      </c>
      <c r="AK58" s="49"/>
    </row>
    <row r="59" spans="1:41" x14ac:dyDescent="0.25">
      <c r="A59" s="53" t="s">
        <v>67</v>
      </c>
      <c r="B59" s="65">
        <v>5.2</v>
      </c>
      <c r="C59" s="65">
        <v>5.2</v>
      </c>
      <c r="D59" s="65">
        <v>5.2</v>
      </c>
      <c r="E59" s="65">
        <v>5.2</v>
      </c>
      <c r="F59" s="65">
        <v>5.2</v>
      </c>
      <c r="G59" s="65">
        <v>5.2</v>
      </c>
      <c r="H59" s="65">
        <v>5.2</v>
      </c>
      <c r="I59" s="65">
        <v>5.2</v>
      </c>
      <c r="J59" s="65">
        <v>5.2</v>
      </c>
      <c r="K59" s="65"/>
      <c r="L59" s="65">
        <v>5.2</v>
      </c>
      <c r="M59" s="65">
        <v>5.2</v>
      </c>
      <c r="N59" s="65">
        <v>5.2</v>
      </c>
      <c r="O59" s="65">
        <v>5.2</v>
      </c>
      <c r="P59" s="65">
        <v>5.2</v>
      </c>
      <c r="Q59" s="65">
        <v>5.2</v>
      </c>
      <c r="R59" s="65">
        <v>5.2</v>
      </c>
      <c r="S59" s="65">
        <v>5.2</v>
      </c>
      <c r="T59" s="65">
        <v>5.2</v>
      </c>
      <c r="U59" s="65">
        <v>5.2</v>
      </c>
      <c r="V59" s="65">
        <v>5.2</v>
      </c>
      <c r="W59" s="65">
        <v>5.2</v>
      </c>
      <c r="X59" s="65">
        <v>5.2</v>
      </c>
      <c r="Y59" s="65">
        <v>5.2</v>
      </c>
      <c r="Z59" s="65">
        <v>5.2</v>
      </c>
      <c r="AA59" s="65">
        <v>5.2</v>
      </c>
      <c r="AB59" s="65">
        <v>5.2</v>
      </c>
      <c r="AC59" s="65">
        <v>5.2</v>
      </c>
      <c r="AD59" s="65">
        <v>5.2</v>
      </c>
      <c r="AE59" s="65">
        <v>5.2</v>
      </c>
      <c r="AF59" s="65">
        <v>5.2</v>
      </c>
      <c r="AG59" s="54">
        <v>10.050000000000001</v>
      </c>
      <c r="AH59" s="47">
        <f t="shared" si="2"/>
        <v>5.2</v>
      </c>
      <c r="AI59" s="48">
        <f t="shared" si="3"/>
        <v>5.2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/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 t="shared" ref="B62:AG62" si="6">SUM(B49:B61)</f>
        <v>112.94000000000001</v>
      </c>
      <c r="C62" s="60">
        <f t="shared" si="6"/>
        <v>112.94000000000001</v>
      </c>
      <c r="D62" s="60">
        <f t="shared" si="6"/>
        <v>112.94000000000001</v>
      </c>
      <c r="E62" s="60">
        <f t="shared" si="6"/>
        <v>112.24000000000002</v>
      </c>
      <c r="F62" s="60">
        <f t="shared" si="6"/>
        <v>112.24000000000002</v>
      </c>
      <c r="G62" s="60">
        <f t="shared" si="6"/>
        <v>148.93999999999997</v>
      </c>
      <c r="H62" s="60">
        <f t="shared" si="6"/>
        <v>213.03999999999994</v>
      </c>
      <c r="I62" s="60">
        <f t="shared" si="6"/>
        <v>239.93999999999994</v>
      </c>
      <c r="J62" s="60">
        <f t="shared" si="6"/>
        <v>314.83999999999997</v>
      </c>
      <c r="K62" s="60">
        <f t="shared" si="6"/>
        <v>3.54</v>
      </c>
      <c r="L62" s="60">
        <f t="shared" si="6"/>
        <v>299.83999999999997</v>
      </c>
      <c r="M62" s="60">
        <f t="shared" si="6"/>
        <v>299.64</v>
      </c>
      <c r="N62" s="60">
        <f t="shared" si="6"/>
        <v>285.53999999999996</v>
      </c>
      <c r="O62" s="60">
        <f t="shared" si="6"/>
        <v>254.43999999999994</v>
      </c>
      <c r="P62" s="60">
        <f t="shared" si="6"/>
        <v>227.03999999999994</v>
      </c>
      <c r="Q62" s="60">
        <f t="shared" si="6"/>
        <v>295.23999999999995</v>
      </c>
      <c r="R62" s="60">
        <f t="shared" si="6"/>
        <v>308.23999999999995</v>
      </c>
      <c r="S62" s="60">
        <f t="shared" si="6"/>
        <v>329.64</v>
      </c>
      <c r="T62" s="60">
        <f t="shared" si="6"/>
        <v>315.53999999999996</v>
      </c>
      <c r="U62" s="60">
        <f t="shared" si="6"/>
        <v>335.54</v>
      </c>
      <c r="V62" s="60">
        <f t="shared" si="6"/>
        <v>296.53999999999996</v>
      </c>
      <c r="W62" s="60">
        <f t="shared" si="6"/>
        <v>290.73999999999995</v>
      </c>
      <c r="X62" s="60">
        <f t="shared" si="6"/>
        <v>337.44</v>
      </c>
      <c r="Y62" s="60">
        <f t="shared" si="6"/>
        <v>344.94</v>
      </c>
      <c r="Z62" s="60">
        <f t="shared" si="6"/>
        <v>351.74</v>
      </c>
      <c r="AA62" s="60">
        <f t="shared" si="6"/>
        <v>341.63999999999993</v>
      </c>
      <c r="AB62" s="60">
        <f t="shared" si="6"/>
        <v>318.33999999999997</v>
      </c>
      <c r="AC62" s="60">
        <f t="shared" si="6"/>
        <v>289.83999999999997</v>
      </c>
      <c r="AD62" s="60">
        <f t="shared" si="6"/>
        <v>264.83999999999997</v>
      </c>
      <c r="AE62" s="60">
        <f t="shared" si="6"/>
        <v>274.83999999999997</v>
      </c>
      <c r="AF62" s="60">
        <f t="shared" si="6"/>
        <v>182.83999999999995</v>
      </c>
      <c r="AG62" s="61">
        <f t="shared" si="6"/>
        <v>489.91</v>
      </c>
      <c r="AH62" s="47">
        <f t="shared" si="2"/>
        <v>351.74</v>
      </c>
      <c r="AI62" s="48">
        <f t="shared" si="3"/>
        <v>3.54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14</v>
      </c>
      <c r="K63" s="45"/>
      <c r="L63" s="45">
        <v>50</v>
      </c>
      <c r="M63" s="45">
        <v>35</v>
      </c>
      <c r="N63" s="45">
        <v>35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10</v>
      </c>
      <c r="W63" s="45">
        <v>10</v>
      </c>
      <c r="X63" s="45">
        <v>40</v>
      </c>
      <c r="Y63" s="45">
        <v>44</v>
      </c>
      <c r="Z63" s="45">
        <v>40</v>
      </c>
      <c r="AA63" s="45">
        <v>30</v>
      </c>
      <c r="AB63" s="45">
        <v>30</v>
      </c>
      <c r="AC63" s="45">
        <v>30</v>
      </c>
      <c r="AD63" s="45">
        <v>14</v>
      </c>
      <c r="AE63" s="45">
        <v>0</v>
      </c>
      <c r="AF63" s="45">
        <v>0</v>
      </c>
      <c r="AG63" s="51">
        <v>60</v>
      </c>
      <c r="AH63" s="47">
        <f t="shared" si="2"/>
        <v>50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6</v>
      </c>
      <c r="K64" s="65"/>
      <c r="L64" s="65">
        <v>25</v>
      </c>
      <c r="M64" s="65">
        <v>23.3</v>
      </c>
      <c r="N64" s="65">
        <v>19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3.7</v>
      </c>
      <c r="W64" s="65">
        <v>3.7</v>
      </c>
      <c r="X64" s="65">
        <v>16.8</v>
      </c>
      <c r="Y64" s="65">
        <v>19</v>
      </c>
      <c r="Z64" s="65">
        <v>21.8</v>
      </c>
      <c r="AA64" s="65">
        <v>17.5</v>
      </c>
      <c r="AB64" s="65">
        <v>15</v>
      </c>
      <c r="AC64" s="65">
        <v>15</v>
      </c>
      <c r="AD64" s="65">
        <v>9</v>
      </c>
      <c r="AE64" s="65">
        <v>0</v>
      </c>
      <c r="AF64" s="45">
        <v>0</v>
      </c>
      <c r="AG64" s="54">
        <v>32</v>
      </c>
      <c r="AH64" s="47">
        <f t="shared" si="2"/>
        <v>25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2.2000000000000002</v>
      </c>
      <c r="K65" s="67"/>
      <c r="L65" s="67">
        <v>9</v>
      </c>
      <c r="M65" s="67">
        <v>8.5</v>
      </c>
      <c r="N65" s="67">
        <v>7</v>
      </c>
      <c r="O65" s="67">
        <v>0</v>
      </c>
      <c r="P65" s="67">
        <v>0</v>
      </c>
      <c r="Q65" s="67">
        <v>0</v>
      </c>
      <c r="R65" s="67">
        <v>0</v>
      </c>
      <c r="S65" s="67">
        <v>0</v>
      </c>
      <c r="T65" s="67">
        <v>0</v>
      </c>
      <c r="U65" s="67">
        <v>0</v>
      </c>
      <c r="V65" s="67">
        <v>1.3</v>
      </c>
      <c r="W65" s="67">
        <v>1.4</v>
      </c>
      <c r="X65" s="67">
        <v>6.1</v>
      </c>
      <c r="Y65" s="67">
        <v>6.9</v>
      </c>
      <c r="Z65" s="67">
        <v>8</v>
      </c>
      <c r="AA65" s="67">
        <v>6.4</v>
      </c>
      <c r="AB65" s="67">
        <v>5.4</v>
      </c>
      <c r="AC65" s="67">
        <v>5.4</v>
      </c>
      <c r="AD65" s="67">
        <v>2</v>
      </c>
      <c r="AE65" s="67">
        <v>0</v>
      </c>
      <c r="AF65" s="45">
        <v>0</v>
      </c>
      <c r="AG65" s="68">
        <v>14</v>
      </c>
      <c r="AH65" s="47">
        <f t="shared" si="2"/>
        <v>9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84</v>
      </c>
      <c r="M66" s="60">
        <f t="shared" ref="M66:AF66" si="7">M63+M64+M65</f>
        <v>66.8</v>
      </c>
      <c r="N66" s="60">
        <f t="shared" si="7"/>
        <v>61</v>
      </c>
      <c r="O66" s="60">
        <f t="shared" si="7"/>
        <v>0</v>
      </c>
      <c r="P66" s="60">
        <f t="shared" si="7"/>
        <v>0</v>
      </c>
      <c r="Q66" s="60">
        <f t="shared" si="7"/>
        <v>0</v>
      </c>
      <c r="R66" s="60">
        <f t="shared" si="7"/>
        <v>0</v>
      </c>
      <c r="S66" s="60">
        <f t="shared" si="7"/>
        <v>0</v>
      </c>
      <c r="T66" s="60">
        <f t="shared" si="7"/>
        <v>0</v>
      </c>
      <c r="U66" s="60">
        <f t="shared" si="7"/>
        <v>0</v>
      </c>
      <c r="V66" s="60">
        <f t="shared" si="7"/>
        <v>15</v>
      </c>
      <c r="W66" s="60">
        <f t="shared" si="7"/>
        <v>15.1</v>
      </c>
      <c r="X66" s="60">
        <f t="shared" si="7"/>
        <v>62.9</v>
      </c>
      <c r="Y66" s="60">
        <f t="shared" si="7"/>
        <v>69.900000000000006</v>
      </c>
      <c r="Z66" s="60">
        <f t="shared" si="7"/>
        <v>69.8</v>
      </c>
      <c r="AA66" s="60">
        <f t="shared" si="7"/>
        <v>53.9</v>
      </c>
      <c r="AB66" s="60">
        <f t="shared" si="7"/>
        <v>50.4</v>
      </c>
      <c r="AC66" s="60">
        <f t="shared" si="7"/>
        <v>50.4</v>
      </c>
      <c r="AD66" s="60">
        <f t="shared" si="7"/>
        <v>25</v>
      </c>
      <c r="AE66" s="60">
        <f t="shared" si="7"/>
        <v>0</v>
      </c>
      <c r="AF66" s="60">
        <f t="shared" si="7"/>
        <v>0</v>
      </c>
      <c r="AG66" s="61">
        <f>SUM(AG63:AG65)</f>
        <v>106</v>
      </c>
      <c r="AH66" s="47">
        <f t="shared" si="2"/>
        <v>84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66.400000000000006</v>
      </c>
      <c r="C67" s="45">
        <v>67</v>
      </c>
      <c r="D67" s="45">
        <v>57.9</v>
      </c>
      <c r="E67" s="45">
        <v>55</v>
      </c>
      <c r="F67" s="45">
        <v>62</v>
      </c>
      <c r="G67" s="45">
        <v>57</v>
      </c>
      <c r="H67" s="45">
        <v>54</v>
      </c>
      <c r="I67" s="45">
        <v>61.6</v>
      </c>
      <c r="J67" s="45">
        <v>60</v>
      </c>
      <c r="K67" s="45"/>
      <c r="L67" s="45">
        <v>45</v>
      </c>
      <c r="M67" s="45">
        <v>53.5</v>
      </c>
      <c r="N67" s="45">
        <v>52</v>
      </c>
      <c r="O67" s="45">
        <v>59</v>
      </c>
      <c r="P67" s="45">
        <v>68.2</v>
      </c>
      <c r="Q67" s="45">
        <v>58.6</v>
      </c>
      <c r="R67" s="45">
        <v>62</v>
      </c>
      <c r="S67" s="45">
        <v>67</v>
      </c>
      <c r="T67" s="45">
        <v>63.6</v>
      </c>
      <c r="U67" s="45">
        <v>63.6</v>
      </c>
      <c r="V67" s="45">
        <v>63.6</v>
      </c>
      <c r="W67" s="45">
        <v>59.1</v>
      </c>
      <c r="X67" s="45">
        <v>63.8</v>
      </c>
      <c r="Y67" s="45">
        <v>63.5</v>
      </c>
      <c r="Z67" s="45">
        <v>60.7</v>
      </c>
      <c r="AA67" s="45">
        <v>51</v>
      </c>
      <c r="AB67" s="45">
        <v>60</v>
      </c>
      <c r="AC67" s="45">
        <v>60</v>
      </c>
      <c r="AD67" s="45">
        <v>62</v>
      </c>
      <c r="AE67" s="45">
        <v>62</v>
      </c>
      <c r="AF67" s="45">
        <v>58</v>
      </c>
      <c r="AG67" s="51"/>
      <c r="AH67" s="47">
        <f t="shared" si="2"/>
        <v>68.2</v>
      </c>
      <c r="AI67" s="48">
        <f t="shared" si="3"/>
        <v>45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/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325</v>
      </c>
      <c r="C69" s="65">
        <v>315</v>
      </c>
      <c r="D69" s="65">
        <v>309</v>
      </c>
      <c r="E69" s="65">
        <v>310</v>
      </c>
      <c r="F69" s="65">
        <v>300</v>
      </c>
      <c r="G69" s="65">
        <v>330.7</v>
      </c>
      <c r="H69" s="65">
        <v>325</v>
      </c>
      <c r="I69" s="65">
        <v>332</v>
      </c>
      <c r="J69" s="65">
        <v>273</v>
      </c>
      <c r="K69" s="65"/>
      <c r="L69" s="65">
        <v>190</v>
      </c>
      <c r="M69" s="65">
        <v>228.6</v>
      </c>
      <c r="N69" s="65">
        <v>229</v>
      </c>
      <c r="O69" s="65">
        <v>229.7</v>
      </c>
      <c r="P69" s="65">
        <v>278.5</v>
      </c>
      <c r="Q69" s="65">
        <v>287</v>
      </c>
      <c r="R69" s="65">
        <v>337.3</v>
      </c>
      <c r="S69" s="65">
        <v>340</v>
      </c>
      <c r="T69" s="65">
        <v>347</v>
      </c>
      <c r="U69" s="65">
        <v>330.7</v>
      </c>
      <c r="V69" s="65">
        <v>274.2</v>
      </c>
      <c r="W69" s="65">
        <v>287.60000000000002</v>
      </c>
      <c r="X69" s="65">
        <v>260</v>
      </c>
      <c r="Y69" s="65">
        <v>265</v>
      </c>
      <c r="Z69" s="65">
        <v>220</v>
      </c>
      <c r="AA69" s="65">
        <v>163</v>
      </c>
      <c r="AB69" s="65">
        <v>260</v>
      </c>
      <c r="AC69" s="65">
        <v>265</v>
      </c>
      <c r="AD69" s="65">
        <v>267</v>
      </c>
      <c r="AE69" s="65">
        <v>280</v>
      </c>
      <c r="AF69" s="65">
        <v>330</v>
      </c>
      <c r="AG69" s="75"/>
      <c r="AH69" s="47">
        <f t="shared" si="2"/>
        <v>347</v>
      </c>
      <c r="AI69" s="48">
        <f t="shared" si="3"/>
        <v>163</v>
      </c>
      <c r="AK69" s="49"/>
    </row>
    <row r="70" spans="1:40" x14ac:dyDescent="0.25">
      <c r="A70" s="53" t="s">
        <v>78</v>
      </c>
      <c r="B70" s="76">
        <v>57.7</v>
      </c>
      <c r="C70" s="76">
        <v>64.5</v>
      </c>
      <c r="D70" s="76">
        <v>60.8</v>
      </c>
      <c r="E70" s="76">
        <v>51.8</v>
      </c>
      <c r="F70" s="76">
        <v>65.7</v>
      </c>
      <c r="G70" s="76">
        <v>67.8</v>
      </c>
      <c r="H70" s="76">
        <v>61.6</v>
      </c>
      <c r="I70" s="76">
        <v>67.599999999999994</v>
      </c>
      <c r="J70" s="76">
        <v>66.2</v>
      </c>
      <c r="K70" s="76"/>
      <c r="L70" s="76">
        <v>66</v>
      </c>
      <c r="M70" s="76">
        <v>43.7</v>
      </c>
      <c r="N70" s="76">
        <v>42.7</v>
      </c>
      <c r="O70" s="76">
        <v>40.200000000000003</v>
      </c>
      <c r="P70" s="76">
        <v>51.1</v>
      </c>
      <c r="Q70" s="76">
        <v>62.2</v>
      </c>
      <c r="R70" s="76">
        <v>57.6</v>
      </c>
      <c r="S70" s="76">
        <v>64</v>
      </c>
      <c r="T70" s="76">
        <v>59.4</v>
      </c>
      <c r="U70" s="76">
        <v>59.4</v>
      </c>
      <c r="V70" s="76">
        <v>42.8</v>
      </c>
      <c r="W70" s="76">
        <v>41.4</v>
      </c>
      <c r="X70" s="65">
        <v>41.5</v>
      </c>
      <c r="Y70" s="65">
        <v>43.2</v>
      </c>
      <c r="Z70" s="65">
        <v>42.5</v>
      </c>
      <c r="AA70" s="65">
        <v>52.2</v>
      </c>
      <c r="AB70" s="65">
        <v>59</v>
      </c>
      <c r="AC70" s="65">
        <v>59</v>
      </c>
      <c r="AD70" s="65">
        <v>55</v>
      </c>
      <c r="AE70" s="65">
        <v>45</v>
      </c>
      <c r="AF70" s="65">
        <v>55</v>
      </c>
      <c r="AG70" s="75"/>
      <c r="AH70" s="47">
        <f t="shared" si="2"/>
        <v>67.8</v>
      </c>
      <c r="AI70" s="48">
        <f t="shared" si="3"/>
        <v>40.200000000000003</v>
      </c>
      <c r="AK70" s="49"/>
    </row>
    <row r="71" spans="1:40" x14ac:dyDescent="0.25">
      <c r="A71" s="53" t="s">
        <v>79</v>
      </c>
      <c r="B71" s="45">
        <v>24.8</v>
      </c>
      <c r="C71" s="45">
        <v>25.5</v>
      </c>
      <c r="D71" s="45">
        <v>25.1</v>
      </c>
      <c r="E71" s="45">
        <v>23.2</v>
      </c>
      <c r="F71" s="45">
        <v>23.855</v>
      </c>
      <c r="G71" s="45">
        <v>23.4</v>
      </c>
      <c r="H71" s="45">
        <v>25.2</v>
      </c>
      <c r="I71" s="45">
        <v>25.2</v>
      </c>
      <c r="J71" s="45">
        <v>27.8</v>
      </c>
      <c r="K71" s="45"/>
      <c r="L71" s="45">
        <v>42</v>
      </c>
      <c r="M71" s="45">
        <v>43.8</v>
      </c>
      <c r="N71" s="45">
        <v>45.4</v>
      </c>
      <c r="O71" s="45">
        <v>45</v>
      </c>
      <c r="P71" s="45">
        <v>20.100000000000001</v>
      </c>
      <c r="Q71" s="45">
        <v>38.700000000000003</v>
      </c>
      <c r="R71" s="45">
        <v>35.6</v>
      </c>
      <c r="S71" s="45">
        <v>35.4</v>
      </c>
      <c r="T71" s="45">
        <v>37.200000000000003</v>
      </c>
      <c r="U71" s="45">
        <v>37.200000000000003</v>
      </c>
      <c r="V71" s="45">
        <v>32.299999999999997</v>
      </c>
      <c r="W71" s="45">
        <v>29.5</v>
      </c>
      <c r="X71" s="45">
        <v>15.4</v>
      </c>
      <c r="Y71" s="45">
        <v>25.6</v>
      </c>
      <c r="Z71" s="45">
        <v>26.6</v>
      </c>
      <c r="AA71" s="45">
        <v>26.8</v>
      </c>
      <c r="AB71" s="45">
        <v>27</v>
      </c>
      <c r="AC71" s="45">
        <v>27</v>
      </c>
      <c r="AD71" s="45">
        <v>26</v>
      </c>
      <c r="AE71" s="45">
        <v>24</v>
      </c>
      <c r="AF71" s="45">
        <v>23</v>
      </c>
      <c r="AG71" s="75"/>
      <c r="AH71" s="47">
        <f t="shared" si="2"/>
        <v>45.4</v>
      </c>
      <c r="AI71" s="48">
        <f t="shared" si="3"/>
        <v>15.4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0</v>
      </c>
      <c r="H72" s="77">
        <v>0</v>
      </c>
      <c r="I72" s="77">
        <v>0</v>
      </c>
      <c r="J72" s="77">
        <v>0</v>
      </c>
      <c r="K72" s="77"/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0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8">MAX(B75:AF75)</f>
        <v>0</v>
      </c>
      <c r="AI75" s="48">
        <f t="shared" ref="AI75:AI113" si="9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8"/>
        <v>0</v>
      </c>
      <c r="AI76" s="48">
        <f t="shared" si="9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8"/>
        <v>0</v>
      </c>
      <c r="AI77" s="48">
        <f t="shared" si="9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F78" si="10">SUMIF(B67:B77,"&gt;0")</f>
        <v>478.9</v>
      </c>
      <c r="C78" s="60">
        <f t="shared" si="10"/>
        <v>477</v>
      </c>
      <c r="D78" s="60">
        <f t="shared" si="10"/>
        <v>457.8</v>
      </c>
      <c r="E78" s="60">
        <f t="shared" si="10"/>
        <v>445</v>
      </c>
      <c r="F78" s="60">
        <f t="shared" si="10"/>
        <v>456.55500000000001</v>
      </c>
      <c r="G78" s="60">
        <f t="shared" si="10"/>
        <v>478.9</v>
      </c>
      <c r="H78" s="60">
        <f t="shared" si="10"/>
        <v>465.8</v>
      </c>
      <c r="I78" s="60">
        <f t="shared" si="10"/>
        <v>486.40000000000003</v>
      </c>
      <c r="J78" s="60">
        <f t="shared" si="10"/>
        <v>427</v>
      </c>
      <c r="K78" s="60">
        <f t="shared" si="10"/>
        <v>0</v>
      </c>
      <c r="L78" s="60">
        <f t="shared" si="10"/>
        <v>343</v>
      </c>
      <c r="M78" s="60">
        <f t="shared" si="10"/>
        <v>369.6</v>
      </c>
      <c r="N78" s="60">
        <f t="shared" si="10"/>
        <v>369.09999999999997</v>
      </c>
      <c r="O78" s="60">
        <f t="shared" si="10"/>
        <v>373.9</v>
      </c>
      <c r="P78" s="60">
        <f t="shared" si="10"/>
        <v>417.90000000000003</v>
      </c>
      <c r="Q78" s="60">
        <f t="shared" si="10"/>
        <v>446.5</v>
      </c>
      <c r="R78" s="60">
        <f t="shared" si="10"/>
        <v>492.50000000000006</v>
      </c>
      <c r="S78" s="60">
        <f t="shared" si="10"/>
        <v>511.4</v>
      </c>
      <c r="T78" s="60">
        <f t="shared" si="10"/>
        <v>512.20000000000005</v>
      </c>
      <c r="U78" s="60">
        <f t="shared" si="10"/>
        <v>495.9</v>
      </c>
      <c r="V78" s="60">
        <f t="shared" si="10"/>
        <v>417.90000000000003</v>
      </c>
      <c r="W78" s="60">
        <f t="shared" si="10"/>
        <v>422.6</v>
      </c>
      <c r="X78" s="60">
        <f t="shared" si="10"/>
        <v>385.7</v>
      </c>
      <c r="Y78" s="60">
        <f t="shared" si="10"/>
        <v>402.3</v>
      </c>
      <c r="Z78" s="60">
        <f t="shared" si="10"/>
        <v>354.8</v>
      </c>
      <c r="AA78" s="60">
        <f t="shared" si="10"/>
        <v>298</v>
      </c>
      <c r="AB78" s="60">
        <f t="shared" si="10"/>
        <v>411</v>
      </c>
      <c r="AC78" s="60">
        <f t="shared" si="10"/>
        <v>416</v>
      </c>
      <c r="AD78" s="60">
        <f t="shared" si="10"/>
        <v>415</v>
      </c>
      <c r="AE78" s="60">
        <f t="shared" si="10"/>
        <v>416</v>
      </c>
      <c r="AF78" s="60">
        <f t="shared" si="10"/>
        <v>471</v>
      </c>
      <c r="AG78" s="88">
        <f>SUM(AG67:AG77)</f>
        <v>0</v>
      </c>
      <c r="AH78" s="47">
        <f t="shared" si="8"/>
        <v>512.20000000000005</v>
      </c>
      <c r="AI78" s="48">
        <f t="shared" si="9"/>
        <v>0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8"/>
        <v>0</v>
      </c>
      <c r="AI79" s="48">
        <f t="shared" si="9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8"/>
        <v>0</v>
      </c>
      <c r="AI80" s="48">
        <f t="shared" si="9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8"/>
        <v>0</v>
      </c>
      <c r="AI81" s="48">
        <f t="shared" si="9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/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8"/>
        <v>0</v>
      </c>
      <c r="AI82" s="48">
        <f t="shared" si="9"/>
        <v>0</v>
      </c>
    </row>
    <row r="83" spans="1:37" ht="15.75" thickBot="1" x14ac:dyDescent="0.3">
      <c r="A83" s="74" t="s">
        <v>94</v>
      </c>
      <c r="B83" s="95">
        <f>B44+B48+B66+B62+B78+B82</f>
        <v>1091.54</v>
      </c>
      <c r="C83" s="95">
        <f t="shared" ref="C83:AG83" si="11">C44+C48+C66+C62+C78+C82</f>
        <v>1064.6399999999999</v>
      </c>
      <c r="D83" s="95">
        <f t="shared" si="11"/>
        <v>1080.44</v>
      </c>
      <c r="E83" s="95">
        <f t="shared" si="11"/>
        <v>1052.24</v>
      </c>
      <c r="F83" s="95">
        <f t="shared" si="11"/>
        <v>1073.7950000000001</v>
      </c>
      <c r="G83" s="95">
        <f t="shared" si="11"/>
        <v>1117.8399999999999</v>
      </c>
      <c r="H83" s="95">
        <f t="shared" si="11"/>
        <v>1168.8399999999999</v>
      </c>
      <c r="I83" s="95">
        <f t="shared" si="11"/>
        <v>1236.3399999999999</v>
      </c>
      <c r="J83" s="95">
        <f t="shared" si="11"/>
        <v>1306.8399999999999</v>
      </c>
      <c r="K83" s="95">
        <f t="shared" si="11"/>
        <v>123.54</v>
      </c>
      <c r="L83" s="95">
        <f t="shared" si="11"/>
        <v>923.04</v>
      </c>
      <c r="M83" s="95">
        <f t="shared" si="11"/>
        <v>1402.8399999999997</v>
      </c>
      <c r="N83" s="95">
        <f t="shared" si="11"/>
        <v>1280.54</v>
      </c>
      <c r="O83" s="95">
        <f t="shared" si="11"/>
        <v>1178.1399999999999</v>
      </c>
      <c r="P83" s="95">
        <f t="shared" si="11"/>
        <v>1178.6400000000001</v>
      </c>
      <c r="Q83" s="95">
        <f t="shared" si="11"/>
        <v>1319.44</v>
      </c>
      <c r="R83" s="95">
        <f t="shared" si="11"/>
        <v>1288.6399999999999</v>
      </c>
      <c r="S83" s="95">
        <f t="shared" si="11"/>
        <v>1342.74</v>
      </c>
      <c r="T83" s="95">
        <f t="shared" si="11"/>
        <v>1320.24</v>
      </c>
      <c r="U83" s="95">
        <f t="shared" si="11"/>
        <v>1368.94</v>
      </c>
      <c r="V83" s="95">
        <f t="shared" si="11"/>
        <v>1226.94</v>
      </c>
      <c r="W83" s="95">
        <f t="shared" si="11"/>
        <v>1251.1399999999999</v>
      </c>
      <c r="X83" s="95">
        <f t="shared" si="11"/>
        <v>1383.74</v>
      </c>
      <c r="Y83" s="95">
        <f t="shared" si="11"/>
        <v>1413.34</v>
      </c>
      <c r="Z83" s="95">
        <f t="shared" si="11"/>
        <v>1466.94</v>
      </c>
      <c r="AA83" s="95">
        <f t="shared" si="11"/>
        <v>1439.14</v>
      </c>
      <c r="AB83" s="95">
        <f t="shared" si="11"/>
        <v>1405.34</v>
      </c>
      <c r="AC83" s="95">
        <f t="shared" si="11"/>
        <v>1372.74</v>
      </c>
      <c r="AD83" s="95">
        <f t="shared" si="11"/>
        <v>1301.3399999999999</v>
      </c>
      <c r="AE83" s="95">
        <f t="shared" si="11"/>
        <v>1277.3399999999999</v>
      </c>
      <c r="AF83" s="95">
        <f t="shared" si="11"/>
        <v>1120.3400000000001</v>
      </c>
      <c r="AG83" s="61">
        <f t="shared" si="11"/>
        <v>2004.1900000000003</v>
      </c>
      <c r="AH83" s="47">
        <f>MAX(B83:AF83)</f>
        <v>1466.94</v>
      </c>
      <c r="AI83" s="48">
        <f>MIN(B83:AF83)</f>
        <v>123.54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>
        <v>210</v>
      </c>
      <c r="N84" s="97">
        <v>210</v>
      </c>
      <c r="O84" s="97">
        <v>210</v>
      </c>
      <c r="P84" s="97"/>
      <c r="Q84" s="97"/>
      <c r="R84" s="97"/>
      <c r="S84" s="97"/>
      <c r="T84" s="97"/>
      <c r="U84" s="97"/>
      <c r="V84" s="97">
        <v>120</v>
      </c>
      <c r="W84" s="97">
        <v>150</v>
      </c>
      <c r="X84" s="97">
        <v>200</v>
      </c>
      <c r="Y84" s="97">
        <v>220</v>
      </c>
      <c r="Z84" s="97">
        <v>120</v>
      </c>
      <c r="AA84" s="97">
        <v>100</v>
      </c>
      <c r="AB84" s="97"/>
      <c r="AC84" s="97"/>
      <c r="AD84" s="97"/>
      <c r="AE84" s="97"/>
      <c r="AF84" s="97"/>
      <c r="AG84" s="88"/>
      <c r="AH84" s="47">
        <f t="shared" si="8"/>
        <v>220</v>
      </c>
      <c r="AI84" s="48">
        <f t="shared" si="9"/>
        <v>100</v>
      </c>
    </row>
    <row r="85" spans="1:37" ht="15.75" thickBot="1" x14ac:dyDescent="0.3">
      <c r="A85" s="74" t="s">
        <v>96</v>
      </c>
      <c r="B85" s="95">
        <f>B83+B84</f>
        <v>1091.54</v>
      </c>
      <c r="C85" s="95">
        <f t="shared" ref="C85:AF85" si="12">C83+C84</f>
        <v>1064.6399999999999</v>
      </c>
      <c r="D85" s="95">
        <f t="shared" si="12"/>
        <v>1080.44</v>
      </c>
      <c r="E85" s="95">
        <f t="shared" si="12"/>
        <v>1052.24</v>
      </c>
      <c r="F85" s="95">
        <f t="shared" si="12"/>
        <v>1073.7950000000001</v>
      </c>
      <c r="G85" s="95">
        <f t="shared" si="12"/>
        <v>1117.8399999999999</v>
      </c>
      <c r="H85" s="95">
        <f t="shared" si="12"/>
        <v>1168.8399999999999</v>
      </c>
      <c r="I85" s="95">
        <f t="shared" si="12"/>
        <v>1236.3399999999999</v>
      </c>
      <c r="J85" s="95">
        <f t="shared" si="12"/>
        <v>1306.8399999999999</v>
      </c>
      <c r="K85" s="95">
        <f t="shared" si="12"/>
        <v>123.54</v>
      </c>
      <c r="L85" s="95">
        <f t="shared" si="12"/>
        <v>923.04</v>
      </c>
      <c r="M85" s="95">
        <f t="shared" si="12"/>
        <v>1612.8399999999997</v>
      </c>
      <c r="N85" s="95">
        <f t="shared" si="12"/>
        <v>1490.54</v>
      </c>
      <c r="O85" s="95">
        <f t="shared" si="12"/>
        <v>1388.1399999999999</v>
      </c>
      <c r="P85" s="95">
        <f t="shared" si="12"/>
        <v>1178.6400000000001</v>
      </c>
      <c r="Q85" s="95">
        <f t="shared" si="12"/>
        <v>1319.44</v>
      </c>
      <c r="R85" s="95">
        <f t="shared" si="12"/>
        <v>1288.6399999999999</v>
      </c>
      <c r="S85" s="95">
        <f t="shared" si="12"/>
        <v>1342.74</v>
      </c>
      <c r="T85" s="95">
        <f t="shared" si="12"/>
        <v>1320.24</v>
      </c>
      <c r="U85" s="95">
        <f t="shared" si="12"/>
        <v>1368.94</v>
      </c>
      <c r="V85" s="95">
        <f t="shared" si="12"/>
        <v>1346.94</v>
      </c>
      <c r="W85" s="95">
        <f t="shared" si="12"/>
        <v>1401.1399999999999</v>
      </c>
      <c r="X85" s="95">
        <f t="shared" si="12"/>
        <v>1583.74</v>
      </c>
      <c r="Y85" s="95">
        <f t="shared" si="12"/>
        <v>1633.34</v>
      </c>
      <c r="Z85" s="95">
        <f t="shared" si="12"/>
        <v>1586.94</v>
      </c>
      <c r="AA85" s="95">
        <f t="shared" si="12"/>
        <v>1539.14</v>
      </c>
      <c r="AB85" s="95">
        <f t="shared" si="12"/>
        <v>1405.34</v>
      </c>
      <c r="AC85" s="95">
        <f t="shared" si="12"/>
        <v>1372.74</v>
      </c>
      <c r="AD85" s="95">
        <f t="shared" si="12"/>
        <v>1301.3399999999999</v>
      </c>
      <c r="AE85" s="95">
        <f t="shared" si="12"/>
        <v>1277.3399999999999</v>
      </c>
      <c r="AF85" s="95">
        <f t="shared" si="12"/>
        <v>1120.3400000000001</v>
      </c>
      <c r="AG85" s="88">
        <f>AG82+AG78+AG66+AG62+AG44+AG84</f>
        <v>1466.0900000000001</v>
      </c>
      <c r="AH85" s="47">
        <f t="shared" si="8"/>
        <v>1633.34</v>
      </c>
      <c r="AI85" s="48">
        <f t="shared" si="9"/>
        <v>123.54</v>
      </c>
    </row>
    <row r="86" spans="1:37" ht="15.75" thickBot="1" x14ac:dyDescent="0.3">
      <c r="A86" s="74" t="s">
        <v>97</v>
      </c>
      <c r="B86" s="95">
        <f t="shared" ref="B86:AF86" si="13">B85-B93</f>
        <v>1091.54</v>
      </c>
      <c r="C86" s="95">
        <f t="shared" si="13"/>
        <v>1064.6399999999999</v>
      </c>
      <c r="D86" s="95">
        <f t="shared" si="13"/>
        <v>1080.44</v>
      </c>
      <c r="E86" s="95">
        <f t="shared" si="13"/>
        <v>1052.24</v>
      </c>
      <c r="F86" s="95">
        <f t="shared" si="13"/>
        <v>1073.7950000000001</v>
      </c>
      <c r="G86" s="95">
        <f t="shared" si="13"/>
        <v>1117.8399999999999</v>
      </c>
      <c r="H86" s="95">
        <f t="shared" si="13"/>
        <v>1168.8399999999999</v>
      </c>
      <c r="I86" s="95">
        <f t="shared" si="13"/>
        <v>1236.3399999999999</v>
      </c>
      <c r="J86" s="95">
        <f t="shared" si="13"/>
        <v>1306.8399999999999</v>
      </c>
      <c r="K86" s="95">
        <f t="shared" si="13"/>
        <v>123.54</v>
      </c>
      <c r="L86" s="95">
        <f t="shared" si="13"/>
        <v>923.04</v>
      </c>
      <c r="M86" s="95">
        <f t="shared" si="13"/>
        <v>1612.8399999999997</v>
      </c>
      <c r="N86" s="95">
        <f t="shared" si="13"/>
        <v>1490.54</v>
      </c>
      <c r="O86" s="95">
        <f t="shared" si="13"/>
        <v>1388.1399999999999</v>
      </c>
      <c r="P86" s="95">
        <f t="shared" si="13"/>
        <v>1178.6400000000001</v>
      </c>
      <c r="Q86" s="95">
        <f t="shared" si="13"/>
        <v>1319.44</v>
      </c>
      <c r="R86" s="95">
        <f t="shared" si="13"/>
        <v>1288.6399999999999</v>
      </c>
      <c r="S86" s="95">
        <f t="shared" si="13"/>
        <v>1342.74</v>
      </c>
      <c r="T86" s="95">
        <f t="shared" si="13"/>
        <v>1320.24</v>
      </c>
      <c r="U86" s="95">
        <f t="shared" si="13"/>
        <v>1368.94</v>
      </c>
      <c r="V86" s="95">
        <f t="shared" si="13"/>
        <v>1346.94</v>
      </c>
      <c r="W86" s="95">
        <f t="shared" si="13"/>
        <v>1401.1399999999999</v>
      </c>
      <c r="X86" s="95">
        <f t="shared" si="13"/>
        <v>1583.74</v>
      </c>
      <c r="Y86" s="95">
        <f t="shared" si="13"/>
        <v>1633.34</v>
      </c>
      <c r="Z86" s="95">
        <f t="shared" si="13"/>
        <v>1586.94</v>
      </c>
      <c r="AA86" s="95">
        <f t="shared" si="13"/>
        <v>1539.14</v>
      </c>
      <c r="AB86" s="95">
        <f t="shared" si="13"/>
        <v>1405.34</v>
      </c>
      <c r="AC86" s="95">
        <f t="shared" si="13"/>
        <v>1372.74</v>
      </c>
      <c r="AD86" s="95">
        <f t="shared" si="13"/>
        <v>1301.3399999999999</v>
      </c>
      <c r="AE86" s="95">
        <f t="shared" si="13"/>
        <v>1277.3399999999999</v>
      </c>
      <c r="AF86" s="95">
        <f t="shared" si="13"/>
        <v>1120.3400000000001</v>
      </c>
      <c r="AG86" s="88"/>
      <c r="AH86" s="47">
        <f t="shared" si="8"/>
        <v>1633.34</v>
      </c>
      <c r="AI86" s="48">
        <f t="shared" si="9"/>
        <v>123.54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8"/>
        <v>0</v>
      </c>
      <c r="AI87" s="48">
        <f t="shared" si="9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8"/>
        <v>0</v>
      </c>
      <c r="AI88" s="48">
        <f t="shared" si="9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8"/>
        <v>0</v>
      </c>
      <c r="AI89" s="48">
        <f t="shared" si="9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8"/>
        <v>0</v>
      </c>
      <c r="AI90" s="48">
        <f t="shared" si="9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8"/>
        <v>0</v>
      </c>
      <c r="AI91" s="48">
        <f t="shared" si="9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8"/>
        <v>0</v>
      </c>
      <c r="AI92" s="48">
        <f t="shared" si="9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88"/>
      <c r="AH93" s="47">
        <f t="shared" si="8"/>
        <v>0</v>
      </c>
      <c r="AI93" s="48">
        <f t="shared" si="9"/>
        <v>0</v>
      </c>
      <c r="AK93" s="49"/>
    </row>
    <row r="94" spans="1:37" ht="15.75" thickBot="1" x14ac:dyDescent="0.3">
      <c r="A94" s="74" t="s">
        <v>102</v>
      </c>
      <c r="B94" s="60">
        <f t="shared" ref="B94:AF94" si="14">B78-B93</f>
        <v>478.9</v>
      </c>
      <c r="C94" s="60">
        <f t="shared" si="14"/>
        <v>477</v>
      </c>
      <c r="D94" s="60">
        <f t="shared" si="14"/>
        <v>457.8</v>
      </c>
      <c r="E94" s="60">
        <f t="shared" si="14"/>
        <v>445</v>
      </c>
      <c r="F94" s="60">
        <f t="shared" si="14"/>
        <v>456.55500000000001</v>
      </c>
      <c r="G94" s="60">
        <f t="shared" si="14"/>
        <v>478.9</v>
      </c>
      <c r="H94" s="60">
        <f t="shared" si="14"/>
        <v>465.8</v>
      </c>
      <c r="I94" s="60">
        <f t="shared" si="14"/>
        <v>486.40000000000003</v>
      </c>
      <c r="J94" s="60">
        <f t="shared" si="14"/>
        <v>427</v>
      </c>
      <c r="K94" s="60">
        <f t="shared" si="14"/>
        <v>0</v>
      </c>
      <c r="L94" s="60">
        <f t="shared" si="14"/>
        <v>343</v>
      </c>
      <c r="M94" s="60">
        <f t="shared" si="14"/>
        <v>369.6</v>
      </c>
      <c r="N94" s="60">
        <f t="shared" si="14"/>
        <v>369.09999999999997</v>
      </c>
      <c r="O94" s="60">
        <f t="shared" si="14"/>
        <v>373.9</v>
      </c>
      <c r="P94" s="60">
        <f t="shared" si="14"/>
        <v>417.90000000000003</v>
      </c>
      <c r="Q94" s="60">
        <f t="shared" si="14"/>
        <v>446.5</v>
      </c>
      <c r="R94" s="60">
        <f t="shared" si="14"/>
        <v>492.50000000000006</v>
      </c>
      <c r="S94" s="60">
        <f t="shared" si="14"/>
        <v>511.4</v>
      </c>
      <c r="T94" s="60">
        <f t="shared" si="14"/>
        <v>512.20000000000005</v>
      </c>
      <c r="U94" s="60">
        <f t="shared" si="14"/>
        <v>495.9</v>
      </c>
      <c r="V94" s="60">
        <f t="shared" si="14"/>
        <v>417.90000000000003</v>
      </c>
      <c r="W94" s="60">
        <f t="shared" si="14"/>
        <v>422.6</v>
      </c>
      <c r="X94" s="60">
        <f t="shared" si="14"/>
        <v>385.7</v>
      </c>
      <c r="Y94" s="60">
        <f t="shared" si="14"/>
        <v>402.3</v>
      </c>
      <c r="Z94" s="60">
        <f t="shared" si="14"/>
        <v>354.8</v>
      </c>
      <c r="AA94" s="60">
        <f t="shared" si="14"/>
        <v>298</v>
      </c>
      <c r="AB94" s="60">
        <f t="shared" si="14"/>
        <v>411</v>
      </c>
      <c r="AC94" s="60">
        <f t="shared" si="14"/>
        <v>416</v>
      </c>
      <c r="AD94" s="60">
        <f t="shared" si="14"/>
        <v>415</v>
      </c>
      <c r="AE94" s="60">
        <f t="shared" si="14"/>
        <v>416</v>
      </c>
      <c r="AF94" s="60">
        <f t="shared" si="14"/>
        <v>471</v>
      </c>
      <c r="AG94" s="88"/>
      <c r="AH94" s="47">
        <f t="shared" si="8"/>
        <v>512.20000000000005</v>
      </c>
      <c r="AI94" s="48">
        <f t="shared" si="9"/>
        <v>0</v>
      </c>
    </row>
    <row r="95" spans="1:37" x14ac:dyDescent="0.25">
      <c r="A95" s="100" t="s">
        <v>103</v>
      </c>
      <c r="B95" s="101">
        <v>49.981999999999999</v>
      </c>
      <c r="C95" s="101">
        <v>49.972999999999999</v>
      </c>
      <c r="D95" s="101">
        <v>49.978999999999999</v>
      </c>
      <c r="E95" s="101">
        <v>49.904000000000003</v>
      </c>
      <c r="F95" s="101">
        <v>49.942999999999998</v>
      </c>
      <c r="G95" s="101">
        <v>50.012</v>
      </c>
      <c r="H95" s="101">
        <v>50</v>
      </c>
      <c r="I95" s="101">
        <v>49.831000000000003</v>
      </c>
      <c r="J95" s="101">
        <v>49.804000000000002</v>
      </c>
      <c r="K95" s="101"/>
      <c r="L95" s="101">
        <v>49.804000000000002</v>
      </c>
      <c r="M95" s="101">
        <v>50.1</v>
      </c>
      <c r="N95" s="101">
        <v>50.079000000000001</v>
      </c>
      <c r="O95" s="101">
        <v>49.899000000000001</v>
      </c>
      <c r="P95" s="101">
        <v>50.027999999999999</v>
      </c>
      <c r="Q95" s="101">
        <v>50.08</v>
      </c>
      <c r="R95" s="101">
        <v>49.893000000000001</v>
      </c>
      <c r="S95" s="101">
        <v>49.768999999999998</v>
      </c>
      <c r="T95" s="101">
        <v>49.91</v>
      </c>
      <c r="U95" s="101">
        <v>49.91</v>
      </c>
      <c r="V95" s="101">
        <v>49.856999999999999</v>
      </c>
      <c r="W95" s="101">
        <v>49.926000000000002</v>
      </c>
      <c r="X95" s="101">
        <v>49.972999999999999</v>
      </c>
      <c r="Y95" s="101">
        <v>50.034999999999997</v>
      </c>
      <c r="Z95" s="101">
        <v>49.991999999999997</v>
      </c>
      <c r="AA95" s="101">
        <v>50.106000000000002</v>
      </c>
      <c r="AB95" s="101">
        <v>49.96</v>
      </c>
      <c r="AC95" s="101">
        <v>49.96</v>
      </c>
      <c r="AD95" s="101" t="s">
        <v>705</v>
      </c>
      <c r="AE95" s="101">
        <v>50.02</v>
      </c>
      <c r="AF95" s="101">
        <v>49.98</v>
      </c>
      <c r="AG95" s="102"/>
      <c r="AH95" s="47">
        <f t="shared" si="8"/>
        <v>50.106000000000002</v>
      </c>
      <c r="AI95" s="48">
        <f t="shared" si="9"/>
        <v>49.768999999999998</v>
      </c>
    </row>
    <row r="96" spans="1:37" x14ac:dyDescent="0.25">
      <c r="A96" s="103" t="s">
        <v>104</v>
      </c>
      <c r="B96" s="65">
        <v>126.6</v>
      </c>
      <c r="C96" s="65">
        <v>128.80000000000001</v>
      </c>
      <c r="D96" s="65">
        <v>128</v>
      </c>
      <c r="E96" s="65">
        <v>128</v>
      </c>
      <c r="F96" s="65">
        <v>128</v>
      </c>
      <c r="G96" s="65">
        <v>128</v>
      </c>
      <c r="H96" s="65">
        <v>128</v>
      </c>
      <c r="I96" s="65">
        <v>124</v>
      </c>
      <c r="J96" s="65">
        <v>125</v>
      </c>
      <c r="K96" s="65"/>
      <c r="L96" s="65">
        <v>125</v>
      </c>
      <c r="M96" s="65">
        <v>131.1</v>
      </c>
      <c r="N96" s="65">
        <v>130.80000000000001</v>
      </c>
      <c r="O96" s="65">
        <v>126.5</v>
      </c>
      <c r="P96" s="65">
        <v>125.4</v>
      </c>
      <c r="Q96" s="65">
        <v>122.7</v>
      </c>
      <c r="R96" s="65">
        <v>124.8</v>
      </c>
      <c r="S96" s="65">
        <v>121</v>
      </c>
      <c r="T96" s="65">
        <v>123.9</v>
      </c>
      <c r="U96" s="65">
        <v>123.9</v>
      </c>
      <c r="V96" s="65">
        <v>128.1</v>
      </c>
      <c r="W96" s="65">
        <v>127.5</v>
      </c>
      <c r="X96" s="65">
        <v>129</v>
      </c>
      <c r="Y96" s="65">
        <v>127.8</v>
      </c>
      <c r="Z96" s="65">
        <v>128.80000000000001</v>
      </c>
      <c r="AA96" s="65">
        <v>128.30000000000001</v>
      </c>
      <c r="AB96" s="65">
        <v>128.30000000000001</v>
      </c>
      <c r="AC96" s="65">
        <v>128.30000000000001</v>
      </c>
      <c r="AD96" s="65">
        <v>128.4</v>
      </c>
      <c r="AE96" s="65">
        <v>128.4</v>
      </c>
      <c r="AF96" s="65">
        <v>129</v>
      </c>
      <c r="AG96" s="104"/>
      <c r="AH96" s="47">
        <f t="shared" si="8"/>
        <v>131.1</v>
      </c>
      <c r="AI96" s="48">
        <f t="shared" si="9"/>
        <v>121</v>
      </c>
    </row>
    <row r="97" spans="1:35" x14ac:dyDescent="0.25">
      <c r="A97" s="103" t="s">
        <v>105</v>
      </c>
      <c r="B97" s="65">
        <v>130.69999999999999</v>
      </c>
      <c r="C97" s="65">
        <v>133.19999999999999</v>
      </c>
      <c r="D97" s="65">
        <v>132.19999999999999</v>
      </c>
      <c r="E97" s="65">
        <v>131.80000000000001</v>
      </c>
      <c r="F97" s="65">
        <v>131.80000000000001</v>
      </c>
      <c r="G97" s="65">
        <v>131.9</v>
      </c>
      <c r="H97" s="65">
        <v>131.9</v>
      </c>
      <c r="I97" s="65">
        <v>128.5</v>
      </c>
      <c r="J97" s="65">
        <v>130</v>
      </c>
      <c r="K97" s="65"/>
      <c r="L97" s="65">
        <v>130</v>
      </c>
      <c r="M97" s="65">
        <v>132.19999999999999</v>
      </c>
      <c r="N97" s="65">
        <v>131.5</v>
      </c>
      <c r="O97" s="65">
        <v>128.1</v>
      </c>
      <c r="P97" s="65">
        <v>126.6</v>
      </c>
      <c r="Q97" s="65">
        <v>125.8</v>
      </c>
      <c r="R97" s="65">
        <v>127.7</v>
      </c>
      <c r="S97" s="65">
        <v>124.7</v>
      </c>
      <c r="T97" s="65">
        <v>127</v>
      </c>
      <c r="U97" s="65">
        <v>127</v>
      </c>
      <c r="V97" s="65">
        <v>129.9</v>
      </c>
      <c r="W97" s="65">
        <v>129.1</v>
      </c>
      <c r="X97" s="65">
        <v>130</v>
      </c>
      <c r="Y97" s="65">
        <v>128.09</v>
      </c>
      <c r="Z97" s="65">
        <v>129.80000000000001</v>
      </c>
      <c r="AA97" s="65">
        <v>129.9</v>
      </c>
      <c r="AB97" s="65">
        <v>129.9</v>
      </c>
      <c r="AC97" s="65">
        <v>129.9</v>
      </c>
      <c r="AD97" s="65">
        <v>130.6</v>
      </c>
      <c r="AE97" s="65">
        <v>130.6</v>
      </c>
      <c r="AF97" s="65">
        <v>132</v>
      </c>
      <c r="AG97" s="104"/>
      <c r="AH97" s="47">
        <f t="shared" si="8"/>
        <v>133.19999999999999</v>
      </c>
      <c r="AI97" s="48">
        <f t="shared" si="9"/>
        <v>124.7</v>
      </c>
    </row>
    <row r="98" spans="1:35" x14ac:dyDescent="0.25">
      <c r="A98" s="103" t="s">
        <v>106</v>
      </c>
      <c r="B98" s="65">
        <v>131.1</v>
      </c>
      <c r="C98" s="65">
        <v>130.6</v>
      </c>
      <c r="D98" s="65">
        <v>132.19999999999999</v>
      </c>
      <c r="E98" s="65">
        <v>130</v>
      </c>
      <c r="F98" s="65">
        <v>130</v>
      </c>
      <c r="G98" s="65">
        <v>129.5</v>
      </c>
      <c r="H98" s="65">
        <v>129.5</v>
      </c>
      <c r="I98" s="65">
        <v>128.5</v>
      </c>
      <c r="J98" s="65">
        <v>127.5</v>
      </c>
      <c r="K98" s="65"/>
      <c r="L98" s="65">
        <v>127.5</v>
      </c>
      <c r="M98" s="65">
        <v>126.8</v>
      </c>
      <c r="N98" s="65">
        <v>127.4</v>
      </c>
      <c r="O98" s="65">
        <v>128.5</v>
      </c>
      <c r="P98" s="65">
        <v>129</v>
      </c>
      <c r="Q98" s="65">
        <v>130.19999999999999</v>
      </c>
      <c r="R98" s="65">
        <v>132</v>
      </c>
      <c r="S98" s="65">
        <v>128.6</v>
      </c>
      <c r="T98" s="65">
        <v>127.2</v>
      </c>
      <c r="U98" s="65">
        <v>127.2</v>
      </c>
      <c r="V98" s="65">
        <v>131.6</v>
      </c>
      <c r="W98" s="65">
        <v>129.69999999999999</v>
      </c>
      <c r="X98" s="65">
        <v>131</v>
      </c>
      <c r="Y98" s="65">
        <v>131</v>
      </c>
      <c r="Z98" s="65">
        <v>126.6</v>
      </c>
      <c r="AA98" s="65">
        <v>129.4</v>
      </c>
      <c r="AB98" s="65">
        <v>129.4</v>
      </c>
      <c r="AC98" s="65">
        <v>129.4</v>
      </c>
      <c r="AD98" s="65">
        <v>132</v>
      </c>
      <c r="AE98" s="65">
        <v>132</v>
      </c>
      <c r="AF98" s="65">
        <v>131</v>
      </c>
      <c r="AG98" s="104"/>
      <c r="AH98" s="47">
        <f t="shared" si="8"/>
        <v>132.19999999999999</v>
      </c>
      <c r="AI98" s="48">
        <f t="shared" si="9"/>
        <v>126.6</v>
      </c>
    </row>
    <row r="99" spans="1:35" x14ac:dyDescent="0.25">
      <c r="A99" s="105" t="s">
        <v>107</v>
      </c>
      <c r="B99" s="65">
        <v>133.6</v>
      </c>
      <c r="C99" s="65">
        <v>134</v>
      </c>
      <c r="D99" s="65">
        <v>134.6</v>
      </c>
      <c r="E99" s="65">
        <v>133.6</v>
      </c>
      <c r="F99" s="65">
        <v>133.6</v>
      </c>
      <c r="G99" s="65">
        <v>133</v>
      </c>
      <c r="H99" s="65">
        <v>133</v>
      </c>
      <c r="I99" s="65">
        <v>131.6</v>
      </c>
      <c r="J99" s="65">
        <v>130.5</v>
      </c>
      <c r="K99" s="65"/>
      <c r="L99" s="65">
        <v>130.5</v>
      </c>
      <c r="M99" s="65">
        <v>129</v>
      </c>
      <c r="N99" s="65">
        <v>129.9</v>
      </c>
      <c r="O99" s="65">
        <v>131.1</v>
      </c>
      <c r="P99" s="65">
        <v>132.30000000000001</v>
      </c>
      <c r="Q99" s="65">
        <v>125.8</v>
      </c>
      <c r="R99" s="65">
        <v>134</v>
      </c>
      <c r="S99" s="65">
        <v>130.5</v>
      </c>
      <c r="T99" s="65">
        <v>129.80000000000001</v>
      </c>
      <c r="U99" s="65">
        <v>129.80000000000001</v>
      </c>
      <c r="V99" s="65">
        <v>133.30000000000001</v>
      </c>
      <c r="W99" s="65">
        <v>131.4</v>
      </c>
      <c r="X99" s="65">
        <v>131</v>
      </c>
      <c r="Y99" s="65">
        <v>132</v>
      </c>
      <c r="Z99" s="65">
        <v>129.80000000000001</v>
      </c>
      <c r="AA99" s="65">
        <v>132.1</v>
      </c>
      <c r="AB99" s="65">
        <v>132.1</v>
      </c>
      <c r="AC99" s="65">
        <v>132.1</v>
      </c>
      <c r="AD99" s="65">
        <v>135</v>
      </c>
      <c r="AE99" s="65">
        <v>134</v>
      </c>
      <c r="AF99" s="65">
        <v>134</v>
      </c>
      <c r="AG99" s="104"/>
      <c r="AH99" s="47">
        <f t="shared" si="8"/>
        <v>135</v>
      </c>
      <c r="AI99" s="48">
        <f t="shared" si="9"/>
        <v>125.8</v>
      </c>
    </row>
    <row r="100" spans="1:35" x14ac:dyDescent="0.25">
      <c r="A100" s="105" t="s">
        <v>108</v>
      </c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7"/>
      <c r="AH100" s="47">
        <f t="shared" si="8"/>
        <v>0</v>
      </c>
      <c r="AI100" s="48">
        <f t="shared" si="9"/>
        <v>0</v>
      </c>
    </row>
    <row r="101" spans="1:35" x14ac:dyDescent="0.25">
      <c r="A101" s="103" t="s">
        <v>109</v>
      </c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104"/>
      <c r="AH101" s="47">
        <f t="shared" si="8"/>
        <v>0</v>
      </c>
      <c r="AI101" s="48">
        <f t="shared" si="9"/>
        <v>0</v>
      </c>
    </row>
    <row r="102" spans="1:35" ht="15.75" thickBot="1" x14ac:dyDescent="0.3">
      <c r="A102" s="103" t="s">
        <v>110</v>
      </c>
      <c r="B102" s="92">
        <v>65.5</v>
      </c>
      <c r="C102" s="92">
        <v>66.400000000000006</v>
      </c>
      <c r="D102" s="92">
        <v>65.8</v>
      </c>
      <c r="E102" s="92">
        <v>66</v>
      </c>
      <c r="F102" s="92">
        <v>66</v>
      </c>
      <c r="G102" s="92">
        <v>66</v>
      </c>
      <c r="H102" s="92">
        <v>66</v>
      </c>
      <c r="I102" s="92">
        <v>64</v>
      </c>
      <c r="J102" s="92">
        <v>65.599999999999994</v>
      </c>
      <c r="K102" s="92"/>
      <c r="L102" s="92">
        <v>65.599999999999994</v>
      </c>
      <c r="M102" s="92">
        <v>66.099999999999994</v>
      </c>
      <c r="N102" s="92">
        <v>65.8</v>
      </c>
      <c r="O102" s="92">
        <v>63.8</v>
      </c>
      <c r="P102" s="92">
        <v>63.3</v>
      </c>
      <c r="Q102" s="92">
        <v>63</v>
      </c>
      <c r="R102" s="92">
        <v>63.8</v>
      </c>
      <c r="S102" s="92">
        <v>62.2</v>
      </c>
      <c r="T102" s="92">
        <v>63.7</v>
      </c>
      <c r="U102" s="92">
        <v>63.7</v>
      </c>
      <c r="V102" s="92">
        <v>65.2</v>
      </c>
      <c r="W102" s="92">
        <v>65</v>
      </c>
      <c r="X102" s="92">
        <v>65.5</v>
      </c>
      <c r="Y102" s="92">
        <v>64.599999999999994</v>
      </c>
      <c r="Z102" s="92">
        <v>65</v>
      </c>
      <c r="AA102" s="92">
        <v>65.2</v>
      </c>
      <c r="AB102" s="92">
        <v>65.2</v>
      </c>
      <c r="AC102" s="92">
        <v>65.2</v>
      </c>
      <c r="AD102" s="92">
        <v>65.900000000000006</v>
      </c>
      <c r="AE102" s="92"/>
      <c r="AF102" s="92">
        <v>66.7</v>
      </c>
      <c r="AG102" s="108"/>
      <c r="AH102" s="47">
        <f t="shared" si="8"/>
        <v>66.7</v>
      </c>
      <c r="AI102" s="48">
        <f t="shared" si="9"/>
        <v>62.2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8"/>
        <v>0</v>
      </c>
      <c r="AI103" s="48">
        <f t="shared" si="9"/>
        <v>0</v>
      </c>
    </row>
    <row r="104" spans="1:35" ht="15.75" thickBot="1" x14ac:dyDescent="0.3">
      <c r="A104" s="110" t="s">
        <v>112</v>
      </c>
      <c r="B104" s="111">
        <f t="shared" ref="B104:AF104" si="15">SUM(B16,B22,B25:B26,B52,B54:B55,B57,B59,B105:B109,B131,B137,B143,B152,B154,B166,B173,B176:B177,B184,B186,B188,B192:B194,B196:B198,B203,B209:B210,B212:B214,B222,B227)</f>
        <v>156.5</v>
      </c>
      <c r="C104" s="111">
        <f t="shared" si="15"/>
        <v>138.24</v>
      </c>
      <c r="D104" s="111">
        <f t="shared" si="15"/>
        <v>131.04</v>
      </c>
      <c r="E104" s="111">
        <f t="shared" si="15"/>
        <v>129.84</v>
      </c>
      <c r="F104" s="111">
        <f t="shared" si="15"/>
        <v>131.54</v>
      </c>
      <c r="G104" s="111">
        <f t="shared" si="15"/>
        <v>154.63999999999999</v>
      </c>
      <c r="H104" s="111">
        <f t="shared" si="15"/>
        <v>195.04</v>
      </c>
      <c r="I104" s="111">
        <f t="shared" si="15"/>
        <v>230.44</v>
      </c>
      <c r="J104" s="111">
        <f t="shared" si="15"/>
        <v>278.24</v>
      </c>
      <c r="K104" s="111">
        <f t="shared" si="15"/>
        <v>0.94</v>
      </c>
      <c r="L104" s="111">
        <f t="shared" si="15"/>
        <v>98.14</v>
      </c>
      <c r="M104" s="111">
        <f t="shared" si="15"/>
        <v>389.14000000000004</v>
      </c>
      <c r="N104" s="111">
        <f t="shared" si="15"/>
        <v>366.94</v>
      </c>
      <c r="O104" s="111">
        <f t="shared" si="15"/>
        <v>357.14000000000004</v>
      </c>
      <c r="P104" s="111">
        <v>42</v>
      </c>
      <c r="Q104" s="111">
        <f t="shared" si="15"/>
        <v>312</v>
      </c>
      <c r="R104" s="111">
        <f t="shared" si="15"/>
        <v>320</v>
      </c>
      <c r="S104" s="111">
        <f t="shared" si="15"/>
        <v>312.10000000000002</v>
      </c>
      <c r="T104" s="111">
        <f t="shared" si="15"/>
        <v>301.3</v>
      </c>
      <c r="U104" s="111">
        <f t="shared" si="15"/>
        <v>301.3</v>
      </c>
      <c r="V104" s="111">
        <f t="shared" si="15"/>
        <v>326.10000000000002</v>
      </c>
      <c r="W104" s="111">
        <f t="shared" si="15"/>
        <v>358.40000000000003</v>
      </c>
      <c r="X104" s="111">
        <f t="shared" si="15"/>
        <v>389.8</v>
      </c>
      <c r="Y104" s="111">
        <f t="shared" si="15"/>
        <v>368.59999999999997</v>
      </c>
      <c r="Z104" s="111">
        <f t="shared" si="15"/>
        <v>434.40000000000003</v>
      </c>
      <c r="AA104" s="111">
        <f t="shared" si="15"/>
        <v>431.30000000000007</v>
      </c>
      <c r="AB104" s="111">
        <f t="shared" si="15"/>
        <v>382.2</v>
      </c>
      <c r="AC104" s="111">
        <f t="shared" si="15"/>
        <v>374.2</v>
      </c>
      <c r="AD104" s="111">
        <f t="shared" si="15"/>
        <v>330.2</v>
      </c>
      <c r="AE104" s="111">
        <f t="shared" si="15"/>
        <v>255.2</v>
      </c>
      <c r="AF104" s="111">
        <f t="shared" si="15"/>
        <v>193.2</v>
      </c>
      <c r="AG104" s="112"/>
      <c r="AH104" s="47">
        <f t="shared" si="8"/>
        <v>434.40000000000003</v>
      </c>
      <c r="AI104" s="48">
        <f t="shared" si="9"/>
        <v>0.94</v>
      </c>
    </row>
    <row r="105" spans="1:35" x14ac:dyDescent="0.25">
      <c r="A105" s="100" t="s">
        <v>113</v>
      </c>
      <c r="B105" s="113">
        <v>-9.9</v>
      </c>
      <c r="C105" s="113">
        <v>-6.5</v>
      </c>
      <c r="D105" s="113">
        <v>-12.1</v>
      </c>
      <c r="E105" s="113">
        <v>-11.1</v>
      </c>
      <c r="F105" s="113">
        <v>-10.7</v>
      </c>
      <c r="G105" s="113">
        <f>-5.8</f>
        <v>-5.8</v>
      </c>
      <c r="H105" s="113">
        <v>8.3000000000000007</v>
      </c>
      <c r="I105" s="113">
        <v>16.7</v>
      </c>
      <c r="J105" s="113">
        <v>32.700000000000003</v>
      </c>
      <c r="K105" s="113"/>
      <c r="L105" s="113"/>
      <c r="M105" s="113">
        <v>45.1</v>
      </c>
      <c r="N105" s="113">
        <v>43.9</v>
      </c>
      <c r="O105" s="113">
        <v>35.700000000000003</v>
      </c>
      <c r="P105" s="113">
        <v>26.8</v>
      </c>
      <c r="Q105" s="113">
        <v>36.9</v>
      </c>
      <c r="R105" s="113">
        <v>39.5</v>
      </c>
      <c r="S105" s="113">
        <v>37.700000000000003</v>
      </c>
      <c r="T105" s="113">
        <v>33.9</v>
      </c>
      <c r="U105" s="113">
        <v>33.9</v>
      </c>
      <c r="V105" s="113">
        <v>32.799999999999997</v>
      </c>
      <c r="W105" s="113">
        <v>32.299999999999997</v>
      </c>
      <c r="X105" s="113">
        <v>38</v>
      </c>
      <c r="Y105" s="113">
        <v>34.200000000000003</v>
      </c>
      <c r="Z105" s="113">
        <v>38</v>
      </c>
      <c r="AA105" s="113">
        <v>40.9</v>
      </c>
      <c r="AB105" s="113">
        <v>41</v>
      </c>
      <c r="AC105" s="113">
        <v>38</v>
      </c>
      <c r="AD105" s="113">
        <v>35</v>
      </c>
      <c r="AE105" s="113">
        <v>29</v>
      </c>
      <c r="AF105" s="113">
        <v>8</v>
      </c>
      <c r="AG105" s="114">
        <v>75</v>
      </c>
      <c r="AH105" s="47">
        <f t="shared" si="8"/>
        <v>45.1</v>
      </c>
      <c r="AI105" s="48">
        <f t="shared" si="9"/>
        <v>-12.1</v>
      </c>
    </row>
    <row r="106" spans="1:35" x14ac:dyDescent="0.25">
      <c r="A106" s="103" t="s">
        <v>114</v>
      </c>
      <c r="B106" s="115">
        <v>-14.4</v>
      </c>
      <c r="C106" s="115">
        <v>-8.6999999999999993</v>
      </c>
      <c r="D106" s="115">
        <v>-16.7</v>
      </c>
      <c r="E106" s="115">
        <v>-15.7</v>
      </c>
      <c r="F106" s="115">
        <v>-14.9</v>
      </c>
      <c r="G106" s="115">
        <v>-7.9</v>
      </c>
      <c r="H106" s="115">
        <v>11.5</v>
      </c>
      <c r="I106" s="115">
        <v>22.9</v>
      </c>
      <c r="J106" s="115">
        <v>44.3</v>
      </c>
      <c r="K106" s="115"/>
      <c r="L106" s="115"/>
      <c r="M106" s="115">
        <v>59.4</v>
      </c>
      <c r="N106" s="115">
        <v>57.1</v>
      </c>
      <c r="O106" s="115">
        <v>44.7</v>
      </c>
      <c r="P106" s="115">
        <v>36.1</v>
      </c>
      <c r="Q106" s="115">
        <v>52.9</v>
      </c>
      <c r="R106" s="115">
        <v>56.3</v>
      </c>
      <c r="S106" s="115">
        <v>53.4</v>
      </c>
      <c r="T106" s="115">
        <v>47.8</v>
      </c>
      <c r="U106" s="115">
        <v>47.8</v>
      </c>
      <c r="V106" s="115">
        <v>41.4</v>
      </c>
      <c r="W106" s="115">
        <v>41.4</v>
      </c>
      <c r="X106" s="115">
        <v>46.3</v>
      </c>
      <c r="Y106" s="115">
        <v>40.5</v>
      </c>
      <c r="Z106" s="115">
        <v>45.4</v>
      </c>
      <c r="AA106" s="115">
        <v>49.6</v>
      </c>
      <c r="AB106" s="115">
        <v>52</v>
      </c>
      <c r="AC106" s="115">
        <v>45</v>
      </c>
      <c r="AD106" s="115">
        <v>43</v>
      </c>
      <c r="AE106" s="115">
        <v>38</v>
      </c>
      <c r="AF106" s="115">
        <v>14</v>
      </c>
      <c r="AG106" s="114">
        <v>240</v>
      </c>
      <c r="AH106" s="47">
        <f t="shared" si="8"/>
        <v>59.4</v>
      </c>
      <c r="AI106" s="48">
        <f t="shared" si="9"/>
        <v>-16.7</v>
      </c>
    </row>
    <row r="107" spans="1:35" x14ac:dyDescent="0.25">
      <c r="A107" s="103" t="s">
        <v>115</v>
      </c>
      <c r="B107" s="115">
        <v>-33</v>
      </c>
      <c r="C107" s="115">
        <v>-40</v>
      </c>
      <c r="D107" s="115">
        <v>-43</v>
      </c>
      <c r="E107" s="115">
        <v>-44.9</v>
      </c>
      <c r="F107" s="115">
        <v>-45.8</v>
      </c>
      <c r="G107" s="115">
        <v>-36.9</v>
      </c>
      <c r="H107" s="115">
        <v>-27</v>
      </c>
      <c r="I107" s="115">
        <v>-27.5</v>
      </c>
      <c r="J107" s="115">
        <v>-27</v>
      </c>
      <c r="K107" s="115"/>
      <c r="L107" s="115"/>
      <c r="M107" s="115">
        <v>20.8</v>
      </c>
      <c r="N107" s="115">
        <v>22.6</v>
      </c>
      <c r="O107" s="115">
        <v>30.2</v>
      </c>
      <c r="P107" s="115">
        <v>32.9</v>
      </c>
      <c r="Q107" s="115">
        <v>-12.8</v>
      </c>
      <c r="R107" s="115">
        <v>-3.8</v>
      </c>
      <c r="S107" s="115">
        <v>-12.5</v>
      </c>
      <c r="T107" s="115">
        <f>-5.5-6.2</f>
        <v>-11.7</v>
      </c>
      <c r="U107" s="115">
        <f>-5.5-6.2</f>
        <v>-11.7</v>
      </c>
      <c r="V107" s="115">
        <v>18.3</v>
      </c>
      <c r="W107" s="115">
        <f>34.9</f>
        <v>34.9</v>
      </c>
      <c r="X107" s="115">
        <v>43</v>
      </c>
      <c r="Y107" s="115">
        <v>52</v>
      </c>
      <c r="Z107" s="115">
        <f>35.1+30.5</f>
        <v>65.599999999999994</v>
      </c>
      <c r="AA107" s="115">
        <v>71</v>
      </c>
      <c r="AB107" s="115">
        <v>34</v>
      </c>
      <c r="AC107" s="115">
        <v>40</v>
      </c>
      <c r="AD107" s="115">
        <v>5</v>
      </c>
      <c r="AE107" s="115">
        <v>-22</v>
      </c>
      <c r="AF107" s="115">
        <v>-30</v>
      </c>
      <c r="AG107" s="114">
        <v>240</v>
      </c>
      <c r="AH107" s="47">
        <f t="shared" si="8"/>
        <v>71</v>
      </c>
      <c r="AI107" s="48">
        <f t="shared" si="9"/>
        <v>-45.8</v>
      </c>
    </row>
    <row r="108" spans="1:35" x14ac:dyDescent="0.25">
      <c r="A108" s="103" t="s">
        <v>116</v>
      </c>
      <c r="B108" s="115">
        <v>0.6</v>
      </c>
      <c r="C108" s="115">
        <v>-1</v>
      </c>
      <c r="D108" s="115">
        <v>-3.1</v>
      </c>
      <c r="E108" s="115">
        <v>-2.6</v>
      </c>
      <c r="F108" s="115">
        <v>-4</v>
      </c>
      <c r="G108" s="115">
        <v>0</v>
      </c>
      <c r="H108" s="115">
        <v>-2.2999999999999998</v>
      </c>
      <c r="I108" s="115">
        <v>-0.8</v>
      </c>
      <c r="J108" s="115">
        <v>14.8</v>
      </c>
      <c r="K108" s="115"/>
      <c r="L108" s="115"/>
      <c r="M108" s="115">
        <v>42.4</v>
      </c>
      <c r="N108" s="115">
        <v>36.9</v>
      </c>
      <c r="O108" s="115">
        <v>23.6</v>
      </c>
      <c r="P108" s="115">
        <v>17.7</v>
      </c>
      <c r="Q108" s="115">
        <v>13.2</v>
      </c>
      <c r="R108" s="115">
        <v>11.9</v>
      </c>
      <c r="S108" s="115">
        <v>7.8</v>
      </c>
      <c r="T108" s="115">
        <v>9.5</v>
      </c>
      <c r="U108" s="115">
        <v>9.5</v>
      </c>
      <c r="V108" s="115">
        <v>28.3</v>
      </c>
      <c r="W108" s="115">
        <v>32.200000000000003</v>
      </c>
      <c r="X108" s="115">
        <v>59.5</v>
      </c>
      <c r="Y108" s="115">
        <v>64.5</v>
      </c>
      <c r="Z108" s="115">
        <v>63.8</v>
      </c>
      <c r="AA108" s="115">
        <v>52.1</v>
      </c>
      <c r="AB108" s="115">
        <v>50</v>
      </c>
      <c r="AC108" s="115">
        <v>46</v>
      </c>
      <c r="AD108" s="115">
        <v>33</v>
      </c>
      <c r="AE108" s="115">
        <v>6</v>
      </c>
      <c r="AF108" s="115">
        <v>2</v>
      </c>
      <c r="AG108" s="114">
        <v>60</v>
      </c>
      <c r="AH108" s="47">
        <f t="shared" si="8"/>
        <v>64.5</v>
      </c>
      <c r="AI108" s="48">
        <f t="shared" si="9"/>
        <v>-4</v>
      </c>
    </row>
    <row r="109" spans="1:35" x14ac:dyDescent="0.25">
      <c r="A109" s="116" t="s">
        <v>117</v>
      </c>
      <c r="B109" s="117">
        <v>97.9</v>
      </c>
      <c r="C109" s="117">
        <v>78.2</v>
      </c>
      <c r="D109" s="117">
        <v>89.7</v>
      </c>
      <c r="E109" s="117">
        <v>87.9</v>
      </c>
      <c r="F109" s="117">
        <v>90.7</v>
      </c>
      <c r="G109" s="117">
        <v>89</v>
      </c>
      <c r="H109" s="117">
        <v>88.3</v>
      </c>
      <c r="I109" s="117">
        <v>102.9</v>
      </c>
      <c r="J109" s="117">
        <v>97.2</v>
      </c>
      <c r="K109" s="117"/>
      <c r="L109" s="117"/>
      <c r="M109" s="117">
        <v>123.3</v>
      </c>
      <c r="N109" s="117">
        <v>108.6</v>
      </c>
      <c r="O109" s="117">
        <v>98.3</v>
      </c>
      <c r="P109" s="117">
        <v>107.5</v>
      </c>
      <c r="Q109" s="117">
        <v>110</v>
      </c>
      <c r="R109" s="117">
        <v>106.3</v>
      </c>
      <c r="S109" s="117">
        <v>105.9</v>
      </c>
      <c r="T109" s="117">
        <v>102</v>
      </c>
      <c r="U109" s="117">
        <v>102</v>
      </c>
      <c r="V109" s="117">
        <v>86.8</v>
      </c>
      <c r="W109" s="117">
        <v>99.3</v>
      </c>
      <c r="X109" s="117">
        <v>90.5</v>
      </c>
      <c r="Y109" s="117">
        <v>110.2</v>
      </c>
      <c r="Z109" s="117">
        <v>107</v>
      </c>
      <c r="AA109" s="117">
        <v>103.1</v>
      </c>
      <c r="AB109" s="117">
        <v>91</v>
      </c>
      <c r="AC109" s="117">
        <v>91</v>
      </c>
      <c r="AD109" s="117">
        <v>100</v>
      </c>
      <c r="AE109" s="117">
        <v>90</v>
      </c>
      <c r="AF109" s="117">
        <v>85</v>
      </c>
      <c r="AG109" s="118">
        <v>120</v>
      </c>
      <c r="AH109" s="47">
        <f t="shared" si="8"/>
        <v>123.3</v>
      </c>
      <c r="AI109" s="48">
        <f t="shared" si="9"/>
        <v>78.2</v>
      </c>
    </row>
    <row r="110" spans="1:35" x14ac:dyDescent="0.25">
      <c r="A110" s="116" t="s">
        <v>118</v>
      </c>
      <c r="B110" s="117">
        <v>103</v>
      </c>
      <c r="C110" s="117">
        <v>87.8</v>
      </c>
      <c r="D110" s="117">
        <v>97.3</v>
      </c>
      <c r="E110" s="117">
        <v>89.6</v>
      </c>
      <c r="F110" s="117">
        <v>93.7</v>
      </c>
      <c r="G110" s="117">
        <v>90.7</v>
      </c>
      <c r="H110" s="117">
        <v>89.6</v>
      </c>
      <c r="I110" s="117">
        <v>99.5</v>
      </c>
      <c r="J110" s="117">
        <v>86.5</v>
      </c>
      <c r="K110" s="117"/>
      <c r="L110" s="117"/>
      <c r="M110" s="117">
        <v>19.600000000000001</v>
      </c>
      <c r="N110" s="117">
        <v>25.6</v>
      </c>
      <c r="O110" s="117">
        <v>63</v>
      </c>
      <c r="P110" s="117">
        <v>75.400000000000006</v>
      </c>
      <c r="Q110" s="117">
        <v>97.5</v>
      </c>
      <c r="R110" s="117">
        <v>97.6</v>
      </c>
      <c r="S110" s="117">
        <v>99.6</v>
      </c>
      <c r="T110" s="117">
        <v>97.3</v>
      </c>
      <c r="U110" s="117">
        <v>97.3</v>
      </c>
      <c r="V110" s="117">
        <v>66.099999999999994</v>
      </c>
      <c r="W110" s="117">
        <v>72.3</v>
      </c>
      <c r="X110" s="117">
        <v>79.099999999999994</v>
      </c>
      <c r="Y110" s="117">
        <v>95</v>
      </c>
      <c r="Z110" s="117">
        <v>89</v>
      </c>
      <c r="AA110" s="117">
        <v>85.3</v>
      </c>
      <c r="AB110" s="117">
        <v>85</v>
      </c>
      <c r="AC110" s="117">
        <v>85</v>
      </c>
      <c r="AD110" s="117">
        <v>80</v>
      </c>
      <c r="AE110" s="117">
        <v>85</v>
      </c>
      <c r="AF110" s="117">
        <v>86</v>
      </c>
      <c r="AG110" s="118"/>
      <c r="AH110" s="47">
        <f t="shared" si="8"/>
        <v>103</v>
      </c>
      <c r="AI110" s="48">
        <f t="shared" si="9"/>
        <v>19.600000000000001</v>
      </c>
    </row>
    <row r="111" spans="1:35" x14ac:dyDescent="0.25">
      <c r="A111" s="116" t="s">
        <v>119</v>
      </c>
      <c r="B111" s="117">
        <v>39.299999999999997</v>
      </c>
      <c r="C111" s="117">
        <v>34.5</v>
      </c>
      <c r="D111" s="117">
        <v>41.7</v>
      </c>
      <c r="E111" s="117">
        <v>39.9</v>
      </c>
      <c r="F111" s="117">
        <v>39.6</v>
      </c>
      <c r="G111" s="117">
        <v>41.8</v>
      </c>
      <c r="H111" s="117">
        <v>35.9</v>
      </c>
      <c r="I111" s="117">
        <v>31.5</v>
      </c>
      <c r="J111" s="117">
        <v>18</v>
      </c>
      <c r="K111" s="117"/>
      <c r="L111" s="117"/>
      <c r="M111" s="117">
        <v>6.7</v>
      </c>
      <c r="N111" s="117">
        <v>-2.1</v>
      </c>
      <c r="O111" s="117">
        <v>2.5</v>
      </c>
      <c r="P111" s="117">
        <v>4.3</v>
      </c>
      <c r="Q111" s="117">
        <v>5.4</v>
      </c>
      <c r="R111" s="117">
        <v>6.7</v>
      </c>
      <c r="S111" s="117">
        <v>0.7</v>
      </c>
      <c r="T111" s="117">
        <v>9.4</v>
      </c>
      <c r="U111" s="117">
        <v>9.4</v>
      </c>
      <c r="V111" s="117">
        <v>4.5999999999999996</v>
      </c>
      <c r="W111" s="117">
        <v>3.8</v>
      </c>
      <c r="X111" s="117">
        <v>-1.4</v>
      </c>
      <c r="Y111" s="117">
        <v>26.7</v>
      </c>
      <c r="Z111" s="117">
        <v>10</v>
      </c>
      <c r="AA111" s="117">
        <v>6.7</v>
      </c>
      <c r="AB111" s="117">
        <v>5</v>
      </c>
      <c r="AC111" s="117">
        <v>5</v>
      </c>
      <c r="AD111" s="117">
        <v>10</v>
      </c>
      <c r="AE111" s="117">
        <v>17</v>
      </c>
      <c r="AF111" s="117">
        <v>85</v>
      </c>
      <c r="AG111" s="119"/>
      <c r="AH111" s="47">
        <f t="shared" si="8"/>
        <v>85</v>
      </c>
      <c r="AI111" s="48">
        <f t="shared" si="9"/>
        <v>-2.1</v>
      </c>
    </row>
    <row r="112" spans="1:35" x14ac:dyDescent="0.25">
      <c r="A112" s="120" t="s">
        <v>120</v>
      </c>
      <c r="B112" s="106">
        <v>32.6</v>
      </c>
      <c r="C112" s="106">
        <v>34.700000000000003</v>
      </c>
      <c r="D112" s="106">
        <v>28.8</v>
      </c>
      <c r="E112" s="106">
        <v>28</v>
      </c>
      <c r="F112" s="106">
        <v>34.6</v>
      </c>
      <c r="G112" s="106">
        <v>27.9</v>
      </c>
      <c r="H112" s="106">
        <v>16.899999999999999</v>
      </c>
      <c r="I112" s="106">
        <v>5.2</v>
      </c>
      <c r="J112" s="106">
        <v>-9.6</v>
      </c>
      <c r="K112" s="106"/>
      <c r="L112" s="106"/>
      <c r="M112" s="106">
        <v>-33.200000000000003</v>
      </c>
      <c r="N112" s="106">
        <v>-19.7</v>
      </c>
      <c r="O112" s="106">
        <v>-12.2</v>
      </c>
      <c r="P112" s="106">
        <v>-4</v>
      </c>
      <c r="Q112" s="106">
        <v>9.6</v>
      </c>
      <c r="R112" s="106">
        <v>11.5</v>
      </c>
      <c r="S112" s="106">
        <v>3</v>
      </c>
      <c r="T112" s="106">
        <v>0.9</v>
      </c>
      <c r="U112" s="106">
        <v>0.9</v>
      </c>
      <c r="V112" s="106">
        <v>-19.100000000000001</v>
      </c>
      <c r="W112" s="106">
        <v>-32.700000000000003</v>
      </c>
      <c r="X112" s="106">
        <v>-58</v>
      </c>
      <c r="Y112" s="106">
        <v>82.3</v>
      </c>
      <c r="Z112" s="106">
        <v>-37.1</v>
      </c>
      <c r="AA112" s="106">
        <v>-32.5</v>
      </c>
      <c r="AB112" s="106">
        <v>18</v>
      </c>
      <c r="AC112" s="106">
        <v>18</v>
      </c>
      <c r="AD112" s="106">
        <v>1.6</v>
      </c>
      <c r="AE112" s="106">
        <v>11</v>
      </c>
      <c r="AF112" s="106">
        <v>25</v>
      </c>
      <c r="AG112" s="119"/>
      <c r="AH112" s="47">
        <f t="shared" si="8"/>
        <v>82.3</v>
      </c>
      <c r="AI112" s="48">
        <f t="shared" si="9"/>
        <v>-58</v>
      </c>
    </row>
    <row r="113" spans="1:37" ht="15.75" thickBot="1" x14ac:dyDescent="0.3">
      <c r="A113" s="120" t="s">
        <v>121</v>
      </c>
      <c r="B113" s="106">
        <v>8.1999999999999993</v>
      </c>
      <c r="C113" s="106">
        <v>14</v>
      </c>
      <c r="D113" s="106">
        <v>13</v>
      </c>
      <c r="E113" s="106">
        <v>16.8</v>
      </c>
      <c r="F113" s="106">
        <v>15</v>
      </c>
      <c r="G113" s="106">
        <v>10.3</v>
      </c>
      <c r="H113" s="106">
        <v>10.7</v>
      </c>
      <c r="I113" s="106">
        <v>12</v>
      </c>
      <c r="J113" s="106">
        <v>19.600000000000001</v>
      </c>
      <c r="K113" s="106"/>
      <c r="L113" s="106"/>
      <c r="M113" s="106">
        <v>8</v>
      </c>
      <c r="N113" s="106">
        <v>-2.5</v>
      </c>
      <c r="O113" s="106">
        <v>-22.1</v>
      </c>
      <c r="P113" s="106">
        <v>-25.2</v>
      </c>
      <c r="Q113" s="106">
        <v>8.6</v>
      </c>
      <c r="R113" s="106">
        <v>0</v>
      </c>
      <c r="S113" s="106">
        <v>12.1</v>
      </c>
      <c r="T113" s="106">
        <v>14.6</v>
      </c>
      <c r="U113" s="106">
        <v>14.6</v>
      </c>
      <c r="V113" s="106">
        <v>10.1</v>
      </c>
      <c r="W113" s="106">
        <v>-18</v>
      </c>
      <c r="X113" s="106">
        <v>-23.8</v>
      </c>
      <c r="Y113" s="106"/>
      <c r="Z113" s="106">
        <v>-20.5</v>
      </c>
      <c r="AA113" s="106">
        <v>-29.3</v>
      </c>
      <c r="AB113" s="106">
        <v>-22</v>
      </c>
      <c r="AC113" s="106">
        <v>-22</v>
      </c>
      <c r="AD113" s="106">
        <v>4</v>
      </c>
      <c r="AE113" s="106">
        <v>17</v>
      </c>
      <c r="AF113" s="106">
        <v>14</v>
      </c>
      <c r="AG113" s="119"/>
      <c r="AH113" s="47">
        <f t="shared" si="8"/>
        <v>19.600000000000001</v>
      </c>
      <c r="AI113" s="48">
        <f t="shared" si="9"/>
        <v>-29.3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6">SUM(B115:B219)</f>
        <v>0</v>
      </c>
      <c r="C220" s="136">
        <f t="shared" si="16"/>
        <v>0</v>
      </c>
      <c r="D220" s="136">
        <f t="shared" si="16"/>
        <v>0</v>
      </c>
      <c r="E220" s="136">
        <f t="shared" si="16"/>
        <v>0</v>
      </c>
      <c r="F220" s="136">
        <f t="shared" si="16"/>
        <v>0</v>
      </c>
      <c r="G220" s="136">
        <f t="shared" si="16"/>
        <v>0</v>
      </c>
      <c r="H220" s="136">
        <f t="shared" si="16"/>
        <v>0</v>
      </c>
      <c r="I220" s="136">
        <f t="shared" si="16"/>
        <v>0</v>
      </c>
      <c r="J220" s="136">
        <f t="shared" si="16"/>
        <v>0</v>
      </c>
      <c r="K220" s="136">
        <f t="shared" si="16"/>
        <v>0</v>
      </c>
      <c r="L220" s="136">
        <f t="shared" si="16"/>
        <v>0</v>
      </c>
      <c r="M220" s="136">
        <f t="shared" si="16"/>
        <v>0</v>
      </c>
      <c r="N220" s="136">
        <f t="shared" si="16"/>
        <v>0</v>
      </c>
      <c r="O220" s="136">
        <f t="shared" si="16"/>
        <v>0</v>
      </c>
      <c r="P220" s="136">
        <f t="shared" si="16"/>
        <v>0</v>
      </c>
      <c r="Q220" s="136">
        <f t="shared" si="16"/>
        <v>0</v>
      </c>
      <c r="R220" s="136">
        <f t="shared" si="16"/>
        <v>0</v>
      </c>
      <c r="S220" s="136">
        <f t="shared" si="16"/>
        <v>0</v>
      </c>
      <c r="T220" s="136">
        <f t="shared" si="16"/>
        <v>0</v>
      </c>
      <c r="U220" s="136">
        <f t="shared" si="16"/>
        <v>0</v>
      </c>
      <c r="V220" s="136">
        <f t="shared" si="16"/>
        <v>0</v>
      </c>
      <c r="W220" s="136">
        <f t="shared" si="16"/>
        <v>0</v>
      </c>
      <c r="X220" s="136">
        <f t="shared" si="16"/>
        <v>0</v>
      </c>
      <c r="Y220" s="136">
        <f t="shared" si="16"/>
        <v>0</v>
      </c>
      <c r="Z220" s="136">
        <f t="shared" si="16"/>
        <v>0</v>
      </c>
      <c r="AA220" s="136">
        <f t="shared" si="16"/>
        <v>0</v>
      </c>
      <c r="AB220" s="136">
        <f t="shared" si="16"/>
        <v>0</v>
      </c>
      <c r="AC220" s="136">
        <f t="shared" si="16"/>
        <v>0</v>
      </c>
      <c r="AD220" s="136">
        <f t="shared" si="16"/>
        <v>0</v>
      </c>
      <c r="AE220" s="136">
        <f t="shared" si="16"/>
        <v>0</v>
      </c>
      <c r="AF220" s="137">
        <f t="shared" si="16"/>
        <v>0</v>
      </c>
      <c r="AG220" s="138">
        <f t="shared" si="16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7">AF222</f>
        <v>0</v>
      </c>
      <c r="C222" s="140">
        <v>0.3</v>
      </c>
      <c r="D222" s="140">
        <f t="shared" ref="D222:P227" si="18">C222</f>
        <v>0.3</v>
      </c>
      <c r="E222" s="140">
        <f t="shared" si="18"/>
        <v>0.3</v>
      </c>
      <c r="F222" s="140">
        <f t="shared" si="18"/>
        <v>0.3</v>
      </c>
      <c r="G222" s="140">
        <f t="shared" si="18"/>
        <v>0.3</v>
      </c>
      <c r="H222" s="140">
        <f t="shared" si="18"/>
        <v>0.3</v>
      </c>
      <c r="I222" s="140">
        <f t="shared" si="18"/>
        <v>0.3</v>
      </c>
      <c r="J222" s="140">
        <f t="shared" si="18"/>
        <v>0.3</v>
      </c>
      <c r="K222" s="140">
        <f t="shared" si="18"/>
        <v>0.3</v>
      </c>
      <c r="L222" s="140">
        <f t="shared" si="18"/>
        <v>0.3</v>
      </c>
      <c r="M222" s="140">
        <f t="shared" si="18"/>
        <v>0.3</v>
      </c>
      <c r="N222" s="140">
        <f t="shared" si="18"/>
        <v>0.3</v>
      </c>
      <c r="O222" s="140">
        <f t="shared" si="18"/>
        <v>0.3</v>
      </c>
      <c r="P222" s="140">
        <f t="shared" si="18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7"/>
        <v>0</v>
      </c>
      <c r="C223" s="128">
        <v>0.4</v>
      </c>
      <c r="D223" s="128">
        <f t="shared" si="18"/>
        <v>0.4</v>
      </c>
      <c r="E223" s="128">
        <f t="shared" si="18"/>
        <v>0.4</v>
      </c>
      <c r="F223" s="128">
        <f t="shared" si="18"/>
        <v>0.4</v>
      </c>
      <c r="G223" s="128">
        <f t="shared" si="18"/>
        <v>0.4</v>
      </c>
      <c r="H223" s="128">
        <f t="shared" si="18"/>
        <v>0.4</v>
      </c>
      <c r="I223" s="128">
        <f t="shared" si="18"/>
        <v>0.4</v>
      </c>
      <c r="J223" s="128">
        <f t="shared" si="18"/>
        <v>0.4</v>
      </c>
      <c r="K223" s="128">
        <f t="shared" si="18"/>
        <v>0.4</v>
      </c>
      <c r="L223" s="128">
        <f t="shared" si="18"/>
        <v>0.4</v>
      </c>
      <c r="M223" s="128">
        <f t="shared" si="18"/>
        <v>0.4</v>
      </c>
      <c r="N223" s="128">
        <f t="shared" si="18"/>
        <v>0.4</v>
      </c>
      <c r="O223" s="128">
        <f t="shared" si="18"/>
        <v>0.4</v>
      </c>
      <c r="P223" s="128">
        <f t="shared" si="18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7"/>
        <v>0</v>
      </c>
      <c r="C224" s="128">
        <v>1.5</v>
      </c>
      <c r="D224" s="128">
        <f t="shared" si="18"/>
        <v>1.5</v>
      </c>
      <c r="E224" s="128">
        <f t="shared" si="18"/>
        <v>1.5</v>
      </c>
      <c r="F224" s="128">
        <f t="shared" si="18"/>
        <v>1.5</v>
      </c>
      <c r="G224" s="128">
        <f t="shared" si="18"/>
        <v>1.5</v>
      </c>
      <c r="H224" s="128">
        <f t="shared" si="18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18"/>
        <v>1.5</v>
      </c>
      <c r="K224" s="128">
        <f t="shared" ca="1" si="18"/>
        <v>1.5</v>
      </c>
      <c r="L224" s="128">
        <f t="shared" ca="1" si="18"/>
        <v>1.5</v>
      </c>
      <c r="M224" s="128">
        <f t="shared" ca="1" si="18"/>
        <v>1.5</v>
      </c>
      <c r="N224" s="128">
        <f t="shared" ca="1" si="18"/>
        <v>1.5</v>
      </c>
      <c r="O224" s="128">
        <f t="shared" ca="1" si="18"/>
        <v>1.5</v>
      </c>
      <c r="P224" s="128">
        <f t="shared" ca="1" si="18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7"/>
        <v>0</v>
      </c>
      <c r="C225" s="128">
        <v>0.3</v>
      </c>
      <c r="D225" s="128">
        <f t="shared" si="18"/>
        <v>0.3</v>
      </c>
      <c r="E225" s="128">
        <f t="shared" si="18"/>
        <v>0.3</v>
      </c>
      <c r="F225" s="128">
        <f t="shared" si="18"/>
        <v>0.3</v>
      </c>
      <c r="G225" s="128">
        <f t="shared" si="18"/>
        <v>0.3</v>
      </c>
      <c r="H225" s="128">
        <f t="shared" si="18"/>
        <v>0.3</v>
      </c>
      <c r="I225" s="128">
        <f t="shared" si="18"/>
        <v>0.3</v>
      </c>
      <c r="J225" s="128">
        <f t="shared" si="18"/>
        <v>0.3</v>
      </c>
      <c r="K225" s="128">
        <f t="shared" si="18"/>
        <v>0.3</v>
      </c>
      <c r="L225" s="128">
        <f t="shared" si="18"/>
        <v>0.3</v>
      </c>
      <c r="M225" s="128">
        <f t="shared" si="18"/>
        <v>0.3</v>
      </c>
      <c r="N225" s="128">
        <f t="shared" si="18"/>
        <v>0.3</v>
      </c>
      <c r="O225" s="128">
        <f t="shared" si="18"/>
        <v>0.3</v>
      </c>
      <c r="P225" s="128">
        <f t="shared" si="18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7"/>
        <v>0</v>
      </c>
      <c r="C226" s="128">
        <v>0.4</v>
      </c>
      <c r="D226" s="128">
        <f t="shared" si="18"/>
        <v>0.4</v>
      </c>
      <c r="E226" s="128">
        <f t="shared" si="18"/>
        <v>0.4</v>
      </c>
      <c r="F226" s="128">
        <f t="shared" si="18"/>
        <v>0.4</v>
      </c>
      <c r="G226" s="128">
        <f t="shared" si="18"/>
        <v>0.4</v>
      </c>
      <c r="H226" s="128">
        <f t="shared" si="18"/>
        <v>0.4</v>
      </c>
      <c r="I226" s="128">
        <f t="shared" si="18"/>
        <v>0.4</v>
      </c>
      <c r="J226" s="128">
        <f t="shared" si="18"/>
        <v>0.4</v>
      </c>
      <c r="K226" s="128">
        <f t="shared" si="18"/>
        <v>0.4</v>
      </c>
      <c r="L226" s="128">
        <f t="shared" si="18"/>
        <v>0.4</v>
      </c>
      <c r="M226" s="128">
        <f t="shared" si="18"/>
        <v>0.4</v>
      </c>
      <c r="N226" s="128">
        <f t="shared" si="18"/>
        <v>0.4</v>
      </c>
      <c r="O226" s="128">
        <f t="shared" si="18"/>
        <v>0.4</v>
      </c>
      <c r="P226" s="128">
        <f t="shared" si="18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7"/>
        <v>0</v>
      </c>
      <c r="C227" s="132">
        <v>0.64</v>
      </c>
      <c r="D227" s="132">
        <f t="shared" si="18"/>
        <v>0.64</v>
      </c>
      <c r="E227" s="132">
        <f t="shared" si="18"/>
        <v>0.64</v>
      </c>
      <c r="F227" s="132">
        <f t="shared" si="18"/>
        <v>0.64</v>
      </c>
      <c r="G227" s="132">
        <f t="shared" si="18"/>
        <v>0.64</v>
      </c>
      <c r="H227" s="132">
        <f t="shared" si="18"/>
        <v>0.64</v>
      </c>
      <c r="I227" s="132">
        <f t="shared" si="18"/>
        <v>0.64</v>
      </c>
      <c r="J227" s="132">
        <f t="shared" si="18"/>
        <v>0.64</v>
      </c>
      <c r="K227" s="132">
        <f t="shared" si="18"/>
        <v>0.64</v>
      </c>
      <c r="L227" s="132">
        <f t="shared" si="18"/>
        <v>0.64</v>
      </c>
      <c r="M227" s="132">
        <f t="shared" si="18"/>
        <v>0.64</v>
      </c>
      <c r="N227" s="132">
        <f t="shared" si="18"/>
        <v>0.64</v>
      </c>
      <c r="O227" s="132">
        <f t="shared" si="18"/>
        <v>0.64</v>
      </c>
      <c r="P227" s="132">
        <f t="shared" si="18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19">SUM(B222:B227)</f>
        <v>0</v>
      </c>
      <c r="C228" s="136">
        <f t="shared" si="19"/>
        <v>3.54</v>
      </c>
      <c r="D228" s="136">
        <f t="shared" si="19"/>
        <v>3.54</v>
      </c>
      <c r="E228" s="136">
        <f t="shared" si="19"/>
        <v>3.54</v>
      </c>
      <c r="F228" s="136">
        <f t="shared" si="19"/>
        <v>3.54</v>
      </c>
      <c r="G228" s="136">
        <f t="shared" si="19"/>
        <v>3.54</v>
      </c>
      <c r="H228" s="136">
        <f t="shared" si="19"/>
        <v>3.54</v>
      </c>
      <c r="I228" s="136">
        <f t="shared" ca="1" si="19"/>
        <v>3.54</v>
      </c>
      <c r="J228" s="136">
        <f t="shared" ca="1" si="19"/>
        <v>3.54</v>
      </c>
      <c r="K228" s="136">
        <f t="shared" ca="1" si="19"/>
        <v>3.54</v>
      </c>
      <c r="L228" s="136">
        <f t="shared" ca="1" si="19"/>
        <v>3.54</v>
      </c>
      <c r="M228" s="136">
        <f t="shared" ca="1" si="19"/>
        <v>3.54</v>
      </c>
      <c r="N228" s="136">
        <f t="shared" ca="1" si="19"/>
        <v>3.54</v>
      </c>
      <c r="O228" s="136">
        <f t="shared" ca="1" si="19"/>
        <v>3.54</v>
      </c>
      <c r="P228" s="136">
        <f t="shared" ca="1" si="19"/>
        <v>3.54</v>
      </c>
      <c r="Q228" s="136">
        <f t="shared" si="19"/>
        <v>0</v>
      </c>
      <c r="R228" s="136">
        <f t="shared" si="19"/>
        <v>0</v>
      </c>
      <c r="S228" s="136">
        <f t="shared" si="19"/>
        <v>0</v>
      </c>
      <c r="T228" s="136">
        <f t="shared" si="19"/>
        <v>0</v>
      </c>
      <c r="U228" s="136">
        <f t="shared" si="19"/>
        <v>0</v>
      </c>
      <c r="V228" s="136">
        <f t="shared" si="19"/>
        <v>0</v>
      </c>
      <c r="W228" s="136">
        <f t="shared" si="19"/>
        <v>0</v>
      </c>
      <c r="X228" s="136">
        <f t="shared" si="19"/>
        <v>0</v>
      </c>
      <c r="Y228" s="136">
        <f t="shared" si="19"/>
        <v>0</v>
      </c>
      <c r="Z228" s="136">
        <f t="shared" si="19"/>
        <v>0</v>
      </c>
      <c r="AA228" s="136">
        <f t="shared" si="19"/>
        <v>0</v>
      </c>
      <c r="AB228" s="136">
        <f t="shared" si="19"/>
        <v>0</v>
      </c>
      <c r="AC228" s="136">
        <f t="shared" si="19"/>
        <v>0</v>
      </c>
      <c r="AD228" s="136">
        <f t="shared" si="19"/>
        <v>0</v>
      </c>
      <c r="AE228" s="136">
        <f t="shared" si="19"/>
        <v>0</v>
      </c>
      <c r="AF228" s="136">
        <f t="shared" si="19"/>
        <v>0</v>
      </c>
      <c r="AG228" s="145">
        <f t="shared" si="19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1612.8399999999997</v>
      </c>
      <c r="C237" s="161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10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str">
        <f ca="1">"Pie Chart of Daily Peak Demand(Inclusive of Export) of Nepal ("&amp;A4&amp;" "&amp;B4&amp;")"</f>
        <v>Pie Chart of Daily Peak Demand(Inclusive of Export) of Nepal (Nepali Date: 2079/09/10)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2079/09/10)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0">B85</f>
        <v>1091.54</v>
      </c>
      <c r="U242" s="170">
        <f t="shared" si="20"/>
        <v>1064.6399999999999</v>
      </c>
      <c r="V242" s="170">
        <f t="shared" si="20"/>
        <v>1080.44</v>
      </c>
      <c r="W242" s="170">
        <f t="shared" si="20"/>
        <v>1052.24</v>
      </c>
      <c r="X242" s="170">
        <f t="shared" si="20"/>
        <v>1073.7950000000001</v>
      </c>
      <c r="Y242" s="170">
        <f t="shared" si="20"/>
        <v>1117.8399999999999</v>
      </c>
      <c r="Z242" s="170">
        <f t="shared" si="20"/>
        <v>1168.8399999999999</v>
      </c>
      <c r="AA242" s="170">
        <f t="shared" si="20"/>
        <v>1236.3399999999999</v>
      </c>
      <c r="AB242" s="170">
        <f t="shared" si="20"/>
        <v>1306.8399999999999</v>
      </c>
      <c r="AC242" s="170">
        <f t="shared" si="20"/>
        <v>123.54</v>
      </c>
      <c r="AD242" s="170">
        <f t="shared" si="20"/>
        <v>923.04</v>
      </c>
      <c r="AE242" s="170">
        <f t="shared" si="20"/>
        <v>1612.8399999999997</v>
      </c>
      <c r="AF242" s="170">
        <f t="shared" si="20"/>
        <v>1490.54</v>
      </c>
      <c r="AG242" s="170">
        <f t="shared" si="20"/>
        <v>1388.1399999999999</v>
      </c>
      <c r="AH242" s="170">
        <f t="shared" si="20"/>
        <v>1178.6400000000001</v>
      </c>
      <c r="AI242" s="170">
        <f t="shared" si="20"/>
        <v>1319.44</v>
      </c>
      <c r="AJ242" s="170">
        <f t="shared" si="20"/>
        <v>1288.6399999999999</v>
      </c>
      <c r="AK242" s="170">
        <f t="shared" si="20"/>
        <v>1342.74</v>
      </c>
      <c r="AL242" s="170">
        <f t="shared" si="20"/>
        <v>1320.24</v>
      </c>
      <c r="AM242" s="170">
        <f t="shared" si="20"/>
        <v>1368.94</v>
      </c>
      <c r="AN242" s="170">
        <f t="shared" si="20"/>
        <v>1346.94</v>
      </c>
      <c r="AO242" s="170">
        <f t="shared" si="20"/>
        <v>1401.1399999999999</v>
      </c>
      <c r="AP242" s="170">
        <f t="shared" si="20"/>
        <v>1583.74</v>
      </c>
      <c r="AQ242" s="170">
        <f t="shared" si="20"/>
        <v>1633.34</v>
      </c>
      <c r="AR242" s="170">
        <f t="shared" si="20"/>
        <v>1586.94</v>
      </c>
      <c r="AS242" s="170">
        <f t="shared" si="20"/>
        <v>1539.14</v>
      </c>
      <c r="AT242" s="170">
        <f t="shared" si="20"/>
        <v>1405.34</v>
      </c>
      <c r="AU242" s="170">
        <f t="shared" si="20"/>
        <v>1372.74</v>
      </c>
      <c r="AV242" s="170">
        <f t="shared" si="20"/>
        <v>1301.3399999999999</v>
      </c>
      <c r="AW242" s="170">
        <f t="shared" si="20"/>
        <v>1277.3399999999999</v>
      </c>
      <c r="AX242" s="170">
        <f t="shared" si="20"/>
        <v>1120.3400000000001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1">C227</f>
        <v>0.64</v>
      </c>
      <c r="C263" s="173">
        <f t="shared" si="21"/>
        <v>0.64</v>
      </c>
      <c r="D263" s="173">
        <f t="shared" si="21"/>
        <v>0.64</v>
      </c>
      <c r="E263" s="173">
        <f t="shared" si="21"/>
        <v>0.64</v>
      </c>
      <c r="F263" s="173">
        <f t="shared" si="21"/>
        <v>0.64</v>
      </c>
      <c r="G263" s="173">
        <f t="shared" si="21"/>
        <v>0.64</v>
      </c>
      <c r="H263" s="173">
        <f t="shared" si="21"/>
        <v>0.64</v>
      </c>
      <c r="I263" s="173">
        <f t="shared" si="21"/>
        <v>0.64</v>
      </c>
      <c r="J263" s="173">
        <f t="shared" si="21"/>
        <v>0.64</v>
      </c>
      <c r="K263" s="173">
        <f t="shared" si="21"/>
        <v>0.64</v>
      </c>
      <c r="L263" s="173">
        <f t="shared" si="21"/>
        <v>0.64</v>
      </c>
      <c r="M263" s="173">
        <f t="shared" si="21"/>
        <v>0.64</v>
      </c>
      <c r="N263" s="173">
        <f t="shared" si="21"/>
        <v>0.64</v>
      </c>
      <c r="O263" s="173">
        <f t="shared" si="21"/>
        <v>0.64</v>
      </c>
      <c r="P263" s="173">
        <f t="shared" si="21"/>
        <v>0</v>
      </c>
      <c r="Q263" s="173">
        <f t="shared" si="21"/>
        <v>0</v>
      </c>
      <c r="R263" s="173">
        <f t="shared" si="21"/>
        <v>0</v>
      </c>
      <c r="S263" s="173">
        <f t="shared" si="21"/>
        <v>0</v>
      </c>
      <c r="T263" s="173">
        <f t="shared" si="21"/>
        <v>0</v>
      </c>
      <c r="U263" s="173">
        <f t="shared" si="21"/>
        <v>0</v>
      </c>
      <c r="V263" s="173">
        <f t="shared" si="21"/>
        <v>0</v>
      </c>
      <c r="W263" s="173">
        <f t="shared" si="21"/>
        <v>0</v>
      </c>
      <c r="X263" s="173">
        <f t="shared" si="21"/>
        <v>0</v>
      </c>
      <c r="Y263" s="173">
        <f t="shared" si="21"/>
        <v>0</v>
      </c>
      <c r="Z263" s="173">
        <f t="shared" si="21"/>
        <v>0</v>
      </c>
      <c r="AA263" s="173">
        <f t="shared" si="21"/>
        <v>0</v>
      </c>
      <c r="AB263" s="173">
        <f t="shared" si="21"/>
        <v>0</v>
      </c>
      <c r="AC263" s="173">
        <f t="shared" si="21"/>
        <v>0</v>
      </c>
      <c r="AD263" s="173">
        <f t="shared" si="21"/>
        <v>0</v>
      </c>
      <c r="AE263" s="173">
        <f t="shared" si="21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2">IF(B231&lt;100,"",B231-520)</f>
        <v/>
      </c>
      <c r="C264" s="174" t="str">
        <f t="shared" si="22"/>
        <v/>
      </c>
      <c r="D264" s="174" t="str">
        <f t="shared" si="22"/>
        <v/>
      </c>
      <c r="E264" s="174" t="str">
        <f t="shared" si="22"/>
        <v/>
      </c>
      <c r="F264" s="174" t="str">
        <f t="shared" si="22"/>
        <v/>
      </c>
      <c r="G264" s="174" t="str">
        <f t="shared" si="22"/>
        <v/>
      </c>
      <c r="H264" s="174" t="str">
        <f t="shared" si="22"/>
        <v/>
      </c>
      <c r="I264" s="174" t="str">
        <f t="shared" si="22"/>
        <v/>
      </c>
      <c r="J264" s="174" t="str">
        <f t="shared" si="22"/>
        <v/>
      </c>
      <c r="K264" s="174" t="str">
        <f t="shared" si="22"/>
        <v/>
      </c>
      <c r="L264" s="174" t="str">
        <f t="shared" si="22"/>
        <v/>
      </c>
      <c r="M264" s="174" t="str">
        <f t="shared" si="22"/>
        <v/>
      </c>
      <c r="N264" s="174" t="str">
        <f t="shared" si="22"/>
        <v/>
      </c>
      <c r="O264" s="174" t="str">
        <f t="shared" si="22"/>
        <v/>
      </c>
      <c r="P264" s="174" t="str">
        <f t="shared" si="22"/>
        <v/>
      </c>
      <c r="Q264" s="174" t="str">
        <f t="shared" si="22"/>
        <v/>
      </c>
      <c r="R264" s="174" t="str">
        <f t="shared" si="22"/>
        <v/>
      </c>
      <c r="S264" s="174" t="str">
        <f t="shared" si="22"/>
        <v/>
      </c>
      <c r="T264" s="174" t="str">
        <f t="shared" si="22"/>
        <v/>
      </c>
      <c r="U264" s="174" t="str">
        <f t="shared" si="22"/>
        <v/>
      </c>
      <c r="V264" s="174" t="str">
        <f t="shared" si="22"/>
        <v/>
      </c>
      <c r="W264" s="174" t="str">
        <f t="shared" si="22"/>
        <v/>
      </c>
      <c r="X264" s="174" t="str">
        <f t="shared" si="22"/>
        <v/>
      </c>
      <c r="Y264" s="174" t="str">
        <f t="shared" si="22"/>
        <v/>
      </c>
      <c r="Z264" s="174" t="str">
        <f t="shared" si="22"/>
        <v/>
      </c>
      <c r="AA264" s="174" t="str">
        <f t="shared" si="22"/>
        <v/>
      </c>
      <c r="AB264" s="174" t="str">
        <f t="shared" si="22"/>
        <v/>
      </c>
      <c r="AC264" s="174" t="str">
        <f t="shared" si="22"/>
        <v/>
      </c>
      <c r="AD264" s="174" t="str">
        <f t="shared" si="22"/>
        <v/>
      </c>
      <c r="AE264" s="174" t="str">
        <f t="shared" si="22"/>
        <v/>
      </c>
      <c r="AF264" s="174" t="str">
        <f t="shared" si="22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3">IF(B232&lt;100,"",B232-620)</f>
        <v/>
      </c>
      <c r="C265" s="174" t="str">
        <f t="shared" si="23"/>
        <v/>
      </c>
      <c r="D265" s="174" t="str">
        <f t="shared" si="23"/>
        <v/>
      </c>
      <c r="E265" s="174" t="str">
        <f t="shared" si="23"/>
        <v/>
      </c>
      <c r="F265" s="174" t="str">
        <f t="shared" si="23"/>
        <v/>
      </c>
      <c r="G265" s="174" t="str">
        <f t="shared" si="23"/>
        <v/>
      </c>
      <c r="H265" s="174" t="str">
        <f t="shared" si="23"/>
        <v/>
      </c>
      <c r="I265" s="174" t="str">
        <f t="shared" si="23"/>
        <v/>
      </c>
      <c r="J265" s="174" t="str">
        <f t="shared" si="23"/>
        <v/>
      </c>
      <c r="K265" s="174" t="str">
        <f t="shared" si="23"/>
        <v/>
      </c>
      <c r="L265" s="174" t="str">
        <f t="shared" si="23"/>
        <v/>
      </c>
      <c r="M265" s="174" t="str">
        <f t="shared" si="23"/>
        <v/>
      </c>
      <c r="N265" s="174" t="str">
        <f t="shared" si="23"/>
        <v/>
      </c>
      <c r="O265" s="174" t="str">
        <f t="shared" si="23"/>
        <v/>
      </c>
      <c r="P265" s="174" t="str">
        <f t="shared" si="23"/>
        <v/>
      </c>
      <c r="Q265" s="174" t="str">
        <f t="shared" si="23"/>
        <v/>
      </c>
      <c r="R265" s="174" t="str">
        <f t="shared" si="23"/>
        <v/>
      </c>
      <c r="S265" s="174" t="str">
        <f t="shared" si="23"/>
        <v/>
      </c>
      <c r="T265" s="174" t="str">
        <f t="shared" si="23"/>
        <v/>
      </c>
      <c r="U265" s="174" t="str">
        <f t="shared" si="23"/>
        <v/>
      </c>
      <c r="V265" s="174" t="str">
        <f t="shared" si="23"/>
        <v/>
      </c>
      <c r="W265" s="174" t="str">
        <f t="shared" si="23"/>
        <v/>
      </c>
      <c r="X265" s="174" t="str">
        <f t="shared" si="23"/>
        <v/>
      </c>
      <c r="Y265" s="174" t="str">
        <f t="shared" si="23"/>
        <v/>
      </c>
      <c r="Z265" s="174" t="str">
        <f t="shared" si="23"/>
        <v/>
      </c>
      <c r="AA265" s="174" t="str">
        <f t="shared" si="23"/>
        <v/>
      </c>
      <c r="AB265" s="174" t="str">
        <f t="shared" si="23"/>
        <v/>
      </c>
      <c r="AC265" s="174" t="str">
        <f t="shared" si="23"/>
        <v/>
      </c>
      <c r="AD265" s="174" t="str">
        <f t="shared" si="23"/>
        <v/>
      </c>
      <c r="AE265" s="174" t="str">
        <f t="shared" si="23"/>
        <v/>
      </c>
      <c r="AF265" s="174" t="str">
        <f t="shared" si="23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4">IF(B233&lt;100,"",B233-330)</f>
        <v/>
      </c>
      <c r="C266" s="174" t="str">
        <f t="shared" si="24"/>
        <v/>
      </c>
      <c r="D266" s="174" t="str">
        <f t="shared" si="24"/>
        <v/>
      </c>
      <c r="E266" s="174" t="str">
        <f t="shared" si="24"/>
        <v/>
      </c>
      <c r="F266" s="174" t="str">
        <f t="shared" si="24"/>
        <v/>
      </c>
      <c r="G266" s="174" t="str">
        <f t="shared" si="24"/>
        <v/>
      </c>
      <c r="H266" s="174" t="str">
        <f t="shared" si="24"/>
        <v/>
      </c>
      <c r="I266" s="174" t="str">
        <f t="shared" si="24"/>
        <v/>
      </c>
      <c r="J266" s="174" t="str">
        <f t="shared" si="24"/>
        <v/>
      </c>
      <c r="K266" s="174" t="str">
        <f t="shared" si="24"/>
        <v/>
      </c>
      <c r="L266" s="174" t="str">
        <f t="shared" si="24"/>
        <v/>
      </c>
      <c r="M266" s="174" t="str">
        <f t="shared" si="24"/>
        <v/>
      </c>
      <c r="N266" s="174" t="str">
        <f t="shared" si="24"/>
        <v/>
      </c>
      <c r="O266" s="174" t="str">
        <f t="shared" si="24"/>
        <v/>
      </c>
      <c r="P266" s="174" t="str">
        <f t="shared" si="24"/>
        <v/>
      </c>
      <c r="Q266" s="174" t="str">
        <f t="shared" si="24"/>
        <v/>
      </c>
      <c r="R266" s="174" t="str">
        <f t="shared" si="24"/>
        <v/>
      </c>
      <c r="S266" s="174" t="str">
        <f t="shared" si="24"/>
        <v/>
      </c>
      <c r="T266" s="174" t="str">
        <f t="shared" si="24"/>
        <v/>
      </c>
      <c r="U266" s="174" t="str">
        <f t="shared" si="24"/>
        <v/>
      </c>
      <c r="V266" s="174" t="str">
        <f t="shared" si="24"/>
        <v/>
      </c>
      <c r="W266" s="174" t="str">
        <f t="shared" si="24"/>
        <v/>
      </c>
      <c r="X266" s="174" t="str">
        <f t="shared" si="24"/>
        <v/>
      </c>
      <c r="Y266" s="174" t="str">
        <f t="shared" si="24"/>
        <v/>
      </c>
      <c r="Z266" s="174" t="str">
        <f t="shared" si="24"/>
        <v/>
      </c>
      <c r="AA266" s="174" t="str">
        <f t="shared" si="24"/>
        <v/>
      </c>
      <c r="AB266" s="174" t="str">
        <f t="shared" si="24"/>
        <v/>
      </c>
      <c r="AC266" s="174" t="str">
        <f t="shared" si="24"/>
        <v/>
      </c>
      <c r="AD266" s="174" t="str">
        <f t="shared" si="24"/>
        <v/>
      </c>
      <c r="AE266" s="174" t="str">
        <f t="shared" si="24"/>
        <v/>
      </c>
      <c r="AF266" s="174" t="str">
        <f t="shared" si="24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5">IF(B234&lt;100,"",B234-1500)</f>
        <v/>
      </c>
      <c r="C267" s="174" t="str">
        <f t="shared" si="25"/>
        <v/>
      </c>
      <c r="D267" s="174" t="str">
        <f t="shared" si="25"/>
        <v/>
      </c>
      <c r="E267" s="174" t="str">
        <f t="shared" si="25"/>
        <v/>
      </c>
      <c r="F267" s="174" t="str">
        <f t="shared" si="25"/>
        <v/>
      </c>
      <c r="G267" s="174" t="str">
        <f t="shared" si="25"/>
        <v/>
      </c>
      <c r="H267" s="174" t="str">
        <f t="shared" si="25"/>
        <v/>
      </c>
      <c r="I267" s="174" t="str">
        <f t="shared" si="25"/>
        <v/>
      </c>
      <c r="J267" s="174" t="str">
        <f t="shared" si="25"/>
        <v/>
      </c>
      <c r="K267" s="174" t="str">
        <f t="shared" si="25"/>
        <v/>
      </c>
      <c r="L267" s="174" t="str">
        <f t="shared" si="25"/>
        <v/>
      </c>
      <c r="M267" s="174" t="str">
        <f t="shared" si="25"/>
        <v/>
      </c>
      <c r="N267" s="174" t="str">
        <f t="shared" si="25"/>
        <v/>
      </c>
      <c r="O267" s="174" t="str">
        <f t="shared" si="25"/>
        <v/>
      </c>
      <c r="P267" s="174" t="str">
        <f t="shared" si="25"/>
        <v/>
      </c>
      <c r="Q267" s="174" t="str">
        <f t="shared" si="25"/>
        <v/>
      </c>
      <c r="R267" s="174" t="str">
        <f t="shared" si="25"/>
        <v/>
      </c>
      <c r="S267" s="174" t="str">
        <f t="shared" si="25"/>
        <v/>
      </c>
      <c r="T267" s="174" t="str">
        <f t="shared" si="25"/>
        <v/>
      </c>
      <c r="U267" s="174" t="str">
        <f t="shared" si="25"/>
        <v/>
      </c>
      <c r="V267" s="174" t="str">
        <f t="shared" si="25"/>
        <v/>
      </c>
      <c r="W267" s="174" t="str">
        <f t="shared" si="25"/>
        <v/>
      </c>
      <c r="X267" s="174" t="str">
        <f t="shared" si="25"/>
        <v/>
      </c>
      <c r="Y267" s="174" t="str">
        <f t="shared" si="25"/>
        <v/>
      </c>
      <c r="Z267" s="174" t="str">
        <f t="shared" si="25"/>
        <v/>
      </c>
      <c r="AA267" s="174" t="str">
        <f t="shared" si="25"/>
        <v/>
      </c>
      <c r="AB267" s="174" t="str">
        <f t="shared" si="25"/>
        <v/>
      </c>
      <c r="AC267" s="174" t="str">
        <f t="shared" si="25"/>
        <v/>
      </c>
      <c r="AD267" s="174" t="str">
        <f t="shared" si="25"/>
        <v/>
      </c>
      <c r="AE267" s="174" t="str">
        <f t="shared" si="25"/>
        <v/>
      </c>
      <c r="AF267" s="174" t="str">
        <f t="shared" si="25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5:AF105 D107:AF112 Y11:AF41">
    <cfRule type="expression" dxfId="6991" priority="234">
      <formula>B$9&gt;=20/24</formula>
    </cfRule>
    <cfRule type="expression" dxfId="6990" priority="235">
      <formula>AND(B$9&gt;=14/24,B$9&lt;20/24)</formula>
    </cfRule>
    <cfRule type="expression" dxfId="6989" priority="236">
      <formula>AND(B$9&gt;=8/24,B$9&lt;14/24)</formula>
    </cfRule>
    <cfRule type="expression" dxfId="6988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G61 Y11:AF41">
    <cfRule type="expression" dxfId="6987" priority="232">
      <formula>Y11&gt;$AG11</formula>
    </cfRule>
  </conditionalFormatting>
  <conditionalFormatting sqref="A95:A105 A55:A82 A91:A93 A198:A228 A42:A53 A114:A185 A38:A39 A87:A89 A84:A85 A107:A109 A35:A36 A17:A18 A11:A15 A20:A33">
    <cfRule type="expression" dxfId="6986" priority="231">
      <formula>$AH11=0</formula>
    </cfRule>
  </conditionalFormatting>
  <conditionalFormatting sqref="A110">
    <cfRule type="expression" dxfId="6985" priority="230">
      <formula>$AH110=0</formula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6984" priority="228">
      <formula>$AH41=0</formula>
    </cfRule>
  </conditionalFormatting>
  <conditionalFormatting sqref="A94">
    <cfRule type="expression" dxfId="6983" priority="227">
      <formula>$AH94=0</formula>
    </cfRule>
  </conditionalFormatting>
  <conditionalFormatting sqref="A16">
    <cfRule type="expression" dxfId="6982" priority="226">
      <formula>$AH16=0</formula>
    </cfRule>
  </conditionalFormatting>
  <conditionalFormatting sqref="A192:A197">
    <cfRule type="expression" dxfId="6981" priority="225">
      <formula>$AH192=0</formula>
    </cfRule>
  </conditionalFormatting>
  <conditionalFormatting sqref="A186:A191">
    <cfRule type="expression" dxfId="6980" priority="224">
      <formula>$AH186=0</formula>
    </cfRule>
  </conditionalFormatting>
  <conditionalFormatting sqref="A54">
    <cfRule type="expression" dxfId="6979" priority="223">
      <formula>$AH54=0</formula>
    </cfRule>
  </conditionalFormatting>
  <conditionalFormatting sqref="A90">
    <cfRule type="expression" dxfId="6978" priority="222">
      <formula>$AH90=0</formula>
    </cfRule>
  </conditionalFormatting>
  <conditionalFormatting sqref="E95:X95 AD95:AF95">
    <cfRule type="expression" dxfId="6977" priority="218">
      <formula>E$9&gt;=20/24</formula>
    </cfRule>
    <cfRule type="expression" dxfId="6976" priority="219">
      <formula>AND(E$9&gt;=14/24,E$9&lt;20/24)</formula>
    </cfRule>
    <cfRule type="expression" dxfId="6975" priority="220">
      <formula>AND(E$9&gt;=8/24,E$9&lt;14/24)</formula>
    </cfRule>
    <cfRule type="expression" dxfId="6974" priority="221">
      <formula>E$9&lt;8/24</formula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973" priority="240">
      <formula>C$9&gt;=20/24</formula>
    </cfRule>
    <cfRule type="expression" dxfId="6972" priority="241">
      <formula>AND(C$9&gt;=14/24,C$9&lt;20/24)</formula>
    </cfRule>
    <cfRule type="expression" dxfId="6971" priority="242">
      <formula>AND(C$9&gt;=8/24,C$9&lt;14/24)</formula>
    </cfRule>
    <cfRule type="expression" dxfId="6970" priority="243">
      <formula>C$9&lt;8/24</formula>
    </cfRule>
  </conditionalFormatting>
  <conditionalFormatting sqref="A229">
    <cfRule type="expression" dxfId="6969" priority="244">
      <formula>$AH229=0</formula>
    </cfRule>
  </conditionalFormatting>
  <conditionalFormatting sqref="AG241">
    <cfRule type="expression" dxfId="6968" priority="245">
      <formula>B$9&gt;=20/24</formula>
    </cfRule>
    <cfRule type="expression" dxfId="6967" priority="246">
      <formula>AND(B$9&gt;=14/24,B$9&lt;20/24)</formula>
    </cfRule>
    <cfRule type="expression" dxfId="6966" priority="247">
      <formula>AND(B$9&gt;=8/24,B$9&lt;14/24)</formula>
    </cfRule>
    <cfRule type="expression" dxfId="6965" priority="248">
      <formula>B$9&lt;8/24</formula>
    </cfRule>
  </conditionalFormatting>
  <conditionalFormatting sqref="S8">
    <cfRule type="expression" dxfId="6964" priority="213">
      <formula>U$9&gt;=20/24</formula>
    </cfRule>
    <cfRule type="expression" dxfId="6963" priority="214">
      <formula>AND(U$9&gt;=14/24,U$9&lt;20/24)</formula>
    </cfRule>
    <cfRule type="expression" dxfId="6962" priority="215">
      <formula>AND(U$9&gt;=8/24,U$9&lt;14/24)</formula>
    </cfRule>
    <cfRule type="expression" dxfId="6961" priority="216">
      <formula>U$9&lt;8/24</formula>
    </cfRule>
  </conditionalFormatting>
  <conditionalFormatting sqref="AB8">
    <cfRule type="expression" dxfId="6960" priority="209">
      <formula>AD$9&gt;=20/24</formula>
    </cfRule>
    <cfRule type="expression" dxfId="6959" priority="210">
      <formula>AND(AD$9&gt;=14/24,AD$9&lt;20/24)</formula>
    </cfRule>
    <cfRule type="expression" dxfId="6958" priority="211">
      <formula>AND(AD$9&gt;=8/24,AD$9&lt;14/24)</formula>
    </cfRule>
    <cfRule type="expression" dxfId="6957" priority="212">
      <formula>AD$9&lt;8/24</formula>
    </cfRule>
  </conditionalFormatting>
  <conditionalFormatting sqref="AH241:AX241">
    <cfRule type="expression" dxfId="6956" priority="249">
      <formula>AG$9&gt;=20/24</formula>
    </cfRule>
    <cfRule type="expression" dxfId="6955" priority="250">
      <formula>AND(AG$9&gt;=14/24,AG$9&lt;20/24)</formula>
    </cfRule>
    <cfRule type="expression" dxfId="6954" priority="251">
      <formula>AND(AG$9&gt;=8/24,AG$9&lt;14/24)</formula>
    </cfRule>
    <cfRule type="expression" dxfId="6953" priority="252">
      <formula>AG$9&lt;8/24</formula>
    </cfRule>
  </conditionalFormatting>
  <conditionalFormatting sqref="T241">
    <cfRule type="expression" dxfId="6952" priority="253">
      <formula>AX$9&gt;=20/24</formula>
    </cfRule>
    <cfRule type="expression" dxfId="6951" priority="254">
      <formula>AND(AX$9&gt;=14/24,AX$9&lt;20/24)</formula>
    </cfRule>
    <cfRule type="expression" dxfId="6950" priority="255">
      <formula>AND(AX$9&gt;=8/24,AX$9&lt;14/24)</formula>
    </cfRule>
    <cfRule type="expression" dxfId="6949" priority="256">
      <formula>AX$9&lt;8/24</formula>
    </cfRule>
  </conditionalFormatting>
  <conditionalFormatting sqref="A111:A112">
    <cfRule type="expression" dxfId="6948" priority="208">
      <formula>$AH111=0</formula>
    </cfRule>
  </conditionalFormatting>
  <conditionalFormatting sqref="M50:Q53 R53:S53 E67:AF67 AB50:AF51 W52:AF53">
    <cfRule type="expression" dxfId="6947" priority="204">
      <formula>E$9&gt;=20/24</formula>
    </cfRule>
    <cfRule type="expression" dxfId="6946" priority="205">
      <formula>AND(E$9&gt;=14/24,E$9&lt;20/24)</formula>
    </cfRule>
    <cfRule type="expression" dxfId="6945" priority="206">
      <formula>AND(E$9&gt;=8/24,E$9&lt;14/24)</formula>
    </cfRule>
    <cfRule type="expression" dxfId="6944" priority="207">
      <formula>E$9&lt;8/24</formula>
    </cfRule>
  </conditionalFormatting>
  <conditionalFormatting sqref="M49:Q49 AB49:AF49">
    <cfRule type="expression" dxfId="6943" priority="200">
      <formula>M$9&gt;=20/24</formula>
    </cfRule>
    <cfRule type="expression" dxfId="6942" priority="201">
      <formula>AND(M$9&gt;=14/24,M$9&lt;20/24)</formula>
    </cfRule>
    <cfRule type="expression" dxfId="6941" priority="202">
      <formula>AND(M$9&gt;=8/24,M$9&lt;14/24)</formula>
    </cfRule>
    <cfRule type="expression" dxfId="6940" priority="203">
      <formula>M$9&lt;8/24</formula>
    </cfRule>
  </conditionalFormatting>
  <conditionalFormatting sqref="M49:Q53 R53:S53 AB49:AF51 W52:AF53">
    <cfRule type="expression" dxfId="6939" priority="199">
      <formula>M49&gt;$AG49</formula>
    </cfRule>
  </conditionalFormatting>
  <conditionalFormatting sqref="D82:AF82 X70:AB70 X43:AF43 X92:AF92 E68:AB69 M96:X102 X63:AF65 AC68:AF70 AD96:AF102">
    <cfRule type="expression" dxfId="6938" priority="195">
      <formula>D$9&gt;=20/24</formula>
    </cfRule>
    <cfRule type="expression" dxfId="6937" priority="196">
      <formula>AND(D$9&gt;=14/24,D$9&lt;20/24)</formula>
    </cfRule>
    <cfRule type="expression" dxfId="6936" priority="197">
      <formula>AND(D$9&gt;=8/24,D$9&lt;14/24)</formula>
    </cfRule>
    <cfRule type="expression" dxfId="6935" priority="198">
      <formula>D$9&lt;8/24</formula>
    </cfRule>
  </conditionalFormatting>
  <conditionalFormatting sqref="X43:AF43 X63:AF65">
    <cfRule type="expression" dxfId="6934" priority="194">
      <formula>X43&gt;$AG43</formula>
    </cfRule>
  </conditionalFormatting>
  <conditionalFormatting sqref="S54 W49:AA51 R49:V52 T53:V54 W54">
    <cfRule type="expression" dxfId="6933" priority="190">
      <formula>R$9&gt;=20/24</formula>
    </cfRule>
    <cfRule type="expression" dxfId="6932" priority="191">
      <formula>AND(R$9&gt;=14/24,R$9&lt;20/24)</formula>
    </cfRule>
    <cfRule type="expression" dxfId="6931" priority="192">
      <formula>AND(R$9&gt;=8/24,R$9&lt;14/24)</formula>
    </cfRule>
    <cfRule type="expression" dxfId="6930" priority="193">
      <formula>R$9&lt;8/24</formula>
    </cfRule>
  </conditionalFormatting>
  <conditionalFormatting sqref="S54 W49:AA51 R49:V52 T53:V54 W54">
    <cfRule type="expression" dxfId="6929" priority="189">
      <formula>R49&gt;$AG49</formula>
    </cfRule>
  </conditionalFormatting>
  <conditionalFormatting sqref="C84:AF84 C93:AF93">
    <cfRule type="expression" dxfId="6928" priority="185">
      <formula>C$9&gt;=20/24</formula>
    </cfRule>
    <cfRule type="expression" dxfId="6927" priority="186">
      <formula>AND(C$9&gt;=14/24,C$9&lt;20/24)</formula>
    </cfRule>
    <cfRule type="expression" dxfId="6926" priority="187">
      <formula>AND(C$9&gt;=8/24,C$9&lt;14/24)</formula>
    </cfRule>
    <cfRule type="expression" dxfId="6925" priority="188">
      <formula>C$9&lt;8/24</formula>
    </cfRule>
  </conditionalFormatting>
  <conditionalFormatting sqref="T43:W43">
    <cfRule type="expression" dxfId="6924" priority="181">
      <formula>T$9&gt;=20/24</formula>
    </cfRule>
    <cfRule type="expression" dxfId="6923" priority="182">
      <formula>AND(T$9&gt;=14/24,T$9&lt;20/24)</formula>
    </cfRule>
    <cfRule type="expression" dxfId="6922" priority="183">
      <formula>AND(T$9&gt;=8/24,T$9&lt;14/24)</formula>
    </cfRule>
    <cfRule type="expression" dxfId="6921" priority="184">
      <formula>T$9&lt;8/24</formula>
    </cfRule>
  </conditionalFormatting>
  <conditionalFormatting sqref="T43:W43">
    <cfRule type="expression" dxfId="6920" priority="180">
      <formula>T43&gt;$AG43</formula>
    </cfRule>
  </conditionalFormatting>
  <conditionalFormatting sqref="E50:L51 Y42:AF42">
    <cfRule type="expression" dxfId="6919" priority="176">
      <formula>E$9&gt;=20/24</formula>
    </cfRule>
    <cfRule type="expression" dxfId="6918" priority="177">
      <formula>AND(E$9&gt;=14/24,E$9&lt;20/24)</formula>
    </cfRule>
    <cfRule type="expression" dxfId="6917" priority="178">
      <formula>AND(E$9&gt;=8/24,E$9&lt;14/24)</formula>
    </cfRule>
    <cfRule type="expression" dxfId="6916" priority="179">
      <formula>E$9&lt;8/24</formula>
    </cfRule>
  </conditionalFormatting>
  <conditionalFormatting sqref="E49:L49">
    <cfRule type="expression" dxfId="6915" priority="172">
      <formula>E$9&gt;=20/24</formula>
    </cfRule>
    <cfRule type="expression" dxfId="6914" priority="173">
      <formula>AND(E$9&gt;=14/24,E$9&lt;20/24)</formula>
    </cfRule>
    <cfRule type="expression" dxfId="6913" priority="174">
      <formula>AND(E$9&gt;=8/24,E$9&lt;14/24)</formula>
    </cfRule>
    <cfRule type="expression" dxfId="6912" priority="175">
      <formula>E$9&lt;8/24</formula>
    </cfRule>
  </conditionalFormatting>
  <conditionalFormatting sqref="E49:L51 Y42:AF42">
    <cfRule type="expression" dxfId="6911" priority="171">
      <formula>E42&gt;$AG42</formula>
    </cfRule>
  </conditionalFormatting>
  <conditionalFormatting sqref="AG66 AG83 E96:L102 T63:W65">
    <cfRule type="expression" dxfId="6910" priority="167">
      <formula>E$9&gt;=20/24</formula>
    </cfRule>
    <cfRule type="expression" dxfId="6909" priority="168">
      <formula>AND(E$9&gt;=14/24,E$9&lt;20/24)</formula>
    </cfRule>
    <cfRule type="expression" dxfId="6908" priority="169">
      <formula>AND(E$9&gt;=8/24,E$9&lt;14/24)</formula>
    </cfRule>
    <cfRule type="expression" dxfId="6907" priority="170">
      <formula>E$9&lt;8/24</formula>
    </cfRule>
  </conditionalFormatting>
  <conditionalFormatting sqref="AG44 AG62 AG66 T63:W65">
    <cfRule type="expression" dxfId="6906" priority="166">
      <formula>T44&gt;$AG44</formula>
    </cfRule>
  </conditionalFormatting>
  <conditionalFormatting sqref="X54:AF54">
    <cfRule type="expression" dxfId="6905" priority="162">
      <formula>X$9&gt;=20/24</formula>
    </cfRule>
    <cfRule type="expression" dxfId="6904" priority="163">
      <formula>AND(X$9&gt;=14/24,X$9&lt;20/24)</formula>
    </cfRule>
    <cfRule type="expression" dxfId="6903" priority="164">
      <formula>AND(X$9&gt;=8/24,X$9&lt;14/24)</formula>
    </cfRule>
    <cfRule type="expression" dxfId="6902" priority="165">
      <formula>X$9&lt;8/24</formula>
    </cfRule>
  </conditionalFormatting>
  <conditionalFormatting sqref="X54:AF54">
    <cfRule type="expression" dxfId="6901" priority="161">
      <formula>X54&gt;$AG54</formula>
    </cfRule>
  </conditionalFormatting>
  <conditionalFormatting sqref="A40">
    <cfRule type="expression" dxfId="6900" priority="160">
      <formula>$AH40=0</formula>
    </cfRule>
  </conditionalFormatting>
  <conditionalFormatting sqref="X87:AF91">
    <cfRule type="expression" dxfId="6899" priority="156">
      <formula>X$9&gt;=20/24</formula>
    </cfRule>
    <cfRule type="expression" dxfId="6898" priority="157">
      <formula>AND(X$9&gt;=14/24,X$9&lt;20/24)</formula>
    </cfRule>
    <cfRule type="expression" dxfId="6897" priority="158">
      <formula>AND(X$9&gt;=8/24,X$9&lt;14/24)</formula>
    </cfRule>
    <cfRule type="expression" dxfId="6896" priority="159">
      <formula>X$9&lt;8/24</formula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E45:AF47">
    <cfRule type="expression" dxfId="6895" priority="152">
      <formula>E$9&gt;=20/24</formula>
    </cfRule>
    <cfRule type="expression" dxfId="6894" priority="153">
      <formula>AND(E$9&gt;=14/24,E$9&lt;20/24)</formula>
    </cfRule>
    <cfRule type="expression" dxfId="6893" priority="154">
      <formula>AND(E$9&gt;=8/24,E$9&lt;14/24)</formula>
    </cfRule>
    <cfRule type="expression" dxfId="6892" priority="155">
      <formula>E$9&lt;8/24</formula>
    </cfRule>
  </conditionalFormatting>
  <conditionalFormatting sqref="E45:AF47">
    <cfRule type="expression" dxfId="6891" priority="151">
      <formula>E45&gt;$AG45</formula>
    </cfRule>
  </conditionalFormatting>
  <conditionalFormatting sqref="AG48">
    <cfRule type="expression" dxfId="6890" priority="147">
      <formula>AG$9&gt;=20/24</formula>
    </cfRule>
    <cfRule type="expression" dxfId="6889" priority="148">
      <formula>AND(AG$9&gt;=14/24,AG$9&lt;20/24)</formula>
    </cfRule>
    <cfRule type="expression" dxfId="6888" priority="149">
      <formula>AND(AG$9&gt;=8/24,AG$9&lt;14/24)</formula>
    </cfRule>
    <cfRule type="expression" dxfId="6887" priority="150">
      <formula>AG$9&lt;8/24</formula>
    </cfRule>
  </conditionalFormatting>
  <conditionalFormatting sqref="AG48">
    <cfRule type="expression" dxfId="6886" priority="146">
      <formula>AG48&gt;$AG48</formula>
    </cfRule>
  </conditionalFormatting>
  <conditionalFormatting sqref="C103:AF103">
    <cfRule type="expression" dxfId="6885" priority="142">
      <formula>C$9&gt;=20/24</formula>
    </cfRule>
    <cfRule type="expression" dxfId="6884" priority="143">
      <formula>AND(C$9&gt;=14/24,C$9&lt;20/24)</formula>
    </cfRule>
    <cfRule type="expression" dxfId="6883" priority="144">
      <formula>AND(C$9&gt;=8/24,C$9&lt;14/24)</formula>
    </cfRule>
    <cfRule type="expression" dxfId="6882" priority="145">
      <formula>C$9&lt;8/24</formula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6881" priority="140">
      <formula>$AH37=0</formula>
    </cfRule>
  </conditionalFormatting>
  <conditionalFormatting sqref="A86">
    <cfRule type="expression" dxfId="6880" priority="138">
      <formula>$AH86=0</formula>
    </cfRule>
  </conditionalFormatting>
  <conditionalFormatting sqref="A83">
    <cfRule type="expression" dxfId="6879" priority="139">
      <formula>$AH83=0</formula>
    </cfRule>
  </conditionalFormatting>
  <conditionalFormatting sqref="A113">
    <cfRule type="expression" dxfId="6878" priority="129">
      <formula>$AH113=0</formula>
    </cfRule>
  </conditionalFormatting>
  <conditionalFormatting sqref="D106:AF106">
    <cfRule type="expression" dxfId="6877" priority="125">
      <formula>D$9&gt;=20/24</formula>
    </cfRule>
    <cfRule type="expression" dxfId="6876" priority="126">
      <formula>AND(D$9&gt;=14/24,D$9&lt;20/24)</formula>
    </cfRule>
    <cfRule type="expression" dxfId="6875" priority="127">
      <formula>AND(D$9&gt;=8/24,D$9&lt;14/24)</formula>
    </cfRule>
    <cfRule type="expression" dxfId="6874" priority="128">
      <formula>D$9&lt;8/24</formula>
    </cfRule>
  </conditionalFormatting>
  <conditionalFormatting sqref="A106">
    <cfRule type="expression" dxfId="6873" priority="124">
      <formula>$AH106=0</formula>
    </cfRule>
  </conditionalFormatting>
  <conditionalFormatting sqref="A19">
    <cfRule type="expression" dxfId="6872" priority="122">
      <formula>$AH19=0</formula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6871" priority="120">
      <formula>$AH34=0</formula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6870" priority="116">
      <formula>Y$9&gt;=20/24</formula>
    </cfRule>
    <cfRule type="expression" dxfId="6869" priority="117">
      <formula>AND(Y$9&gt;=14/24,Y$9&lt;20/24)</formula>
    </cfRule>
    <cfRule type="expression" dxfId="6868" priority="118">
      <formula>AND(Y$9&gt;=8/24,Y$9&lt;14/24)</formula>
    </cfRule>
    <cfRule type="expression" dxfId="6867" priority="119">
      <formula>Y$9&lt;8/24</formula>
    </cfRule>
  </conditionalFormatting>
  <conditionalFormatting sqref="Y96:AC102">
    <cfRule type="expression" dxfId="6866" priority="112">
      <formula>Y$9&gt;=20/24</formula>
    </cfRule>
    <cfRule type="expression" dxfId="6865" priority="113">
      <formula>AND(Y$9&gt;=14/24,Y$9&lt;20/24)</formula>
    </cfRule>
    <cfRule type="expression" dxfId="6864" priority="114">
      <formula>AND(Y$9&gt;=8/24,Y$9&lt;14/24)</formula>
    </cfRule>
    <cfRule type="expression" dxfId="6863" priority="115">
      <formula>Y$9&lt;8/24</formula>
    </cfRule>
  </conditionalFormatting>
  <conditionalFormatting sqref="B105:C105 B107:C112 B15:X40">
    <cfRule type="expression" dxfId="6862" priority="108">
      <formula>B$9&gt;=20/24</formula>
    </cfRule>
    <cfRule type="expression" dxfId="6861" priority="109">
      <formula>AND(B$9&gt;=14/24,B$9&lt;20/24)</formula>
    </cfRule>
    <cfRule type="expression" dxfId="6860" priority="110">
      <formula>AND(B$9&gt;=8/24,B$9&lt;14/24)</formula>
    </cfRule>
    <cfRule type="expression" dxfId="6859" priority="111">
      <formula>B$9&lt;8/24</formula>
    </cfRule>
  </conditionalFormatting>
  <conditionalFormatting sqref="B43:S43">
    <cfRule type="expression" dxfId="6858" priority="104">
      <formula>B$9&gt;=20/24</formula>
    </cfRule>
    <cfRule type="expression" dxfId="6857" priority="105">
      <formula>AND(B$9&gt;=14/24,B$9&lt;20/24)</formula>
    </cfRule>
    <cfRule type="expression" dxfId="6856" priority="106">
      <formula>AND(B$9&gt;=8/24,B$9&lt;14/24)</formula>
    </cfRule>
    <cfRule type="expression" dxfId="6855" priority="107">
      <formula>B$9&lt;8/24</formula>
    </cfRule>
  </conditionalFormatting>
  <conditionalFormatting sqref="B43:S43 B15:X40">
    <cfRule type="expression" dxfId="6854" priority="103">
      <formula>B15&gt;$AG15</formula>
    </cfRule>
  </conditionalFormatting>
  <conditionalFormatting sqref="B95:D95">
    <cfRule type="expression" dxfId="6853" priority="99">
      <formula>B$9&gt;=20/24</formula>
    </cfRule>
    <cfRule type="expression" dxfId="6852" priority="100">
      <formula>AND(B$9&gt;=14/24,B$9&lt;20/24)</formula>
    </cfRule>
    <cfRule type="expression" dxfId="6851" priority="101">
      <formula>AND(B$9&gt;=8/24,B$9&lt;14/24)</formula>
    </cfRule>
    <cfRule type="expression" dxfId="6850" priority="102">
      <formula>B$9&lt;8/24</formula>
    </cfRule>
  </conditionalFormatting>
  <conditionalFormatting sqref="B50:D51 B67:D67">
    <cfRule type="expression" dxfId="6849" priority="95">
      <formula>B$9&gt;=20/24</formula>
    </cfRule>
    <cfRule type="expression" dxfId="6848" priority="96">
      <formula>AND(B$9&gt;=14/24,B$9&lt;20/24)</formula>
    </cfRule>
    <cfRule type="expression" dxfId="6847" priority="97">
      <formula>AND(B$9&gt;=8/24,B$9&lt;14/24)</formula>
    </cfRule>
    <cfRule type="expression" dxfId="6846" priority="98">
      <formula>B$9&lt;8/24</formula>
    </cfRule>
  </conditionalFormatting>
  <conditionalFormatting sqref="B49:D49">
    <cfRule type="expression" dxfId="6845" priority="91">
      <formula>B$9&gt;=20/24</formula>
    </cfRule>
    <cfRule type="expression" dxfId="6844" priority="92">
      <formula>AND(B$9&gt;=14/24,B$9&lt;20/24)</formula>
    </cfRule>
    <cfRule type="expression" dxfId="6843" priority="93">
      <formula>AND(B$9&gt;=8/24,B$9&lt;14/24)</formula>
    </cfRule>
    <cfRule type="expression" dxfId="6842" priority="94">
      <formula>B$9&lt;8/24</formula>
    </cfRule>
  </conditionalFormatting>
  <conditionalFormatting sqref="B49:D51">
    <cfRule type="expression" dxfId="6841" priority="90">
      <formula>B49&gt;$AG49</formula>
    </cfRule>
  </conditionalFormatting>
  <conditionalFormatting sqref="B82:C82 B96:D102 B92:W92 B79:AF81 B68:D72 B63:S65 E70:W72 X71:AF72">
    <cfRule type="expression" dxfId="6840" priority="86">
      <formula>B$9&gt;=20/24</formula>
    </cfRule>
    <cfRule type="expression" dxfId="6839" priority="87">
      <formula>AND(B$9&gt;=14/24,B$9&lt;20/24)</formula>
    </cfRule>
    <cfRule type="expression" dxfId="6838" priority="88">
      <formula>AND(B$9&gt;=8/24,B$9&lt;14/24)</formula>
    </cfRule>
    <cfRule type="expression" dxfId="6837" priority="89">
      <formula>B$9&lt;8/24</formula>
    </cfRule>
  </conditionalFormatting>
  <conditionalFormatting sqref="B52:L53 B63:S65">
    <cfRule type="expression" dxfId="6836" priority="85">
      <formula>B52&gt;$AG52</formula>
    </cfRule>
  </conditionalFormatting>
  <conditionalFormatting sqref="B54:R54">
    <cfRule type="expression" dxfId="6835" priority="81">
      <formula>B$9&gt;=20/24</formula>
    </cfRule>
    <cfRule type="expression" dxfId="6834" priority="82">
      <formula>AND(B$9&gt;=14/24,B$9&lt;20/24)</formula>
    </cfRule>
    <cfRule type="expression" dxfId="6833" priority="83">
      <formula>AND(B$9&gt;=8/24,B$9&lt;14/24)</formula>
    </cfRule>
    <cfRule type="expression" dxfId="6832" priority="84">
      <formula>B$9&lt;8/24</formula>
    </cfRule>
  </conditionalFormatting>
  <conditionalFormatting sqref="B54:R54">
    <cfRule type="expression" dxfId="6831" priority="80">
      <formula>B54&gt;$AG54</formula>
    </cfRule>
  </conditionalFormatting>
  <conditionalFormatting sqref="B84 B93">
    <cfRule type="expression" dxfId="6830" priority="76">
      <formula>B$9&gt;=20/24</formula>
    </cfRule>
    <cfRule type="expression" dxfId="6829" priority="77">
      <formula>AND(B$9&gt;=14/24,B$9&lt;20/24)</formula>
    </cfRule>
    <cfRule type="expression" dxfId="6828" priority="78">
      <formula>AND(B$9&gt;=8/24,B$9&lt;14/24)</formula>
    </cfRule>
    <cfRule type="expression" dxfId="6827" priority="79">
      <formula>B$9&lt;8/24</formula>
    </cfRule>
  </conditionalFormatting>
  <conditionalFormatting sqref="B42:X42">
    <cfRule type="expression" dxfId="6826" priority="72">
      <formula>B$9&gt;=20/24</formula>
    </cfRule>
    <cfRule type="expression" dxfId="6825" priority="73">
      <formula>AND(B$9&gt;=14/24,B$9&lt;20/24)</formula>
    </cfRule>
    <cfRule type="expression" dxfId="6824" priority="74">
      <formula>AND(B$9&gt;=8/24,B$9&lt;14/24)</formula>
    </cfRule>
    <cfRule type="expression" dxfId="6823" priority="75">
      <formula>B$9&lt;8/24</formula>
    </cfRule>
  </conditionalFormatting>
  <conditionalFormatting sqref="B42:X42">
    <cfRule type="expression" dxfId="6822" priority="71">
      <formula>B42&gt;$AG42</formula>
    </cfRule>
  </conditionalFormatting>
  <conditionalFormatting sqref="B66:AF66 B83:AF83 B85:AF85 B94:AF94">
    <cfRule type="expression" dxfId="6821" priority="67">
      <formula>B$9&gt;=20/24</formula>
    </cfRule>
    <cfRule type="expression" dxfId="6820" priority="68">
      <formula>AND(B$9&gt;=14/24,B$9&lt;20/24)</formula>
    </cfRule>
    <cfRule type="expression" dxfId="6819" priority="69">
      <formula>AND(B$9&gt;=8/24,B$9&lt;14/24)</formula>
    </cfRule>
    <cfRule type="expression" dxfId="6818" priority="70">
      <formula>B$9&lt;8/24</formula>
    </cfRule>
  </conditionalFormatting>
  <conditionalFormatting sqref="B44:AF44 B61:AF62 B66:AF66">
    <cfRule type="expression" dxfId="6817" priority="66">
      <formula>B44&gt;$AG44</formula>
    </cfRule>
  </conditionalFormatting>
  <conditionalFormatting sqref="B78:AF78">
    <cfRule type="expression" dxfId="6816" priority="62">
      <formula>B$9&gt;=20/24</formula>
    </cfRule>
    <cfRule type="expression" dxfId="6815" priority="63">
      <formula>AND(B$9&gt;=14/24,B$9&lt;20/24)</formula>
    </cfRule>
    <cfRule type="expression" dxfId="6814" priority="64">
      <formula>AND(B$9&gt;=8/24,B$9&lt;14/24)</formula>
    </cfRule>
    <cfRule type="expression" dxfId="6813" priority="65">
      <formula>B$9&lt;8/24</formula>
    </cfRule>
  </conditionalFormatting>
  <conditionalFormatting sqref="B87:W91">
    <cfRule type="expression" dxfId="6812" priority="58">
      <formula>B$9&gt;=20/24</formula>
    </cfRule>
    <cfRule type="expression" dxfId="6811" priority="59">
      <formula>AND(B$9&gt;=14/24,B$9&lt;20/24)</formula>
    </cfRule>
    <cfRule type="expression" dxfId="6810" priority="60">
      <formula>AND(B$9&gt;=8/24,B$9&lt;14/24)</formula>
    </cfRule>
    <cfRule type="expression" dxfId="6809" priority="61">
      <formula>B$9&lt;8/24</formula>
    </cfRule>
  </conditionalFormatting>
  <conditionalFormatting sqref="B45:D47">
    <cfRule type="expression" dxfId="6808" priority="54">
      <formula>B$9&gt;=20/24</formula>
    </cfRule>
    <cfRule type="expression" dxfId="6807" priority="55">
      <formula>AND(B$9&gt;=14/24,B$9&lt;20/24)</formula>
    </cfRule>
    <cfRule type="expression" dxfId="6806" priority="56">
      <formula>AND(B$9&gt;=8/24,B$9&lt;14/24)</formula>
    </cfRule>
    <cfRule type="expression" dxfId="6805" priority="57">
      <formula>B$9&lt;8/24</formula>
    </cfRule>
  </conditionalFormatting>
  <conditionalFormatting sqref="B45:D47">
    <cfRule type="expression" dxfId="6804" priority="53">
      <formula>B45&gt;$AG45</formula>
    </cfRule>
  </conditionalFormatting>
  <conditionalFormatting sqref="B48:AF48">
    <cfRule type="expression" dxfId="6803" priority="49">
      <formula>B$9&gt;=20/24</formula>
    </cfRule>
    <cfRule type="expression" dxfId="6802" priority="50">
      <formula>AND(B$9&gt;=14/24,B$9&lt;20/24)</formula>
    </cfRule>
    <cfRule type="expression" dxfId="6801" priority="51">
      <formula>AND(B$9&gt;=8/24,B$9&lt;14/24)</formula>
    </cfRule>
    <cfRule type="expression" dxfId="6800" priority="52">
      <formula>B$9&lt;8/24</formula>
    </cfRule>
  </conditionalFormatting>
  <conditionalFormatting sqref="B48:AF48">
    <cfRule type="expression" dxfId="6799" priority="48">
      <formula>B48&gt;$AG48</formula>
    </cfRule>
  </conditionalFormatting>
  <conditionalFormatting sqref="B103">
    <cfRule type="expression" dxfId="6798" priority="44">
      <formula>B$9&gt;=20/24</formula>
    </cfRule>
    <cfRule type="expression" dxfId="6797" priority="45">
      <formula>AND(B$9&gt;=14/24,B$9&lt;20/24)</formula>
    </cfRule>
    <cfRule type="expression" dxfId="6796" priority="46">
      <formula>AND(B$9&gt;=8/24,B$9&lt;14/24)</formula>
    </cfRule>
    <cfRule type="expression" dxfId="6795" priority="47">
      <formula>B$9&lt;8/24</formula>
    </cfRule>
  </conditionalFormatting>
  <conditionalFormatting sqref="B106:C106">
    <cfRule type="expression" dxfId="6794" priority="32">
      <formula>B$9&gt;=20/24</formula>
    </cfRule>
    <cfRule type="expression" dxfId="6793" priority="33">
      <formula>AND(B$9&gt;=14/24,B$9&lt;20/24)</formula>
    </cfRule>
    <cfRule type="expression" dxfId="6792" priority="34">
      <formula>AND(B$9&gt;=8/24,B$9&lt;14/24)</formula>
    </cfRule>
    <cfRule type="expression" dxfId="6791" priority="35">
      <formula>B$9&lt;8/24</formula>
    </cfRule>
  </conditionalFormatting>
  <conditionalFormatting sqref="B55:AF60">
    <cfRule type="expression" dxfId="6790" priority="28">
      <formula>B$9&gt;=20/24</formula>
    </cfRule>
    <cfRule type="expression" dxfId="6789" priority="29">
      <formula>AND(B$9&gt;=14/24,B$9&lt;20/24)</formula>
    </cfRule>
    <cfRule type="expression" dxfId="6788" priority="30">
      <formula>AND(B$9&gt;=8/24,B$9&lt;14/24)</formula>
    </cfRule>
    <cfRule type="expression" dxfId="6787" priority="31">
      <formula>B$9&lt;8/24</formula>
    </cfRule>
  </conditionalFormatting>
  <conditionalFormatting sqref="B55:AF60">
    <cfRule type="expression" dxfId="6786" priority="27">
      <formula>B55&gt;$AG55</formula>
    </cfRule>
  </conditionalFormatting>
  <conditionalFormatting sqref="B41:X41 B12:X14">
    <cfRule type="expression" dxfId="6785" priority="26">
      <formula>B12&gt;$AG12</formula>
    </cfRule>
  </conditionalFormatting>
  <conditionalFormatting sqref="B11:X11">
    <cfRule type="expression" dxfId="6784" priority="22">
      <formula>B$9&gt;=20/24</formula>
    </cfRule>
    <cfRule type="expression" dxfId="6783" priority="23">
      <formula>AND(B$9&gt;=14/24,B$9&lt;20/24)</formula>
    </cfRule>
    <cfRule type="expression" dxfId="6782" priority="24">
      <formula>AND(B$9&gt;=8/24,B$9&lt;14/24)</formula>
    </cfRule>
    <cfRule type="expression" dxfId="6781" priority="25">
      <formula>B$9&lt;8/24</formula>
    </cfRule>
  </conditionalFormatting>
  <conditionalFormatting sqref="B11:X11">
    <cfRule type="expression" dxfId="6780" priority="21">
      <formula>B11&gt;$AG11</formula>
    </cfRule>
  </conditionalFormatting>
  <conditionalFormatting sqref="B12:X14">
    <cfRule type="expression" dxfId="6779" priority="17">
      <formula>B$9&gt;=20/24</formula>
    </cfRule>
    <cfRule type="expression" dxfId="6778" priority="18">
      <formula>AND(B$9&gt;=14/24,B$9&lt;20/24)</formula>
    </cfRule>
    <cfRule type="expression" dxfId="6777" priority="19">
      <formula>AND(B$9&gt;=8/24,B$9&lt;14/24)</formula>
    </cfRule>
    <cfRule type="expression" dxfId="6776" priority="20">
      <formula>B$9&lt;8/24</formula>
    </cfRule>
  </conditionalFormatting>
  <conditionalFormatting sqref="B41:X41">
    <cfRule type="expression" dxfId="6775" priority="13">
      <formula>B$9&gt;=20/24</formula>
    </cfRule>
    <cfRule type="expression" dxfId="6774" priority="14">
      <formula>AND(B$9&gt;=14/24,B$9&lt;20/24)</formula>
    </cfRule>
    <cfRule type="expression" dxfId="6773" priority="15">
      <formula>AND(B$9&gt;=8/24,B$9&lt;14/24)</formula>
    </cfRule>
    <cfRule type="expression" dxfId="6772" priority="16">
      <formula>B$9&lt;8/24</formula>
    </cfRule>
  </conditionalFormatting>
  <conditionalFormatting sqref="B73:AF77">
    <cfRule type="expression" dxfId="6771" priority="9">
      <formula>B$9&gt;=20/24</formula>
    </cfRule>
    <cfRule type="expression" dxfId="6770" priority="10">
      <formula>AND(B$9&gt;=14/24,B$9&lt;20/24)</formula>
    </cfRule>
    <cfRule type="expression" dxfId="6769" priority="11">
      <formula>AND(B$9&gt;=8/24,B$9&lt;14/24)</formula>
    </cfRule>
    <cfRule type="expression" dxfId="6768" priority="12">
      <formula>B$9&lt;8/24</formula>
    </cfRule>
  </conditionalFormatting>
  <conditionalFormatting sqref="AL74:AN74 AL80:AN80 AN75:AN76">
    <cfRule type="expression" dxfId="6767" priority="5">
      <formula>AL$9&gt;=20/24</formula>
    </cfRule>
    <cfRule type="expression" dxfId="6766" priority="6">
      <formula>AND(AL$9&gt;=14/24,AL$9&lt;20/24)</formula>
    </cfRule>
    <cfRule type="expression" dxfId="6765" priority="7">
      <formula>AND(AL$9&gt;=8/24,AL$9&lt;14/24)</formula>
    </cfRule>
    <cfRule type="expression" dxfId="6764" priority="8">
      <formula>AL$9&lt;8/24</formula>
    </cfRule>
  </conditionalFormatting>
  <conditionalFormatting sqref="AN77:AN78">
    <cfRule type="expression" dxfId="6763" priority="1">
      <formula>AN$9&gt;=20/24</formula>
    </cfRule>
    <cfRule type="expression" dxfId="6762" priority="2">
      <formula>AND(AN$9&gt;=14/24,AN$9&lt;20/24)</formula>
    </cfRule>
    <cfRule type="expression" dxfId="6761" priority="3">
      <formula>AND(AN$9&gt;=8/24,AN$9&lt;14/24)</formula>
    </cfRule>
    <cfRule type="expression" dxfId="6760" priority="4">
      <formula>AN$9&lt;8/24</formula>
    </cfRule>
  </conditionalFormatting>
  <conditionalFormatting sqref="AL75:AM79">
    <cfRule type="expression" dxfId="6759" priority="258">
      <formula>AJ$9&gt;=20/24</formula>
    </cfRule>
    <cfRule type="expression" dxfId="6758" priority="259">
      <formula>AND(AJ$9&gt;=14/24,AJ$9&lt;20/24)</formula>
    </cfRule>
    <cfRule type="expression" dxfId="6757" priority="260">
      <formula>AND(AJ$9&gt;=8/24,AJ$9&lt;14/24)</formula>
    </cfRule>
    <cfRule type="expression" dxfId="6756" priority="261">
      <formula>AJ$9&lt;8/24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4" id="{5EC407D4-B0F4-49B3-B619-26094C3EBD1B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A14B50CF-2BCC-4240-83D9-AA9E0D3F85D8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D7939BF4-90B5-4D46-97CE-F14906F729E3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8E78A288-647B-4F89-8DA9-DA01813D7F8E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30" id="{08DF1D01-0CD2-4A0A-99E2-1DF4AD27D10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BD55B6CF-1913-4961-A11B-06B1B62BE26C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CFD380E0-298E-4B55-982F-0FF8496A50D9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7F49B344-916F-474B-9E09-070750522712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40" id="{DCBBFDDE-3C7E-4BF1-A558-4FB98CA5F13A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A5C680C4-4157-4CAC-B64F-0C4053737B05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" id="{5289F4A0-98CA-486E-9E20-BB9F315DD841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" id="{0ECDD992-5787-4D0B-9CE5-C51520555067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6" id="{4027DBB3-BFFA-4E1D-8AE1-CEABFE140F59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FE93D5A0-9C50-48EA-9461-8693438ED5A7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DDD32A64-9472-4B8D-87B9-94B5F6C9501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C9786DAB-5831-48DA-AAB3-3C9BE25BEE01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J274"/>
  <sheetViews>
    <sheetView workbookViewId="0">
      <pane ySplit="10" topLeftCell="A49" activePane="bottomLeft" state="frozen"/>
      <selection activeCell="U80" sqref="U80"/>
      <selection pane="bottomLeft" activeCell="G69" sqref="G6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/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str">
        <f ca="1">"2079/"&amp;"09/"&amp;INT(MID(CELL("filename",D6),FIND("]",CELL("filename",D6))+1,200))</f>
        <v>2079/09/11</v>
      </c>
      <c r="C4" s="771"/>
      <c r="D4" s="771"/>
      <c r="E4" s="772" t="str">
        <f ca="1">"2079/"&amp;"09/"&amp;INT(MID(CELL("filename",G6),FIND("]",CELL("filename",G6))+1,200))</f>
        <v>2079/09/11</v>
      </c>
      <c r="F4" s="772"/>
      <c r="G4" s="772"/>
      <c r="H4" s="772" t="str">
        <f ca="1">TEXT(E4,"dddd")</f>
        <v>Monday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484</v>
      </c>
      <c r="C5" s="30">
        <f t="shared" si="0"/>
        <v>484</v>
      </c>
      <c r="D5" s="30">
        <f t="shared" si="0"/>
        <v>454</v>
      </c>
      <c r="E5" s="30">
        <f t="shared" si="0"/>
        <v>452</v>
      </c>
      <c r="F5" s="30">
        <f t="shared" si="0"/>
        <v>450</v>
      </c>
      <c r="G5" s="30">
        <f t="shared" si="0"/>
        <v>474</v>
      </c>
      <c r="H5" s="30">
        <f t="shared" si="0"/>
        <v>443.8</v>
      </c>
      <c r="I5" s="30">
        <f t="shared" si="0"/>
        <v>437.8</v>
      </c>
      <c r="J5" s="30">
        <f t="shared" si="0"/>
        <v>398</v>
      </c>
      <c r="K5" s="30">
        <f t="shared" si="0"/>
        <v>357.7</v>
      </c>
      <c r="L5" s="30">
        <f t="shared" si="0"/>
        <v>332.90000000000003</v>
      </c>
      <c r="M5" s="30">
        <f t="shared" si="0"/>
        <v>355</v>
      </c>
      <c r="N5" s="30">
        <f t="shared" si="0"/>
        <v>391.6</v>
      </c>
      <c r="O5" s="30">
        <f t="shared" si="0"/>
        <v>437.5</v>
      </c>
      <c r="P5" s="30">
        <f t="shared" si="0"/>
        <v>497.59999999999997</v>
      </c>
      <c r="Q5" s="30">
        <f t="shared" si="0"/>
        <v>499.40000000000003</v>
      </c>
      <c r="R5" s="30">
        <f t="shared" si="0"/>
        <v>515.70000000000005</v>
      </c>
      <c r="S5" s="30">
        <f t="shared" si="0"/>
        <v>509.9</v>
      </c>
      <c r="T5" s="30">
        <f t="shared" si="0"/>
        <v>494.2</v>
      </c>
      <c r="U5" s="30">
        <f t="shared" si="0"/>
        <v>466.02000000000004</v>
      </c>
      <c r="V5" s="30">
        <f t="shared" si="0"/>
        <v>434.8</v>
      </c>
      <c r="W5" s="30">
        <f t="shared" si="0"/>
        <v>455.29999999999995</v>
      </c>
      <c r="X5" s="30">
        <f t="shared" si="0"/>
        <v>319.7</v>
      </c>
      <c r="Y5" s="30">
        <f t="shared" si="0"/>
        <v>246.29999999999998</v>
      </c>
      <c r="Z5" s="30">
        <f t="shared" si="0"/>
        <v>246.29999999999998</v>
      </c>
      <c r="AA5" s="30">
        <f t="shared" si="0"/>
        <v>386.3</v>
      </c>
      <c r="AB5" s="30">
        <f t="shared" si="0"/>
        <v>409.2</v>
      </c>
      <c r="AC5" s="30">
        <f t="shared" si="0"/>
        <v>407.40000000000003</v>
      </c>
      <c r="AD5" s="30">
        <f t="shared" si="0"/>
        <v>421.1</v>
      </c>
      <c r="AE5" s="30">
        <f t="shared" si="0"/>
        <v>414.1</v>
      </c>
      <c r="AF5" s="30">
        <f>B78</f>
        <v>481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1501MW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Load=1023</v>
      </c>
      <c r="B7" s="35">
        <f t="shared" ref="B7:AF7" si="1">B85</f>
        <v>1088.3400000000001</v>
      </c>
      <c r="C7" s="35">
        <f t="shared" si="1"/>
        <v>1069.3400000000001</v>
      </c>
      <c r="D7" s="35">
        <f t="shared" si="1"/>
        <v>1069.3400000000001</v>
      </c>
      <c r="E7" s="35">
        <f t="shared" si="1"/>
        <v>1025.1400000000001</v>
      </c>
      <c r="F7" s="35">
        <f t="shared" si="1"/>
        <v>1023.1400000000001</v>
      </c>
      <c r="G7" s="35">
        <f t="shared" si="1"/>
        <v>1076.1399999999999</v>
      </c>
      <c r="H7" s="35">
        <f t="shared" si="1"/>
        <v>1137.1399999999999</v>
      </c>
      <c r="I7" s="35">
        <f t="shared" si="1"/>
        <v>1235.24</v>
      </c>
      <c r="J7" s="35">
        <f t="shared" si="1"/>
        <v>1290.54</v>
      </c>
      <c r="K7" s="35">
        <f t="shared" si="1"/>
        <v>1354.1399999999999</v>
      </c>
      <c r="L7" s="35">
        <f t="shared" si="1"/>
        <v>1501.44</v>
      </c>
      <c r="M7" s="35">
        <f t="shared" si="1"/>
        <v>1476.8400000000001</v>
      </c>
      <c r="N7" s="35">
        <f>N85</f>
        <v>1366.1399999999999</v>
      </c>
      <c r="O7" s="35">
        <f t="shared" si="1"/>
        <v>1315.6399999999999</v>
      </c>
      <c r="P7" s="35">
        <f t="shared" si="1"/>
        <v>1281.6399999999999</v>
      </c>
      <c r="Q7" s="35">
        <f t="shared" si="1"/>
        <v>1321.74</v>
      </c>
      <c r="R7" s="35">
        <f t="shared" si="1"/>
        <v>1300.24</v>
      </c>
      <c r="S7" s="35">
        <f t="shared" si="1"/>
        <v>1335.14</v>
      </c>
      <c r="T7" s="35">
        <f t="shared" si="1"/>
        <v>1346.1399999999999</v>
      </c>
      <c r="U7" s="35">
        <f t="shared" si="1"/>
        <v>1330.24</v>
      </c>
      <c r="V7" s="35">
        <f t="shared" si="1"/>
        <v>1333.16</v>
      </c>
      <c r="W7" s="35">
        <f t="shared" si="1"/>
        <v>1426.74</v>
      </c>
      <c r="X7" s="35">
        <f t="shared" si="1"/>
        <v>1579.34</v>
      </c>
      <c r="Y7" s="35">
        <f t="shared" si="1"/>
        <v>1650.84</v>
      </c>
      <c r="Z7" s="35">
        <f t="shared" si="1"/>
        <v>1615.04</v>
      </c>
      <c r="AA7" s="35">
        <f t="shared" si="1"/>
        <v>1423.24</v>
      </c>
      <c r="AB7" s="35">
        <f t="shared" si="1"/>
        <v>1349.04</v>
      </c>
      <c r="AC7" s="35">
        <f t="shared" si="1"/>
        <v>1346.04</v>
      </c>
      <c r="AD7" s="35">
        <f t="shared" si="1"/>
        <v>1335.14</v>
      </c>
      <c r="AE7" s="35">
        <f t="shared" si="1"/>
        <v>1230.8399999999999</v>
      </c>
      <c r="AF7" s="35">
        <f t="shared" si="1"/>
        <v>1090.1399999999999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18.399999999999999</v>
      </c>
      <c r="C11" s="45">
        <v>18.399999999999999</v>
      </c>
      <c r="D11" s="45">
        <v>18.399999999999999</v>
      </c>
      <c r="E11" s="45">
        <v>18.399999999999999</v>
      </c>
      <c r="F11" s="45">
        <v>18.399999999999999</v>
      </c>
      <c r="G11" s="45">
        <v>18.399999999999999</v>
      </c>
      <c r="H11" s="45">
        <v>18.399999999999999</v>
      </c>
      <c r="I11" s="45">
        <v>18.399999999999999</v>
      </c>
      <c r="J11" s="45">
        <v>18.399999999999999</v>
      </c>
      <c r="K11" s="45">
        <v>18.399999999999999</v>
      </c>
      <c r="L11" s="45">
        <v>18.399999999999999</v>
      </c>
      <c r="M11" s="45">
        <v>18.399999999999999</v>
      </c>
      <c r="N11" s="45">
        <v>18.399999999999999</v>
      </c>
      <c r="O11" s="45">
        <v>18.399999999999999</v>
      </c>
      <c r="P11" s="45">
        <v>18.399999999999999</v>
      </c>
      <c r="Q11" s="45">
        <v>18.399999999999999</v>
      </c>
      <c r="R11" s="45">
        <v>18.399999999999999</v>
      </c>
      <c r="S11" s="45">
        <v>18.399999999999999</v>
      </c>
      <c r="T11" s="45">
        <v>18.399999999999999</v>
      </c>
      <c r="U11" s="45">
        <v>18.399999999999999</v>
      </c>
      <c r="V11" s="45">
        <v>18.399999999999999</v>
      </c>
      <c r="W11" s="45">
        <v>18.399999999999999</v>
      </c>
      <c r="X11" s="45">
        <v>18.399999999999999</v>
      </c>
      <c r="Y11" s="45">
        <v>18.399999999999999</v>
      </c>
      <c r="Z11" s="45">
        <v>18.399999999999999</v>
      </c>
      <c r="AA11" s="45">
        <v>18.399999999999999</v>
      </c>
      <c r="AB11" s="45">
        <v>17</v>
      </c>
      <c r="AC11" s="45">
        <v>19.5</v>
      </c>
      <c r="AD11" s="45">
        <v>19.5</v>
      </c>
      <c r="AE11" s="45">
        <v>19.2</v>
      </c>
      <c r="AF11" s="45">
        <v>19.100000000000001</v>
      </c>
      <c r="AG11" s="46">
        <v>52.4</v>
      </c>
      <c r="AH11" s="47">
        <f t="shared" ref="AH11:AH74" si="2">MAX(B11:AF11)</f>
        <v>19.5</v>
      </c>
      <c r="AI11" s="48">
        <f t="shared" ref="AI11:AI74" si="3">MIN(B11:AF11)</f>
        <v>17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35</v>
      </c>
      <c r="C12" s="45">
        <v>35</v>
      </c>
      <c r="D12" s="45">
        <v>35</v>
      </c>
      <c r="E12" s="45">
        <v>35</v>
      </c>
      <c r="F12" s="45">
        <v>35</v>
      </c>
      <c r="G12" s="45">
        <v>35</v>
      </c>
      <c r="H12" s="45">
        <v>35</v>
      </c>
      <c r="I12" s="45">
        <v>35</v>
      </c>
      <c r="J12" s="45">
        <v>35</v>
      </c>
      <c r="K12" s="45">
        <v>35</v>
      </c>
      <c r="L12" s="45">
        <v>35</v>
      </c>
      <c r="M12" s="45">
        <v>35</v>
      </c>
      <c r="N12" s="45">
        <v>35</v>
      </c>
      <c r="O12" s="45">
        <v>35</v>
      </c>
      <c r="P12" s="45">
        <v>35</v>
      </c>
      <c r="Q12" s="45">
        <v>36</v>
      </c>
      <c r="R12" s="45">
        <v>36</v>
      </c>
      <c r="S12" s="45">
        <v>35</v>
      </c>
      <c r="T12" s="45">
        <v>35</v>
      </c>
      <c r="U12" s="45">
        <v>35</v>
      </c>
      <c r="V12" s="45">
        <v>35</v>
      </c>
      <c r="W12" s="45">
        <v>35</v>
      </c>
      <c r="X12" s="45">
        <v>35</v>
      </c>
      <c r="Y12" s="45">
        <v>35</v>
      </c>
      <c r="Z12" s="45">
        <v>35</v>
      </c>
      <c r="AA12" s="45">
        <v>35</v>
      </c>
      <c r="AB12" s="45">
        <v>34.799999999999997</v>
      </c>
      <c r="AC12" s="45">
        <v>34.9</v>
      </c>
      <c r="AD12" s="45">
        <v>33.4</v>
      </c>
      <c r="AE12" s="45">
        <v>34.4</v>
      </c>
      <c r="AF12" s="45">
        <v>33.5</v>
      </c>
      <c r="AG12" s="50">
        <v>50</v>
      </c>
      <c r="AH12" s="47">
        <f t="shared" si="2"/>
        <v>36</v>
      </c>
      <c r="AI12" s="48">
        <f t="shared" si="3"/>
        <v>33.4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18.7</v>
      </c>
      <c r="C13" s="45">
        <v>18.7</v>
      </c>
      <c r="D13" s="45">
        <v>18.7</v>
      </c>
      <c r="E13" s="45">
        <v>18.7</v>
      </c>
      <c r="F13" s="45">
        <v>18.7</v>
      </c>
      <c r="G13" s="45">
        <v>18.7</v>
      </c>
      <c r="H13" s="45">
        <v>18.7</v>
      </c>
      <c r="I13" s="45">
        <v>18.7</v>
      </c>
      <c r="J13" s="45">
        <v>18.7</v>
      </c>
      <c r="K13" s="45">
        <v>18.7</v>
      </c>
      <c r="L13" s="45">
        <v>18.7</v>
      </c>
      <c r="M13" s="45">
        <v>18.7</v>
      </c>
      <c r="N13" s="45">
        <v>18.7</v>
      </c>
      <c r="O13" s="45">
        <v>18.7</v>
      </c>
      <c r="P13" s="45">
        <v>18.7</v>
      </c>
      <c r="Q13" s="45">
        <v>18.7</v>
      </c>
      <c r="R13" s="45">
        <v>18.7</v>
      </c>
      <c r="S13" s="45">
        <v>18.7</v>
      </c>
      <c r="T13" s="45">
        <v>18.7</v>
      </c>
      <c r="U13" s="45">
        <v>18.7</v>
      </c>
      <c r="V13" s="45">
        <v>18.7</v>
      </c>
      <c r="W13" s="45">
        <v>18.7</v>
      </c>
      <c r="X13" s="45">
        <v>18.7</v>
      </c>
      <c r="Y13" s="45">
        <v>18.7</v>
      </c>
      <c r="Z13" s="45">
        <v>18.7</v>
      </c>
      <c r="AA13" s="45">
        <v>18.7</v>
      </c>
      <c r="AB13" s="45">
        <v>20.8</v>
      </c>
      <c r="AC13" s="45">
        <v>20.9</v>
      </c>
      <c r="AD13" s="45">
        <v>21.9</v>
      </c>
      <c r="AE13" s="45">
        <v>21.9</v>
      </c>
      <c r="AF13" s="45">
        <v>20</v>
      </c>
      <c r="AG13" s="50">
        <v>45</v>
      </c>
      <c r="AH13" s="47">
        <f t="shared" si="2"/>
        <v>21.9</v>
      </c>
      <c r="AI13" s="48">
        <f t="shared" si="3"/>
        <v>18.7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10</v>
      </c>
      <c r="C14" s="45">
        <v>10</v>
      </c>
      <c r="D14" s="45">
        <v>10</v>
      </c>
      <c r="E14" s="45">
        <v>10</v>
      </c>
      <c r="F14" s="45">
        <v>10</v>
      </c>
      <c r="G14" s="45">
        <v>10</v>
      </c>
      <c r="H14" s="45">
        <v>10</v>
      </c>
      <c r="I14" s="45">
        <v>10</v>
      </c>
      <c r="J14" s="45">
        <v>10</v>
      </c>
      <c r="K14" s="45">
        <v>10</v>
      </c>
      <c r="L14" s="45">
        <v>10</v>
      </c>
      <c r="M14" s="45">
        <v>9</v>
      </c>
      <c r="N14" s="45">
        <v>8</v>
      </c>
      <c r="O14" s="45">
        <v>8</v>
      </c>
      <c r="P14" s="45">
        <v>8</v>
      </c>
      <c r="Q14" s="45">
        <v>8</v>
      </c>
      <c r="R14" s="45">
        <v>8</v>
      </c>
      <c r="S14" s="45">
        <v>8</v>
      </c>
      <c r="T14" s="45">
        <v>8</v>
      </c>
      <c r="U14" s="45">
        <v>8</v>
      </c>
      <c r="V14" s="45">
        <v>8</v>
      </c>
      <c r="W14" s="45">
        <v>8</v>
      </c>
      <c r="X14" s="45">
        <v>8</v>
      </c>
      <c r="Y14" s="45">
        <v>8</v>
      </c>
      <c r="Z14" s="45">
        <v>8</v>
      </c>
      <c r="AA14" s="45">
        <v>8</v>
      </c>
      <c r="AB14" s="45">
        <v>8.5</v>
      </c>
      <c r="AC14" s="45">
        <v>8.5</v>
      </c>
      <c r="AD14" s="45">
        <v>8.5</v>
      </c>
      <c r="AE14" s="45">
        <v>8.5</v>
      </c>
      <c r="AF14" s="45">
        <v>8.5</v>
      </c>
      <c r="AG14" s="50">
        <v>42</v>
      </c>
      <c r="AH14" s="47">
        <f t="shared" si="2"/>
        <v>10</v>
      </c>
      <c r="AI14" s="48">
        <f t="shared" si="3"/>
        <v>8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13</v>
      </c>
      <c r="C15" s="45">
        <v>13</v>
      </c>
      <c r="D15" s="45">
        <v>13</v>
      </c>
      <c r="E15" s="45">
        <v>13</v>
      </c>
      <c r="F15" s="45">
        <v>13</v>
      </c>
      <c r="G15" s="45">
        <v>13</v>
      </c>
      <c r="H15" s="45">
        <v>13</v>
      </c>
      <c r="I15" s="45">
        <v>13</v>
      </c>
      <c r="J15" s="45">
        <v>13</v>
      </c>
      <c r="K15" s="45">
        <v>13</v>
      </c>
      <c r="L15" s="45">
        <v>13</v>
      </c>
      <c r="M15" s="45">
        <v>13</v>
      </c>
      <c r="N15" s="45">
        <v>13</v>
      </c>
      <c r="O15" s="45">
        <v>13</v>
      </c>
      <c r="P15" s="45">
        <v>13</v>
      </c>
      <c r="Q15" s="45">
        <v>13</v>
      </c>
      <c r="R15" s="45">
        <v>13</v>
      </c>
      <c r="S15" s="45">
        <v>13</v>
      </c>
      <c r="T15" s="45">
        <v>13</v>
      </c>
      <c r="U15" s="45">
        <v>13</v>
      </c>
      <c r="V15" s="45">
        <v>13</v>
      </c>
      <c r="W15" s="45">
        <v>13</v>
      </c>
      <c r="X15" s="45">
        <v>13</v>
      </c>
      <c r="Y15" s="45">
        <v>13</v>
      </c>
      <c r="Z15" s="45">
        <v>13</v>
      </c>
      <c r="AA15" s="45">
        <v>13</v>
      </c>
      <c r="AB15" s="45">
        <v>13</v>
      </c>
      <c r="AC15" s="45">
        <v>13</v>
      </c>
      <c r="AD15" s="45">
        <v>13</v>
      </c>
      <c r="AE15" s="45">
        <v>13</v>
      </c>
      <c r="AF15" s="45">
        <v>13</v>
      </c>
      <c r="AG15" s="50">
        <v>36</v>
      </c>
      <c r="AH15" s="47">
        <f t="shared" si="2"/>
        <v>13</v>
      </c>
      <c r="AI15" s="48">
        <f t="shared" si="3"/>
        <v>13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9</v>
      </c>
      <c r="C16" s="45">
        <v>9</v>
      </c>
      <c r="D16" s="45">
        <v>9</v>
      </c>
      <c r="E16" s="45">
        <v>9</v>
      </c>
      <c r="F16" s="45">
        <v>9</v>
      </c>
      <c r="G16" s="45">
        <v>9</v>
      </c>
      <c r="H16" s="45">
        <v>9</v>
      </c>
      <c r="I16" s="45">
        <v>9</v>
      </c>
      <c r="J16" s="45">
        <v>9</v>
      </c>
      <c r="K16" s="45">
        <v>9</v>
      </c>
      <c r="L16" s="45">
        <v>9</v>
      </c>
      <c r="M16" s="45">
        <v>9</v>
      </c>
      <c r="N16" s="45">
        <v>9</v>
      </c>
      <c r="O16" s="45">
        <v>9</v>
      </c>
      <c r="P16" s="45">
        <v>9</v>
      </c>
      <c r="Q16" s="45">
        <v>9</v>
      </c>
      <c r="R16" s="45">
        <v>9</v>
      </c>
      <c r="S16" s="45">
        <v>9</v>
      </c>
      <c r="T16" s="45">
        <v>9</v>
      </c>
      <c r="U16" s="45">
        <v>9</v>
      </c>
      <c r="V16" s="45">
        <v>9</v>
      </c>
      <c r="W16" s="45">
        <v>9</v>
      </c>
      <c r="X16" s="45">
        <v>9</v>
      </c>
      <c r="Y16" s="45">
        <v>9</v>
      </c>
      <c r="Z16" s="45">
        <v>9</v>
      </c>
      <c r="AA16" s="45">
        <v>9</v>
      </c>
      <c r="AB16" s="45">
        <v>9</v>
      </c>
      <c r="AC16" s="45">
        <v>9</v>
      </c>
      <c r="AD16" s="45">
        <v>9</v>
      </c>
      <c r="AE16" s="45">
        <v>8.4</v>
      </c>
      <c r="AF16" s="45">
        <v>8.8000000000000007</v>
      </c>
      <c r="AG16" s="51">
        <v>30</v>
      </c>
      <c r="AH16" s="47">
        <f t="shared" si="2"/>
        <v>9</v>
      </c>
      <c r="AI16" s="48">
        <f t="shared" si="3"/>
        <v>8.4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8.4</v>
      </c>
      <c r="C17" s="45">
        <v>8.4</v>
      </c>
      <c r="D17" s="45">
        <v>8.4</v>
      </c>
      <c r="E17" s="45">
        <v>8.4</v>
      </c>
      <c r="F17" s="45">
        <v>8.4</v>
      </c>
      <c r="G17" s="45">
        <v>8.4</v>
      </c>
      <c r="H17" s="45">
        <v>8.4</v>
      </c>
      <c r="I17" s="45">
        <v>8.4</v>
      </c>
      <c r="J17" s="45">
        <v>8.4</v>
      </c>
      <c r="K17" s="45">
        <v>8.4</v>
      </c>
      <c r="L17" s="45">
        <v>8.4</v>
      </c>
      <c r="M17" s="45">
        <v>8.4</v>
      </c>
      <c r="N17" s="45">
        <v>8.4</v>
      </c>
      <c r="O17" s="45">
        <v>8.4</v>
      </c>
      <c r="P17" s="45">
        <v>8.4</v>
      </c>
      <c r="Q17" s="45">
        <v>8.4</v>
      </c>
      <c r="R17" s="45">
        <v>8.4</v>
      </c>
      <c r="S17" s="45">
        <v>8.4</v>
      </c>
      <c r="T17" s="45">
        <v>8.4</v>
      </c>
      <c r="U17" s="45">
        <v>8.4</v>
      </c>
      <c r="V17" s="45">
        <v>8.4</v>
      </c>
      <c r="W17" s="45">
        <v>8.4</v>
      </c>
      <c r="X17" s="45">
        <v>8.4</v>
      </c>
      <c r="Y17" s="45">
        <v>8.4</v>
      </c>
      <c r="Z17" s="45">
        <v>8.4</v>
      </c>
      <c r="AA17" s="45">
        <v>8.4</v>
      </c>
      <c r="AB17" s="45">
        <v>8.4</v>
      </c>
      <c r="AC17" s="45">
        <v>8.4</v>
      </c>
      <c r="AD17" s="45">
        <v>8.4</v>
      </c>
      <c r="AE17" s="45">
        <v>8.3000000000000007</v>
      </c>
      <c r="AF17" s="45">
        <v>8.3000000000000007</v>
      </c>
      <c r="AG17" s="50">
        <v>24.2</v>
      </c>
      <c r="AH17" s="47">
        <f t="shared" si="2"/>
        <v>8.4</v>
      </c>
      <c r="AI17" s="48">
        <f t="shared" si="3"/>
        <v>8.3000000000000007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0">
        <v>28</v>
      </c>
      <c r="AH18" s="47">
        <f t="shared" si="2"/>
        <v>13</v>
      </c>
      <c r="AI18" s="48">
        <f t="shared" si="3"/>
        <v>13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9.3000000000000007</v>
      </c>
      <c r="C20" s="45">
        <v>9.3000000000000007</v>
      </c>
      <c r="D20" s="45">
        <v>9.3000000000000007</v>
      </c>
      <c r="E20" s="45">
        <v>9.3000000000000007</v>
      </c>
      <c r="F20" s="45">
        <v>9.3000000000000007</v>
      </c>
      <c r="G20" s="45">
        <v>9.3000000000000007</v>
      </c>
      <c r="H20" s="45">
        <v>9.3000000000000007</v>
      </c>
      <c r="I20" s="45">
        <v>9.3000000000000007</v>
      </c>
      <c r="J20" s="45">
        <v>9.3000000000000007</v>
      </c>
      <c r="K20" s="45">
        <v>9.3000000000000007</v>
      </c>
      <c r="L20" s="45">
        <v>9.3000000000000007</v>
      </c>
      <c r="M20" s="45">
        <v>9.3000000000000007</v>
      </c>
      <c r="N20" s="45">
        <v>9.3000000000000007</v>
      </c>
      <c r="O20" s="45">
        <v>9.3000000000000007</v>
      </c>
      <c r="P20" s="45">
        <v>9.3000000000000007</v>
      </c>
      <c r="Q20" s="45">
        <v>9.3000000000000007</v>
      </c>
      <c r="R20" s="45">
        <v>9.3000000000000007</v>
      </c>
      <c r="S20" s="45">
        <v>9.3000000000000007</v>
      </c>
      <c r="T20" s="45">
        <v>9.3000000000000007</v>
      </c>
      <c r="U20" s="45">
        <v>9.3000000000000007</v>
      </c>
      <c r="V20" s="45">
        <v>9.3000000000000007</v>
      </c>
      <c r="W20" s="45">
        <v>9.3000000000000007</v>
      </c>
      <c r="X20" s="45">
        <v>9.3000000000000007</v>
      </c>
      <c r="Y20" s="45">
        <v>9.3000000000000007</v>
      </c>
      <c r="Z20" s="45">
        <v>9.3000000000000007</v>
      </c>
      <c r="AA20" s="45">
        <v>9.3000000000000007</v>
      </c>
      <c r="AB20" s="45">
        <v>9.3000000000000007</v>
      </c>
      <c r="AC20" s="45">
        <v>9.3000000000000007</v>
      </c>
      <c r="AD20" s="45">
        <v>9.3000000000000007</v>
      </c>
      <c r="AE20" s="45">
        <v>9.3000000000000007</v>
      </c>
      <c r="AF20" s="45">
        <v>9.3000000000000007</v>
      </c>
      <c r="AG20" s="50">
        <v>25</v>
      </c>
      <c r="AH20" s="47">
        <f t="shared" si="2"/>
        <v>9.3000000000000007</v>
      </c>
      <c r="AI20" s="48">
        <f t="shared" si="3"/>
        <v>9.3000000000000007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0">
        <v>25</v>
      </c>
      <c r="AH22" s="47">
        <f t="shared" si="2"/>
        <v>11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8.9</v>
      </c>
      <c r="C24" s="45">
        <v>8.9</v>
      </c>
      <c r="D24" s="45">
        <v>8.9</v>
      </c>
      <c r="E24" s="45">
        <v>8.9</v>
      </c>
      <c r="F24" s="45">
        <v>8.9</v>
      </c>
      <c r="G24" s="45">
        <v>8.9</v>
      </c>
      <c r="H24" s="45">
        <v>8.9</v>
      </c>
      <c r="I24" s="45">
        <v>8.9</v>
      </c>
      <c r="J24" s="45">
        <v>8.9</v>
      </c>
      <c r="K24" s="45">
        <v>8.9</v>
      </c>
      <c r="L24" s="45">
        <v>8.9</v>
      </c>
      <c r="M24" s="45">
        <v>8.9</v>
      </c>
      <c r="N24" s="45">
        <v>8.9</v>
      </c>
      <c r="O24" s="45">
        <v>8.9</v>
      </c>
      <c r="P24" s="45">
        <v>8.9</v>
      </c>
      <c r="Q24" s="45">
        <v>8.9</v>
      </c>
      <c r="R24" s="45">
        <v>8.9</v>
      </c>
      <c r="S24" s="45">
        <v>8.9</v>
      </c>
      <c r="T24" s="45">
        <v>8.9</v>
      </c>
      <c r="U24" s="45">
        <v>8.9</v>
      </c>
      <c r="V24" s="45">
        <v>8.9</v>
      </c>
      <c r="W24" s="45">
        <v>8.9</v>
      </c>
      <c r="X24" s="45">
        <v>8.9</v>
      </c>
      <c r="Y24" s="45">
        <v>8.9</v>
      </c>
      <c r="Z24" s="45">
        <v>8.9</v>
      </c>
      <c r="AA24" s="45">
        <v>8.9</v>
      </c>
      <c r="AB24" s="45">
        <v>8.9</v>
      </c>
      <c r="AC24" s="45">
        <v>8.9</v>
      </c>
      <c r="AD24" s="45">
        <v>8.9</v>
      </c>
      <c r="AE24" s="45">
        <v>8.9</v>
      </c>
      <c r="AF24" s="45">
        <v>8.9</v>
      </c>
      <c r="AG24" s="50">
        <v>23.5</v>
      </c>
      <c r="AH24" s="47">
        <f t="shared" si="2"/>
        <v>8.9</v>
      </c>
      <c r="AI24" s="48">
        <f t="shared" si="3"/>
        <v>8.9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11</v>
      </c>
      <c r="C28" s="45">
        <v>11</v>
      </c>
      <c r="D28" s="45">
        <v>11</v>
      </c>
      <c r="E28" s="45">
        <v>11</v>
      </c>
      <c r="F28" s="45">
        <v>11</v>
      </c>
      <c r="G28" s="45">
        <v>11</v>
      </c>
      <c r="H28" s="45">
        <v>11</v>
      </c>
      <c r="I28" s="45">
        <v>11</v>
      </c>
      <c r="J28" s="45">
        <v>11</v>
      </c>
      <c r="K28" s="45">
        <v>11</v>
      </c>
      <c r="L28" s="45">
        <v>11</v>
      </c>
      <c r="M28" s="45">
        <v>11</v>
      </c>
      <c r="N28" s="45">
        <v>11</v>
      </c>
      <c r="O28" s="45">
        <v>11</v>
      </c>
      <c r="P28" s="45">
        <v>11</v>
      </c>
      <c r="Q28" s="45">
        <v>11</v>
      </c>
      <c r="R28" s="45">
        <v>11</v>
      </c>
      <c r="S28" s="45">
        <v>11</v>
      </c>
      <c r="T28" s="45">
        <v>11</v>
      </c>
      <c r="U28" s="45">
        <v>11</v>
      </c>
      <c r="V28" s="45">
        <v>11</v>
      </c>
      <c r="W28" s="45">
        <v>11</v>
      </c>
      <c r="X28" s="45">
        <v>11</v>
      </c>
      <c r="Y28" s="45">
        <v>11</v>
      </c>
      <c r="Z28" s="45">
        <v>11</v>
      </c>
      <c r="AA28" s="45">
        <v>11</v>
      </c>
      <c r="AB28" s="45">
        <v>11</v>
      </c>
      <c r="AC28" s="45">
        <v>11</v>
      </c>
      <c r="AD28" s="45">
        <v>11</v>
      </c>
      <c r="AE28" s="45">
        <v>11</v>
      </c>
      <c r="AF28" s="45">
        <v>11</v>
      </c>
      <c r="AG28" s="50">
        <v>22</v>
      </c>
      <c r="AH28" s="47">
        <f t="shared" si="2"/>
        <v>11</v>
      </c>
      <c r="AI28" s="48">
        <f t="shared" si="3"/>
        <v>11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>
        <v>10</v>
      </c>
      <c r="L35" s="45">
        <v>10</v>
      </c>
      <c r="M35" s="45">
        <v>10</v>
      </c>
      <c r="N35" s="45">
        <v>10</v>
      </c>
      <c r="O35" s="45">
        <v>10</v>
      </c>
      <c r="P35" s="45">
        <v>10</v>
      </c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45">
        <v>10</v>
      </c>
      <c r="Z35" s="45">
        <v>10</v>
      </c>
      <c r="AA35" s="45">
        <v>10</v>
      </c>
      <c r="AB35" s="45">
        <v>10</v>
      </c>
      <c r="AC35" s="45">
        <v>10</v>
      </c>
      <c r="AD35" s="45">
        <v>10</v>
      </c>
      <c r="AE35" s="45">
        <v>10</v>
      </c>
      <c r="AF35" s="45">
        <v>10</v>
      </c>
      <c r="AG35" s="50">
        <v>12</v>
      </c>
      <c r="AH35" s="47">
        <f t="shared" si="2"/>
        <v>10</v>
      </c>
      <c r="AI35" s="48">
        <f t="shared" si="3"/>
        <v>10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120</v>
      </c>
      <c r="C42" s="56">
        <v>120</v>
      </c>
      <c r="D42" s="56">
        <v>120</v>
      </c>
      <c r="E42" s="56">
        <v>120</v>
      </c>
      <c r="F42" s="56">
        <v>120</v>
      </c>
      <c r="G42" s="56">
        <v>120</v>
      </c>
      <c r="H42" s="56">
        <v>120</v>
      </c>
      <c r="I42" s="56">
        <v>120</v>
      </c>
      <c r="J42" s="56">
        <v>120</v>
      </c>
      <c r="K42" s="56">
        <v>120</v>
      </c>
      <c r="L42" s="56">
        <v>120</v>
      </c>
      <c r="M42" s="56">
        <v>120</v>
      </c>
      <c r="N42" s="56">
        <v>120</v>
      </c>
      <c r="O42" s="56">
        <v>120</v>
      </c>
      <c r="P42" s="56">
        <v>120</v>
      </c>
      <c r="Q42" s="56">
        <v>120</v>
      </c>
      <c r="R42" s="56">
        <v>120</v>
      </c>
      <c r="S42" s="56">
        <v>120</v>
      </c>
      <c r="T42" s="56">
        <v>120</v>
      </c>
      <c r="U42" s="56">
        <v>120</v>
      </c>
      <c r="V42" s="56">
        <v>120</v>
      </c>
      <c r="W42" s="56">
        <v>120</v>
      </c>
      <c r="X42" s="56">
        <v>120</v>
      </c>
      <c r="Y42" s="56">
        <v>120</v>
      </c>
      <c r="Z42" s="56">
        <v>120</v>
      </c>
      <c r="AA42" s="56">
        <v>120</v>
      </c>
      <c r="AB42" s="56">
        <v>120</v>
      </c>
      <c r="AC42" s="56">
        <v>120</v>
      </c>
      <c r="AD42" s="56">
        <v>120</v>
      </c>
      <c r="AE42" s="56">
        <v>120</v>
      </c>
      <c r="AF42" s="56">
        <v>120</v>
      </c>
      <c r="AG42" s="54">
        <v>85</v>
      </c>
      <c r="AH42" s="47">
        <f t="shared" si="2"/>
        <v>120</v>
      </c>
      <c r="AI42" s="48">
        <f t="shared" si="3"/>
        <v>120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:AG44" si="4">SUM(B11:B42)</f>
        <v>413.40000000000003</v>
      </c>
      <c r="C44" s="60">
        <f t="shared" si="4"/>
        <v>413.40000000000003</v>
      </c>
      <c r="D44" s="60">
        <f>SUM(D11:D42)</f>
        <v>413.40000000000003</v>
      </c>
      <c r="E44" s="60">
        <f>SUM(E11:E42)</f>
        <v>413.40000000000003</v>
      </c>
      <c r="F44" s="60">
        <f>SUM(F11:F42)</f>
        <v>413.40000000000003</v>
      </c>
      <c r="G44" s="60">
        <f>SUM(G11:G42)</f>
        <v>413.40000000000003</v>
      </c>
      <c r="H44" s="60">
        <f t="shared" si="4"/>
        <v>413.40000000000003</v>
      </c>
      <c r="I44" s="60">
        <f t="shared" si="4"/>
        <v>413.40000000000003</v>
      </c>
      <c r="J44" s="60">
        <f t="shared" si="4"/>
        <v>413.40000000000003</v>
      </c>
      <c r="K44" s="60">
        <f t="shared" si="4"/>
        <v>413.40000000000003</v>
      </c>
      <c r="L44" s="60">
        <f t="shared" si="4"/>
        <v>413.40000000000003</v>
      </c>
      <c r="M44" s="60">
        <f t="shared" si="4"/>
        <v>412.40000000000003</v>
      </c>
      <c r="N44" s="60">
        <f t="shared" si="4"/>
        <v>411.40000000000003</v>
      </c>
      <c r="O44" s="60">
        <f t="shared" si="4"/>
        <v>411.40000000000003</v>
      </c>
      <c r="P44" s="60">
        <f t="shared" si="4"/>
        <v>411.40000000000003</v>
      </c>
      <c r="Q44" s="60">
        <f t="shared" si="4"/>
        <v>412.40000000000003</v>
      </c>
      <c r="R44" s="60">
        <f t="shared" si="4"/>
        <v>412.40000000000003</v>
      </c>
      <c r="S44" s="60">
        <f t="shared" si="4"/>
        <v>411.40000000000003</v>
      </c>
      <c r="T44" s="60">
        <f t="shared" si="4"/>
        <v>411.40000000000003</v>
      </c>
      <c r="U44" s="60">
        <f t="shared" si="4"/>
        <v>411.40000000000003</v>
      </c>
      <c r="V44" s="60">
        <f t="shared" si="4"/>
        <v>411.40000000000003</v>
      </c>
      <c r="W44" s="60">
        <f t="shared" si="4"/>
        <v>411.40000000000003</v>
      </c>
      <c r="X44" s="60">
        <f t="shared" si="4"/>
        <v>411.40000000000003</v>
      </c>
      <c r="Y44" s="60">
        <f t="shared" si="4"/>
        <v>411.40000000000003</v>
      </c>
      <c r="Z44" s="60">
        <f t="shared" si="4"/>
        <v>411.40000000000003</v>
      </c>
      <c r="AA44" s="60">
        <f t="shared" si="4"/>
        <v>411.40000000000003</v>
      </c>
      <c r="AB44" s="60">
        <f t="shared" si="4"/>
        <v>412.40000000000003</v>
      </c>
      <c r="AC44" s="60">
        <f t="shared" si="4"/>
        <v>415.09999999999997</v>
      </c>
      <c r="AD44" s="60">
        <f t="shared" si="4"/>
        <v>414.59999999999997</v>
      </c>
      <c r="AE44" s="60">
        <f t="shared" si="4"/>
        <v>414.59999999999997</v>
      </c>
      <c r="AF44" s="60">
        <f t="shared" si="4"/>
        <v>412.09999999999997</v>
      </c>
      <c r="AG44" s="61">
        <f t="shared" si="4"/>
        <v>814.78000000000009</v>
      </c>
      <c r="AH44" s="47">
        <f t="shared" si="2"/>
        <v>415.09999999999997</v>
      </c>
      <c r="AI44" s="48">
        <f t="shared" si="3"/>
        <v>411.40000000000003</v>
      </c>
      <c r="AK44" s="49"/>
    </row>
    <row r="45" spans="1:88" x14ac:dyDescent="0.25">
      <c r="A45" s="62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15</v>
      </c>
      <c r="H45" s="45">
        <v>30</v>
      </c>
      <c r="I45" s="45">
        <v>76</v>
      </c>
      <c r="J45" s="45">
        <v>95</v>
      </c>
      <c r="K45" s="45">
        <v>115</v>
      </c>
      <c r="L45" s="45">
        <v>110</v>
      </c>
      <c r="M45" s="45">
        <v>110</v>
      </c>
      <c r="N45" s="63">
        <v>110</v>
      </c>
      <c r="O45" s="63">
        <v>110</v>
      </c>
      <c r="P45" s="45">
        <v>130</v>
      </c>
      <c r="Q45" s="45">
        <v>60</v>
      </c>
      <c r="R45" s="45">
        <v>60</v>
      </c>
      <c r="S45" s="45">
        <v>70</v>
      </c>
      <c r="T45" s="45">
        <v>80</v>
      </c>
      <c r="U45" s="45">
        <v>80</v>
      </c>
      <c r="V45" s="45">
        <v>35</v>
      </c>
      <c r="W45" s="45">
        <v>55</v>
      </c>
      <c r="X45" s="45">
        <v>100</v>
      </c>
      <c r="Y45" s="45">
        <v>295</v>
      </c>
      <c r="Z45" s="45">
        <v>340</v>
      </c>
      <c r="AA45" s="45">
        <v>356</v>
      </c>
      <c r="AB45" s="45">
        <v>185</v>
      </c>
      <c r="AC45" s="45">
        <v>170</v>
      </c>
      <c r="AD45" s="45">
        <v>180</v>
      </c>
      <c r="AE45" s="45">
        <v>140</v>
      </c>
      <c r="AF45" s="45">
        <v>75</v>
      </c>
      <c r="AG45" s="51">
        <v>456</v>
      </c>
      <c r="AH45" s="47">
        <f t="shared" si="2"/>
        <v>356</v>
      </c>
      <c r="AI45" s="48">
        <f t="shared" si="3"/>
        <v>0</v>
      </c>
      <c r="AK45" s="49"/>
    </row>
    <row r="46" spans="1:88" x14ac:dyDescent="0.25">
      <c r="A46" s="64" t="s">
        <v>54</v>
      </c>
      <c r="B46" s="65">
        <v>35</v>
      </c>
      <c r="C46" s="65">
        <v>35</v>
      </c>
      <c r="D46" s="65">
        <v>35</v>
      </c>
      <c r="E46" s="65">
        <v>35</v>
      </c>
      <c r="F46" s="65">
        <v>35</v>
      </c>
      <c r="G46" s="65">
        <v>35</v>
      </c>
      <c r="H46" s="65">
        <v>35</v>
      </c>
      <c r="I46" s="65">
        <v>35</v>
      </c>
      <c r="J46" s="65">
        <v>35</v>
      </c>
      <c r="K46" s="65">
        <v>35</v>
      </c>
      <c r="L46" s="65">
        <v>35</v>
      </c>
      <c r="M46" s="65">
        <v>35</v>
      </c>
      <c r="N46" s="65">
        <v>35</v>
      </c>
      <c r="O46" s="65">
        <v>35</v>
      </c>
      <c r="P46" s="65">
        <v>35</v>
      </c>
      <c r="Q46" s="65">
        <v>35</v>
      </c>
      <c r="R46" s="65">
        <v>35</v>
      </c>
      <c r="S46" s="65">
        <v>35</v>
      </c>
      <c r="T46" s="65">
        <v>35</v>
      </c>
      <c r="U46" s="65">
        <v>35</v>
      </c>
      <c r="V46" s="65">
        <v>35</v>
      </c>
      <c r="W46" s="65">
        <v>35</v>
      </c>
      <c r="X46" s="65">
        <v>35</v>
      </c>
      <c r="Y46" s="65">
        <v>35</v>
      </c>
      <c r="Z46" s="65">
        <v>35</v>
      </c>
      <c r="AA46" s="65">
        <v>35</v>
      </c>
      <c r="AB46" s="65">
        <v>35</v>
      </c>
      <c r="AC46" s="65">
        <v>35</v>
      </c>
      <c r="AD46" s="65">
        <v>35</v>
      </c>
      <c r="AE46" s="65">
        <v>35</v>
      </c>
      <c r="AF46" s="65">
        <v>35</v>
      </c>
      <c r="AG46" s="54">
        <v>60</v>
      </c>
      <c r="AH46" s="47">
        <f t="shared" si="2"/>
        <v>35</v>
      </c>
      <c r="AI46" s="48">
        <f t="shared" si="3"/>
        <v>35</v>
      </c>
      <c r="AK46" s="49"/>
    </row>
    <row r="47" spans="1:88" ht="15.75" thickBot="1" x14ac:dyDescent="0.3">
      <c r="A47" s="66" t="s">
        <v>55</v>
      </c>
      <c r="B47" s="67">
        <v>18.100000000000001</v>
      </c>
      <c r="C47" s="67">
        <v>18.100000000000001</v>
      </c>
      <c r="D47" s="67">
        <v>18.100000000000001</v>
      </c>
      <c r="E47" s="67">
        <v>18.100000000000001</v>
      </c>
      <c r="F47" s="67">
        <v>18.100000000000001</v>
      </c>
      <c r="G47" s="67">
        <v>18.100000000000001</v>
      </c>
      <c r="H47" s="67">
        <v>18.100000000000001</v>
      </c>
      <c r="I47" s="67">
        <v>18.100000000000001</v>
      </c>
      <c r="J47" s="67">
        <v>18.100000000000001</v>
      </c>
      <c r="K47" s="67">
        <v>18.100000000000001</v>
      </c>
      <c r="L47" s="67">
        <v>18.100000000000001</v>
      </c>
      <c r="M47" s="67">
        <v>11</v>
      </c>
      <c r="N47" s="67">
        <v>10.1</v>
      </c>
      <c r="O47" s="67">
        <v>10.1</v>
      </c>
      <c r="P47" s="67">
        <v>10.199999999999999</v>
      </c>
      <c r="Q47" s="67">
        <v>10.1</v>
      </c>
      <c r="R47" s="67">
        <v>10.199999999999999</v>
      </c>
      <c r="S47" s="67">
        <v>10.199999999999999</v>
      </c>
      <c r="T47" s="67">
        <v>10.199999999999999</v>
      </c>
      <c r="U47" s="67">
        <v>10.199999999999999</v>
      </c>
      <c r="V47" s="67">
        <v>10.199999999999999</v>
      </c>
      <c r="W47" s="67">
        <v>10.199999999999999</v>
      </c>
      <c r="X47" s="67">
        <v>10.199999999999999</v>
      </c>
      <c r="Y47" s="67">
        <v>18.100000000000001</v>
      </c>
      <c r="Z47" s="67">
        <v>18.100000000000001</v>
      </c>
      <c r="AA47" s="67">
        <v>18.100000000000001</v>
      </c>
      <c r="AB47" s="67">
        <v>9.6</v>
      </c>
      <c r="AC47" s="67">
        <v>6.9</v>
      </c>
      <c r="AD47" s="67">
        <v>9.6</v>
      </c>
      <c r="AE47" s="67">
        <v>11.2</v>
      </c>
      <c r="AF47" s="67">
        <v>11.1</v>
      </c>
      <c r="AG47" s="68">
        <v>22.1</v>
      </c>
      <c r="AH47" s="47">
        <f t="shared" si="2"/>
        <v>18.100000000000001</v>
      </c>
      <c r="AI47" s="48">
        <f t="shared" si="3"/>
        <v>6.9</v>
      </c>
      <c r="AK47" s="49"/>
    </row>
    <row r="48" spans="1:88" ht="15.75" thickBot="1" x14ac:dyDescent="0.3">
      <c r="A48" s="69" t="s">
        <v>56</v>
      </c>
      <c r="B48" s="60">
        <f t="shared" ref="B48:AG48" si="5">SUM(B45:B47)</f>
        <v>53.1</v>
      </c>
      <c r="C48" s="60">
        <f t="shared" si="5"/>
        <v>53.1</v>
      </c>
      <c r="D48" s="60">
        <f>SUM(D45:D47)</f>
        <v>53.1</v>
      </c>
      <c r="E48" s="60">
        <f>SUM(E45:E47)</f>
        <v>53.1</v>
      </c>
      <c r="F48" s="60">
        <f>SUM(F45:F47)</f>
        <v>53.1</v>
      </c>
      <c r="G48" s="60">
        <f>SUM(G45:G47)</f>
        <v>68.099999999999994</v>
      </c>
      <c r="H48" s="60">
        <f t="shared" si="5"/>
        <v>83.1</v>
      </c>
      <c r="I48" s="60">
        <f t="shared" si="5"/>
        <v>129.1</v>
      </c>
      <c r="J48" s="60">
        <f t="shared" si="5"/>
        <v>148.1</v>
      </c>
      <c r="K48" s="60">
        <f t="shared" si="5"/>
        <v>168.1</v>
      </c>
      <c r="L48" s="60">
        <f t="shared" si="5"/>
        <v>163.1</v>
      </c>
      <c r="M48" s="60">
        <f t="shared" si="5"/>
        <v>156</v>
      </c>
      <c r="N48" s="60">
        <f t="shared" si="5"/>
        <v>155.1</v>
      </c>
      <c r="O48" s="60">
        <f t="shared" si="5"/>
        <v>155.1</v>
      </c>
      <c r="P48" s="60">
        <f t="shared" si="5"/>
        <v>175.2</v>
      </c>
      <c r="Q48" s="60">
        <f t="shared" si="5"/>
        <v>105.1</v>
      </c>
      <c r="R48" s="60">
        <f t="shared" si="5"/>
        <v>105.2</v>
      </c>
      <c r="S48" s="60">
        <f t="shared" si="5"/>
        <v>115.2</v>
      </c>
      <c r="T48" s="60">
        <f t="shared" si="5"/>
        <v>125.2</v>
      </c>
      <c r="U48" s="60">
        <f t="shared" si="5"/>
        <v>125.2</v>
      </c>
      <c r="V48" s="60">
        <f t="shared" si="5"/>
        <v>80.2</v>
      </c>
      <c r="W48" s="60">
        <f t="shared" si="5"/>
        <v>100.2</v>
      </c>
      <c r="X48" s="60">
        <f t="shared" si="5"/>
        <v>145.19999999999999</v>
      </c>
      <c r="Y48" s="60">
        <f t="shared" si="5"/>
        <v>348.1</v>
      </c>
      <c r="Z48" s="60">
        <f t="shared" si="5"/>
        <v>393.1</v>
      </c>
      <c r="AA48" s="60">
        <f t="shared" si="5"/>
        <v>409.1</v>
      </c>
      <c r="AB48" s="60">
        <f t="shared" si="5"/>
        <v>229.6</v>
      </c>
      <c r="AC48" s="60">
        <f t="shared" si="5"/>
        <v>211.9</v>
      </c>
      <c r="AD48" s="60">
        <f t="shared" si="5"/>
        <v>224.6</v>
      </c>
      <c r="AE48" s="60">
        <f t="shared" si="5"/>
        <v>186.2</v>
      </c>
      <c r="AF48" s="60">
        <f t="shared" si="5"/>
        <v>121.1</v>
      </c>
      <c r="AG48" s="61">
        <f t="shared" si="5"/>
        <v>538.1</v>
      </c>
      <c r="AH48" s="47">
        <f t="shared" si="2"/>
        <v>409.1</v>
      </c>
      <c r="AI48" s="48">
        <f t="shared" si="3"/>
        <v>53.1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30</v>
      </c>
      <c r="I49" s="45">
        <v>90</v>
      </c>
      <c r="J49" s="45">
        <v>100</v>
      </c>
      <c r="K49" s="45">
        <v>140</v>
      </c>
      <c r="L49" s="45">
        <v>140</v>
      </c>
      <c r="M49" s="45">
        <v>140</v>
      </c>
      <c r="N49" s="45">
        <v>120</v>
      </c>
      <c r="O49" s="45">
        <v>60</v>
      </c>
      <c r="P49" s="45">
        <v>60</v>
      </c>
      <c r="Q49" s="45">
        <v>60</v>
      </c>
      <c r="R49" s="45">
        <v>80</v>
      </c>
      <c r="S49" s="45">
        <v>80</v>
      </c>
      <c r="T49" s="45">
        <v>60</v>
      </c>
      <c r="U49" s="45">
        <v>61.2</v>
      </c>
      <c r="V49" s="45">
        <v>61</v>
      </c>
      <c r="W49" s="45">
        <v>76.400000000000006</v>
      </c>
      <c r="X49" s="45">
        <v>94</v>
      </c>
      <c r="Y49" s="45">
        <v>93.9</v>
      </c>
      <c r="Z49" s="45">
        <v>93.9</v>
      </c>
      <c r="AA49" s="45">
        <v>92.6</v>
      </c>
      <c r="AB49" s="45">
        <v>82.1</v>
      </c>
      <c r="AC49" s="45">
        <v>92.4</v>
      </c>
      <c r="AD49" s="45">
        <v>92.4</v>
      </c>
      <c r="AE49" s="45">
        <v>60.6</v>
      </c>
      <c r="AF49" s="45">
        <v>30.1</v>
      </c>
      <c r="AG49" s="51">
        <v>144</v>
      </c>
      <c r="AH49" s="47">
        <f t="shared" si="2"/>
        <v>140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24</v>
      </c>
      <c r="C50" s="65">
        <v>24</v>
      </c>
      <c r="D50" s="65">
        <v>24</v>
      </c>
      <c r="E50" s="65">
        <v>0</v>
      </c>
      <c r="F50" s="65">
        <v>0</v>
      </c>
      <c r="G50" s="65">
        <v>0</v>
      </c>
      <c r="H50" s="65">
        <v>0</v>
      </c>
      <c r="I50" s="65">
        <v>22.3</v>
      </c>
      <c r="J50" s="65">
        <v>45</v>
      </c>
      <c r="K50" s="65">
        <v>60</v>
      </c>
      <c r="L50" s="65">
        <v>71</v>
      </c>
      <c r="M50" s="65">
        <v>71</v>
      </c>
      <c r="N50" s="65">
        <v>33.799999999999997</v>
      </c>
      <c r="O50" s="65">
        <v>31</v>
      </c>
      <c r="P50" s="65">
        <v>25.6</v>
      </c>
      <c r="Q50" s="65">
        <v>25.6</v>
      </c>
      <c r="R50" s="45">
        <v>35</v>
      </c>
      <c r="S50" s="45">
        <v>35</v>
      </c>
      <c r="T50" s="45">
        <v>46</v>
      </c>
      <c r="U50" s="45">
        <v>29.7</v>
      </c>
      <c r="V50" s="45">
        <v>22.5</v>
      </c>
      <c r="W50" s="45">
        <v>49.2</v>
      </c>
      <c r="X50" s="45">
        <v>61</v>
      </c>
      <c r="Y50" s="45">
        <v>58.5</v>
      </c>
      <c r="Z50" s="45">
        <v>58.5</v>
      </c>
      <c r="AA50" s="45">
        <v>59.9</v>
      </c>
      <c r="AB50" s="65">
        <v>67.599999999999994</v>
      </c>
      <c r="AC50" s="65">
        <v>68.400000000000006</v>
      </c>
      <c r="AD50" s="65">
        <v>50.4</v>
      </c>
      <c r="AE50" s="65">
        <v>0</v>
      </c>
      <c r="AF50" s="65">
        <v>0</v>
      </c>
      <c r="AG50" s="54">
        <v>70</v>
      </c>
      <c r="AH50" s="47">
        <f t="shared" si="2"/>
        <v>71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22</v>
      </c>
      <c r="C51" s="65">
        <v>0</v>
      </c>
      <c r="D51" s="65">
        <v>0</v>
      </c>
      <c r="E51" s="65">
        <v>0</v>
      </c>
      <c r="F51" s="65">
        <v>0</v>
      </c>
      <c r="G51" s="65">
        <v>40</v>
      </c>
      <c r="H51" s="65">
        <v>32</v>
      </c>
      <c r="I51" s="65">
        <v>32</v>
      </c>
      <c r="J51" s="65">
        <v>41.6</v>
      </c>
      <c r="K51" s="65">
        <v>70</v>
      </c>
      <c r="L51" s="65">
        <v>68.099999999999994</v>
      </c>
      <c r="M51" s="65">
        <v>68.099999999999994</v>
      </c>
      <c r="N51" s="65">
        <v>51.6</v>
      </c>
      <c r="O51" s="65">
        <v>51.6</v>
      </c>
      <c r="P51" s="65">
        <v>53</v>
      </c>
      <c r="Q51" s="65">
        <v>53</v>
      </c>
      <c r="R51" s="45">
        <v>31.9</v>
      </c>
      <c r="S51" s="45">
        <v>31.9</v>
      </c>
      <c r="T51" s="45">
        <v>30</v>
      </c>
      <c r="U51" s="45">
        <v>45</v>
      </c>
      <c r="V51" s="45">
        <v>32.4</v>
      </c>
      <c r="W51" s="45">
        <v>32.4</v>
      </c>
      <c r="X51" s="45">
        <v>52</v>
      </c>
      <c r="Y51" s="45">
        <v>49.1</v>
      </c>
      <c r="Z51" s="45">
        <v>51</v>
      </c>
      <c r="AA51" s="45">
        <v>51.1</v>
      </c>
      <c r="AB51" s="65">
        <v>51.7</v>
      </c>
      <c r="AC51" s="65">
        <v>45</v>
      </c>
      <c r="AD51" s="65">
        <v>39.700000000000003</v>
      </c>
      <c r="AE51" s="65">
        <v>39.6</v>
      </c>
      <c r="AF51" s="65">
        <v>16</v>
      </c>
      <c r="AG51" s="54">
        <v>69</v>
      </c>
      <c r="AH51" s="47">
        <f t="shared" si="2"/>
        <v>70</v>
      </c>
      <c r="AI51" s="48">
        <f t="shared" si="3"/>
        <v>0</v>
      </c>
      <c r="AK51" s="49"/>
    </row>
    <row r="52" spans="1:41" x14ac:dyDescent="0.25">
      <c r="A52" s="53" t="s">
        <v>60</v>
      </c>
      <c r="B52" s="56">
        <v>47</v>
      </c>
      <c r="C52" s="56">
        <v>47</v>
      </c>
      <c r="D52" s="56">
        <v>47</v>
      </c>
      <c r="E52" s="56">
        <v>47</v>
      </c>
      <c r="F52" s="56">
        <v>47</v>
      </c>
      <c r="G52" s="56">
        <v>47</v>
      </c>
      <c r="H52" s="56">
        <v>47</v>
      </c>
      <c r="I52" s="56">
        <v>47</v>
      </c>
      <c r="J52" s="56">
        <v>47</v>
      </c>
      <c r="K52" s="56">
        <v>47</v>
      </c>
      <c r="L52" s="56">
        <v>47</v>
      </c>
      <c r="M52" s="65">
        <v>47</v>
      </c>
      <c r="N52" s="65">
        <v>47</v>
      </c>
      <c r="O52" s="65">
        <v>47</v>
      </c>
      <c r="P52" s="65">
        <v>48.3</v>
      </c>
      <c r="Q52" s="65">
        <v>48.3</v>
      </c>
      <c r="R52" s="45">
        <v>48.3</v>
      </c>
      <c r="S52" s="45">
        <v>48.3</v>
      </c>
      <c r="T52" s="45">
        <v>48.3</v>
      </c>
      <c r="U52" s="45">
        <v>48.3</v>
      </c>
      <c r="V52" s="45">
        <v>46.1</v>
      </c>
      <c r="W52" s="65">
        <v>46.1</v>
      </c>
      <c r="X52" s="65">
        <v>46.1</v>
      </c>
      <c r="Y52" s="65">
        <v>46.1</v>
      </c>
      <c r="Z52" s="65">
        <v>46.1</v>
      </c>
      <c r="AA52" s="65">
        <v>46.1</v>
      </c>
      <c r="AB52" s="65">
        <v>46.4</v>
      </c>
      <c r="AC52" s="65">
        <v>46.4</v>
      </c>
      <c r="AD52" s="65">
        <v>48.4</v>
      </c>
      <c r="AE52" s="65">
        <v>50.9</v>
      </c>
      <c r="AF52" s="65">
        <v>48.3</v>
      </c>
      <c r="AG52" s="54">
        <v>60</v>
      </c>
      <c r="AH52" s="47">
        <f t="shared" si="2"/>
        <v>50.9</v>
      </c>
      <c r="AI52" s="48">
        <f t="shared" si="3"/>
        <v>46.1</v>
      </c>
      <c r="AK52" s="49"/>
    </row>
    <row r="53" spans="1:41" x14ac:dyDescent="0.25">
      <c r="A53" s="53" t="s">
        <v>61</v>
      </c>
      <c r="B53" s="56">
        <v>0</v>
      </c>
      <c r="C53" s="56">
        <v>0</v>
      </c>
      <c r="D53" s="56">
        <v>0</v>
      </c>
      <c r="E53" s="56">
        <v>9.8000000000000007</v>
      </c>
      <c r="F53" s="56">
        <v>9.8000000000000007</v>
      </c>
      <c r="G53" s="56">
        <v>9.8000000000000007</v>
      </c>
      <c r="H53" s="56">
        <v>9.8000000000000007</v>
      </c>
      <c r="I53" s="56">
        <v>9.8000000000000007</v>
      </c>
      <c r="J53" s="56">
        <v>9.8000000000000007</v>
      </c>
      <c r="K53" s="56">
        <v>9.8000000000000007</v>
      </c>
      <c r="L53" s="56">
        <v>9.8000000000000007</v>
      </c>
      <c r="M53" s="65">
        <v>18</v>
      </c>
      <c r="N53" s="65">
        <v>10.4</v>
      </c>
      <c r="O53" s="65">
        <v>14.1</v>
      </c>
      <c r="P53" s="65">
        <v>14.8</v>
      </c>
      <c r="Q53" s="65">
        <v>14.8</v>
      </c>
      <c r="R53" s="45">
        <v>10.3</v>
      </c>
      <c r="S53" s="45">
        <v>10.3</v>
      </c>
      <c r="T53" s="45">
        <v>10.3</v>
      </c>
      <c r="U53" s="45">
        <v>10.3</v>
      </c>
      <c r="V53" s="45">
        <v>13.1</v>
      </c>
      <c r="W53" s="45">
        <v>13.1</v>
      </c>
      <c r="X53" s="45">
        <v>13.3</v>
      </c>
      <c r="Y53" s="65">
        <v>14.9</v>
      </c>
      <c r="Z53" s="65">
        <v>14.9</v>
      </c>
      <c r="AA53" s="65">
        <v>25</v>
      </c>
      <c r="AB53" s="65">
        <v>9.6</v>
      </c>
      <c r="AC53" s="65">
        <v>9.8000000000000007</v>
      </c>
      <c r="AD53" s="65">
        <v>9.8000000000000007</v>
      </c>
      <c r="AE53" s="65">
        <v>9.4</v>
      </c>
      <c r="AF53" s="65">
        <v>0</v>
      </c>
      <c r="AG53" s="54">
        <v>30</v>
      </c>
      <c r="AH53" s="47">
        <f t="shared" si="2"/>
        <v>25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4</v>
      </c>
      <c r="O54" s="45">
        <v>6</v>
      </c>
      <c r="P54" s="65">
        <v>8</v>
      </c>
      <c r="Q54" s="65">
        <v>8</v>
      </c>
      <c r="R54" s="45">
        <v>8</v>
      </c>
      <c r="S54" s="45">
        <v>8</v>
      </c>
      <c r="T54" s="45">
        <v>8</v>
      </c>
      <c r="U54" s="45">
        <v>8</v>
      </c>
      <c r="V54" s="45">
        <v>0</v>
      </c>
      <c r="W54" s="45">
        <v>0</v>
      </c>
      <c r="X54" s="4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8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16</v>
      </c>
      <c r="C55" s="65">
        <v>16</v>
      </c>
      <c r="D55" s="65">
        <v>16</v>
      </c>
      <c r="E55" s="65">
        <v>16</v>
      </c>
      <c r="F55" s="65">
        <v>16</v>
      </c>
      <c r="G55" s="65">
        <v>16</v>
      </c>
      <c r="H55" s="65">
        <v>16</v>
      </c>
      <c r="I55" s="65">
        <v>16</v>
      </c>
      <c r="J55" s="65">
        <v>16</v>
      </c>
      <c r="K55" s="65">
        <v>16</v>
      </c>
      <c r="L55" s="65">
        <v>16</v>
      </c>
      <c r="M55" s="65">
        <v>16</v>
      </c>
      <c r="N55" s="65">
        <v>16</v>
      </c>
      <c r="O55" s="65">
        <v>16</v>
      </c>
      <c r="P55" s="65">
        <v>16</v>
      </c>
      <c r="Q55" s="65">
        <v>16</v>
      </c>
      <c r="R55" s="65">
        <v>16</v>
      </c>
      <c r="S55" s="65">
        <v>16</v>
      </c>
      <c r="T55" s="65">
        <v>16</v>
      </c>
      <c r="U55" s="65">
        <v>16</v>
      </c>
      <c r="V55" s="65">
        <v>16</v>
      </c>
      <c r="W55" s="65">
        <v>16</v>
      </c>
      <c r="X55" s="65">
        <v>16</v>
      </c>
      <c r="Y55" s="65">
        <v>16</v>
      </c>
      <c r="Z55" s="65">
        <v>16</v>
      </c>
      <c r="AA55" s="65">
        <v>16</v>
      </c>
      <c r="AB55" s="65">
        <v>16</v>
      </c>
      <c r="AC55" s="65">
        <v>16</v>
      </c>
      <c r="AD55" s="65">
        <v>16</v>
      </c>
      <c r="AE55" s="65">
        <v>16</v>
      </c>
      <c r="AF55" s="65">
        <v>16</v>
      </c>
      <c r="AG55" s="54">
        <v>24</v>
      </c>
      <c r="AH55" s="47">
        <f t="shared" si="2"/>
        <v>16</v>
      </c>
      <c r="AI55" s="48">
        <f t="shared" si="3"/>
        <v>16</v>
      </c>
      <c r="AK55" s="49"/>
    </row>
    <row r="56" spans="1:41" x14ac:dyDescent="0.25">
      <c r="A56" s="53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4">
        <v>15</v>
      </c>
      <c r="AH56" s="47">
        <f t="shared" si="2"/>
        <v>3.2</v>
      </c>
      <c r="AI56" s="48">
        <f t="shared" si="3"/>
        <v>3.2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12</v>
      </c>
      <c r="C57" s="65">
        <v>12</v>
      </c>
      <c r="D57" s="65">
        <v>12</v>
      </c>
      <c r="E57" s="65">
        <v>12</v>
      </c>
      <c r="F57" s="65">
        <v>12</v>
      </c>
      <c r="G57" s="65">
        <v>12</v>
      </c>
      <c r="H57" s="65">
        <v>12</v>
      </c>
      <c r="I57" s="65">
        <v>12</v>
      </c>
      <c r="J57" s="65">
        <v>12</v>
      </c>
      <c r="K57" s="65">
        <v>12</v>
      </c>
      <c r="L57" s="65">
        <v>12</v>
      </c>
      <c r="M57" s="65">
        <v>12</v>
      </c>
      <c r="N57" s="65">
        <v>12</v>
      </c>
      <c r="O57" s="65">
        <v>12</v>
      </c>
      <c r="P57" s="65">
        <v>12</v>
      </c>
      <c r="Q57" s="65">
        <v>12</v>
      </c>
      <c r="R57" s="65">
        <v>12</v>
      </c>
      <c r="S57" s="65">
        <v>12</v>
      </c>
      <c r="T57" s="65">
        <v>12</v>
      </c>
      <c r="U57" s="65">
        <v>12</v>
      </c>
      <c r="V57" s="65">
        <v>12</v>
      </c>
      <c r="W57" s="65">
        <v>12</v>
      </c>
      <c r="X57" s="65">
        <v>12</v>
      </c>
      <c r="Y57" s="65">
        <v>12</v>
      </c>
      <c r="Z57" s="65">
        <v>12</v>
      </c>
      <c r="AA57" s="65">
        <v>12</v>
      </c>
      <c r="AB57" s="65">
        <v>12</v>
      </c>
      <c r="AC57" s="65">
        <v>12</v>
      </c>
      <c r="AD57" s="65">
        <v>12</v>
      </c>
      <c r="AE57" s="65">
        <v>12.3</v>
      </c>
      <c r="AF57" s="65">
        <v>12.3</v>
      </c>
      <c r="AG57" s="54">
        <v>14.1</v>
      </c>
      <c r="AH57" s="47">
        <f t="shared" si="2"/>
        <v>12.3</v>
      </c>
      <c r="AI57" s="48">
        <f t="shared" si="3"/>
        <v>12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4.7</v>
      </c>
      <c r="C58" s="65">
        <v>4.7</v>
      </c>
      <c r="D58" s="65">
        <v>4.7</v>
      </c>
      <c r="E58" s="65">
        <v>4.7</v>
      </c>
      <c r="F58" s="65">
        <v>4.7</v>
      </c>
      <c r="G58" s="65">
        <v>4.7</v>
      </c>
      <c r="H58" s="65">
        <v>4.7</v>
      </c>
      <c r="I58" s="65">
        <v>4.7</v>
      </c>
      <c r="J58" s="65">
        <v>4.7</v>
      </c>
      <c r="K58" s="65">
        <v>4.7</v>
      </c>
      <c r="L58" s="65">
        <v>4.7</v>
      </c>
      <c r="M58" s="65">
        <v>4.7</v>
      </c>
      <c r="N58" s="65">
        <v>4.7</v>
      </c>
      <c r="O58" s="65">
        <v>4.7</v>
      </c>
      <c r="P58" s="65">
        <v>4.7</v>
      </c>
      <c r="Q58" s="65">
        <v>4.7</v>
      </c>
      <c r="R58" s="65">
        <v>4.7</v>
      </c>
      <c r="S58" s="65">
        <v>4.7</v>
      </c>
      <c r="T58" s="65">
        <v>4.7</v>
      </c>
      <c r="U58" s="65">
        <v>4.7</v>
      </c>
      <c r="V58" s="65">
        <v>4.7</v>
      </c>
      <c r="W58" s="65">
        <v>4.7</v>
      </c>
      <c r="X58" s="65">
        <v>4.7</v>
      </c>
      <c r="Y58" s="65">
        <v>4.7</v>
      </c>
      <c r="Z58" s="65">
        <v>4.7</v>
      </c>
      <c r="AA58" s="65">
        <v>4.7</v>
      </c>
      <c r="AB58" s="65">
        <v>4.7</v>
      </c>
      <c r="AC58" s="65">
        <v>4.7</v>
      </c>
      <c r="AD58" s="65">
        <v>4.7</v>
      </c>
      <c r="AE58" s="65">
        <v>5</v>
      </c>
      <c r="AF58" s="65">
        <v>5</v>
      </c>
      <c r="AG58" s="54">
        <v>14</v>
      </c>
      <c r="AH58" s="47">
        <f t="shared" si="2"/>
        <v>5</v>
      </c>
      <c r="AI58" s="48">
        <f t="shared" si="3"/>
        <v>4.7</v>
      </c>
      <c r="AK58" s="49"/>
    </row>
    <row r="59" spans="1:41" x14ac:dyDescent="0.25">
      <c r="A59" s="53" t="s">
        <v>67</v>
      </c>
      <c r="B59" s="65">
        <v>5.2</v>
      </c>
      <c r="C59" s="65">
        <v>5.2</v>
      </c>
      <c r="D59" s="65">
        <v>5.2</v>
      </c>
      <c r="E59" s="65">
        <v>5.2</v>
      </c>
      <c r="F59" s="65">
        <v>5.2</v>
      </c>
      <c r="G59" s="65">
        <v>5.2</v>
      </c>
      <c r="H59" s="65">
        <v>5.2</v>
      </c>
      <c r="I59" s="65">
        <v>5.2</v>
      </c>
      <c r="J59" s="65">
        <v>5.2</v>
      </c>
      <c r="K59" s="65">
        <v>5.2</v>
      </c>
      <c r="L59" s="65">
        <v>5.2</v>
      </c>
      <c r="M59" s="65">
        <v>5.2</v>
      </c>
      <c r="N59" s="65">
        <v>5.2</v>
      </c>
      <c r="O59" s="65">
        <v>5.2</v>
      </c>
      <c r="P59" s="65">
        <v>5.2</v>
      </c>
      <c r="Q59" s="65">
        <v>5.2</v>
      </c>
      <c r="R59" s="65">
        <v>5.2</v>
      </c>
      <c r="S59" s="65">
        <v>5.2</v>
      </c>
      <c r="T59" s="65">
        <v>5.2</v>
      </c>
      <c r="U59" s="65">
        <v>5.2</v>
      </c>
      <c r="V59" s="65">
        <v>5.2</v>
      </c>
      <c r="W59" s="65">
        <v>5.2</v>
      </c>
      <c r="X59" s="65">
        <v>5.2</v>
      </c>
      <c r="Y59" s="65">
        <v>5.2</v>
      </c>
      <c r="Z59" s="65">
        <v>5.2</v>
      </c>
      <c r="AA59" s="65">
        <v>5.2</v>
      </c>
      <c r="AB59" s="65">
        <v>5.2</v>
      </c>
      <c r="AC59" s="65">
        <v>5.2</v>
      </c>
      <c r="AD59" s="65">
        <v>5.2</v>
      </c>
      <c r="AE59" s="65">
        <v>5.2</v>
      </c>
      <c r="AF59" s="65">
        <v>5.2</v>
      </c>
      <c r="AG59" s="54">
        <v>10.050000000000001</v>
      </c>
      <c r="AH59" s="47">
        <f t="shared" si="2"/>
        <v>5.2</v>
      </c>
      <c r="AI59" s="48">
        <f t="shared" si="3"/>
        <v>5.2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 t="shared" ref="B62:AG62" si="6">SUM(B49:B61)</f>
        <v>140.83999999999997</v>
      </c>
      <c r="C62" s="60">
        <f t="shared" si="6"/>
        <v>118.84000000000002</v>
      </c>
      <c r="D62" s="60">
        <f>SUM(D49:D61)</f>
        <v>118.84000000000002</v>
      </c>
      <c r="E62" s="60">
        <f>SUM(E49:E61)</f>
        <v>104.64000000000001</v>
      </c>
      <c r="F62" s="60">
        <f>SUM(F49:F61)</f>
        <v>104.64000000000001</v>
      </c>
      <c r="G62" s="60">
        <f>SUM(G49:G61)</f>
        <v>144.63999999999996</v>
      </c>
      <c r="H62" s="60">
        <f t="shared" si="6"/>
        <v>166.63999999999996</v>
      </c>
      <c r="I62" s="60">
        <f t="shared" si="6"/>
        <v>248.93999999999997</v>
      </c>
      <c r="J62" s="60">
        <f t="shared" si="6"/>
        <v>291.23999999999995</v>
      </c>
      <c r="K62" s="60">
        <f t="shared" si="6"/>
        <v>374.64</v>
      </c>
      <c r="L62" s="60">
        <f t="shared" si="6"/>
        <v>383.74</v>
      </c>
      <c r="M62" s="60">
        <f t="shared" si="6"/>
        <v>391.94</v>
      </c>
      <c r="N62" s="60">
        <f t="shared" si="6"/>
        <v>314.64</v>
      </c>
      <c r="O62" s="60">
        <f t="shared" si="6"/>
        <v>257.53999999999996</v>
      </c>
      <c r="P62" s="60">
        <f t="shared" si="6"/>
        <v>257.53999999999996</v>
      </c>
      <c r="Q62" s="60">
        <f t="shared" si="6"/>
        <v>257.53999999999996</v>
      </c>
      <c r="R62" s="60">
        <f t="shared" si="6"/>
        <v>261.33999999999997</v>
      </c>
      <c r="S62" s="60">
        <f t="shared" si="6"/>
        <v>261.33999999999997</v>
      </c>
      <c r="T62" s="60">
        <f t="shared" si="6"/>
        <v>250.43999999999997</v>
      </c>
      <c r="U62" s="60">
        <f t="shared" si="6"/>
        <v>250.33999999999995</v>
      </c>
      <c r="V62" s="60">
        <f t="shared" si="6"/>
        <v>222.93999999999994</v>
      </c>
      <c r="W62" s="60">
        <f t="shared" si="6"/>
        <v>265.03999999999996</v>
      </c>
      <c r="X62" s="60">
        <f t="shared" si="6"/>
        <v>314.23999999999995</v>
      </c>
      <c r="Y62" s="60">
        <f t="shared" si="6"/>
        <v>310.33999999999997</v>
      </c>
      <c r="Z62" s="60">
        <f t="shared" si="6"/>
        <v>312.23999999999995</v>
      </c>
      <c r="AA62" s="60">
        <f t="shared" si="6"/>
        <v>322.53999999999996</v>
      </c>
      <c r="AB62" s="60">
        <f t="shared" si="6"/>
        <v>305.23999999999995</v>
      </c>
      <c r="AC62" s="60">
        <f t="shared" si="6"/>
        <v>309.83999999999997</v>
      </c>
      <c r="AD62" s="60">
        <f t="shared" si="6"/>
        <v>288.54000000000002</v>
      </c>
      <c r="AE62" s="60">
        <f t="shared" si="6"/>
        <v>208.93999999999997</v>
      </c>
      <c r="AF62" s="60">
        <f t="shared" si="6"/>
        <v>142.83999999999997</v>
      </c>
      <c r="AG62" s="61">
        <f t="shared" si="6"/>
        <v>489.91</v>
      </c>
      <c r="AH62" s="47">
        <f t="shared" si="2"/>
        <v>391.94</v>
      </c>
      <c r="AI62" s="48">
        <f t="shared" si="3"/>
        <v>104.64000000000001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20</v>
      </c>
      <c r="M63" s="45">
        <v>20</v>
      </c>
      <c r="N63" s="45">
        <v>0</v>
      </c>
      <c r="O63" s="45">
        <v>0</v>
      </c>
      <c r="P63" s="45">
        <v>0</v>
      </c>
      <c r="Q63" s="45">
        <v>30</v>
      </c>
      <c r="R63" s="45">
        <v>14</v>
      </c>
      <c r="S63" s="45">
        <v>20</v>
      </c>
      <c r="T63" s="45">
        <v>30</v>
      </c>
      <c r="U63" s="45">
        <v>30</v>
      </c>
      <c r="V63" s="45">
        <v>14</v>
      </c>
      <c r="W63" s="45">
        <v>10</v>
      </c>
      <c r="X63" s="45">
        <v>34</v>
      </c>
      <c r="Y63" s="45">
        <v>40</v>
      </c>
      <c r="Z63" s="45">
        <v>30</v>
      </c>
      <c r="AA63" s="45">
        <v>14</v>
      </c>
      <c r="AB63" s="45">
        <v>10</v>
      </c>
      <c r="AC63" s="45">
        <v>0</v>
      </c>
      <c r="AD63" s="45">
        <v>0</v>
      </c>
      <c r="AE63" s="45">
        <v>0</v>
      </c>
      <c r="AF63" s="45">
        <v>0</v>
      </c>
      <c r="AG63" s="51">
        <v>60</v>
      </c>
      <c r="AH63" s="47">
        <f t="shared" si="2"/>
        <v>40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9.9</v>
      </c>
      <c r="M64" s="65">
        <v>10</v>
      </c>
      <c r="N64" s="65">
        <v>0</v>
      </c>
      <c r="O64" s="65">
        <v>0</v>
      </c>
      <c r="P64" s="65">
        <v>0</v>
      </c>
      <c r="Q64" s="45">
        <v>14</v>
      </c>
      <c r="R64" s="45">
        <v>5.8</v>
      </c>
      <c r="S64" s="65">
        <v>8.4</v>
      </c>
      <c r="T64" s="65">
        <v>14.1</v>
      </c>
      <c r="U64" s="65">
        <v>14</v>
      </c>
      <c r="V64" s="65">
        <v>13.6</v>
      </c>
      <c r="W64" s="65">
        <v>3.9</v>
      </c>
      <c r="X64" s="65">
        <v>14</v>
      </c>
      <c r="Y64" s="65">
        <v>15.6</v>
      </c>
      <c r="Z64" s="65">
        <v>16</v>
      </c>
      <c r="AA64" s="65">
        <v>14.6</v>
      </c>
      <c r="AB64" s="65">
        <v>4</v>
      </c>
      <c r="AC64" s="65">
        <v>0</v>
      </c>
      <c r="AD64" s="65">
        <v>0</v>
      </c>
      <c r="AE64" s="65">
        <v>0</v>
      </c>
      <c r="AF64" s="65">
        <v>0</v>
      </c>
      <c r="AG64" s="54">
        <v>32</v>
      </c>
      <c r="AH64" s="47">
        <f t="shared" si="2"/>
        <v>16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3.6</v>
      </c>
      <c r="M65" s="67">
        <v>3.6</v>
      </c>
      <c r="N65" s="67">
        <v>0</v>
      </c>
      <c r="O65" s="67">
        <v>0</v>
      </c>
      <c r="P65" s="67">
        <v>0</v>
      </c>
      <c r="Q65" s="45">
        <v>5.0999999999999996</v>
      </c>
      <c r="R65" s="45">
        <v>2.1</v>
      </c>
      <c r="S65" s="67">
        <v>3.1</v>
      </c>
      <c r="T65" s="67">
        <v>5.0999999999999996</v>
      </c>
      <c r="U65" s="67">
        <v>5.0999999999999996</v>
      </c>
      <c r="V65" s="67">
        <v>5</v>
      </c>
      <c r="W65" s="67">
        <v>1.4</v>
      </c>
      <c r="X65" s="67">
        <v>5.2</v>
      </c>
      <c r="Y65" s="67">
        <v>5.7</v>
      </c>
      <c r="Z65" s="67">
        <v>6</v>
      </c>
      <c r="AA65" s="67">
        <v>5.3</v>
      </c>
      <c r="AB65" s="67">
        <v>1.5</v>
      </c>
      <c r="AC65" s="67">
        <v>0</v>
      </c>
      <c r="AD65" s="67">
        <v>0</v>
      </c>
      <c r="AE65" s="67">
        <v>0</v>
      </c>
      <c r="AF65" s="67">
        <v>0</v>
      </c>
      <c r="AG65" s="68">
        <v>14</v>
      </c>
      <c r="AH65" s="47">
        <f t="shared" si="2"/>
        <v>6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33.5</v>
      </c>
      <c r="M66" s="60">
        <f t="shared" ref="M66:AF66" si="7">M63+M64+M65</f>
        <v>33.6</v>
      </c>
      <c r="N66" s="60">
        <f t="shared" si="7"/>
        <v>0</v>
      </c>
      <c r="O66" s="60">
        <f t="shared" si="7"/>
        <v>0</v>
      </c>
      <c r="P66" s="60">
        <f t="shared" si="7"/>
        <v>0</v>
      </c>
      <c r="Q66" s="60">
        <f t="shared" si="7"/>
        <v>49.1</v>
      </c>
      <c r="R66" s="60">
        <f t="shared" si="7"/>
        <v>21.900000000000002</v>
      </c>
      <c r="S66" s="60">
        <f t="shared" si="7"/>
        <v>31.5</v>
      </c>
      <c r="T66" s="60">
        <f t="shared" si="7"/>
        <v>49.2</v>
      </c>
      <c r="U66" s="60">
        <f t="shared" si="7"/>
        <v>49.1</v>
      </c>
      <c r="V66" s="60">
        <f t="shared" si="7"/>
        <v>32.6</v>
      </c>
      <c r="W66" s="60">
        <f t="shared" si="7"/>
        <v>15.3</v>
      </c>
      <c r="X66" s="60">
        <f t="shared" si="7"/>
        <v>53.2</v>
      </c>
      <c r="Y66" s="60">
        <f t="shared" si="7"/>
        <v>61.300000000000004</v>
      </c>
      <c r="Z66" s="60">
        <f t="shared" si="7"/>
        <v>52</v>
      </c>
      <c r="AA66" s="60">
        <f t="shared" si="7"/>
        <v>33.9</v>
      </c>
      <c r="AB66" s="60">
        <f t="shared" si="7"/>
        <v>15.5</v>
      </c>
      <c r="AC66" s="60">
        <f t="shared" si="7"/>
        <v>0</v>
      </c>
      <c r="AD66" s="60">
        <f t="shared" si="7"/>
        <v>0</v>
      </c>
      <c r="AE66" s="60">
        <f t="shared" si="7"/>
        <v>0</v>
      </c>
      <c r="AF66" s="60">
        <f t="shared" si="7"/>
        <v>0</v>
      </c>
      <c r="AG66" s="61">
        <f>SUM(AG63:AG65)</f>
        <v>106</v>
      </c>
      <c r="AH66" s="47">
        <f t="shared" si="2"/>
        <v>61.300000000000004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57</v>
      </c>
      <c r="C67" s="45">
        <v>60</v>
      </c>
      <c r="D67" s="45">
        <v>60</v>
      </c>
      <c r="E67" s="45">
        <v>50</v>
      </c>
      <c r="F67" s="45">
        <v>48</v>
      </c>
      <c r="G67" s="45">
        <v>50</v>
      </c>
      <c r="H67" s="45">
        <v>62</v>
      </c>
      <c r="I67" s="45">
        <v>48</v>
      </c>
      <c r="J67" s="45">
        <v>40</v>
      </c>
      <c r="K67" s="45">
        <v>44</v>
      </c>
      <c r="L67" s="45">
        <v>53.7</v>
      </c>
      <c r="M67" s="45">
        <v>49</v>
      </c>
      <c r="N67" s="45">
        <v>65</v>
      </c>
      <c r="O67" s="45">
        <v>66</v>
      </c>
      <c r="P67" s="45">
        <v>67</v>
      </c>
      <c r="Q67" s="45">
        <v>58.7</v>
      </c>
      <c r="R67" s="45">
        <v>62.3</v>
      </c>
      <c r="S67" s="45">
        <v>68.7</v>
      </c>
      <c r="T67" s="45">
        <v>68.2</v>
      </c>
      <c r="U67" s="45">
        <v>57.5</v>
      </c>
      <c r="V67" s="45">
        <v>60.22</v>
      </c>
      <c r="W67" s="45">
        <v>59</v>
      </c>
      <c r="X67" s="45">
        <v>64.900000000000006</v>
      </c>
      <c r="Y67" s="45">
        <v>56.1</v>
      </c>
      <c r="Z67" s="45">
        <v>38</v>
      </c>
      <c r="AA67" s="45">
        <v>38</v>
      </c>
      <c r="AB67" s="45">
        <v>61.6</v>
      </c>
      <c r="AC67" s="45">
        <v>68.8</v>
      </c>
      <c r="AD67" s="45">
        <v>64.599999999999994</v>
      </c>
      <c r="AE67" s="45">
        <v>61.2</v>
      </c>
      <c r="AF67" s="45">
        <v>61.2</v>
      </c>
      <c r="AG67" s="51"/>
      <c r="AH67" s="47">
        <f t="shared" si="2"/>
        <v>68.8</v>
      </c>
      <c r="AI67" s="48">
        <f t="shared" si="3"/>
        <v>38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330</v>
      </c>
      <c r="C69" s="65">
        <v>330</v>
      </c>
      <c r="D69" s="65">
        <v>330</v>
      </c>
      <c r="E69" s="65">
        <v>310</v>
      </c>
      <c r="F69" s="65">
        <v>310</v>
      </c>
      <c r="G69" s="65">
        <v>306</v>
      </c>
      <c r="H69" s="65">
        <v>320</v>
      </c>
      <c r="I69" s="65">
        <v>300</v>
      </c>
      <c r="J69" s="65">
        <v>306</v>
      </c>
      <c r="K69" s="65">
        <v>280</v>
      </c>
      <c r="L69" s="65">
        <v>230</v>
      </c>
      <c r="M69" s="65">
        <v>214.1</v>
      </c>
      <c r="N69" s="65">
        <v>217</v>
      </c>
      <c r="O69" s="65">
        <v>208</v>
      </c>
      <c r="P69" s="65">
        <v>273</v>
      </c>
      <c r="Q69" s="65">
        <v>333.7</v>
      </c>
      <c r="R69" s="65">
        <v>345.6</v>
      </c>
      <c r="S69" s="65">
        <v>341.6</v>
      </c>
      <c r="T69" s="65">
        <v>342</v>
      </c>
      <c r="U69" s="65">
        <v>331</v>
      </c>
      <c r="V69" s="65">
        <v>318</v>
      </c>
      <c r="W69" s="65">
        <v>280</v>
      </c>
      <c r="X69" s="65">
        <v>286</v>
      </c>
      <c r="Y69" s="65">
        <v>148</v>
      </c>
      <c r="Z69" s="65">
        <v>96.2</v>
      </c>
      <c r="AA69" s="65">
        <v>96.2</v>
      </c>
      <c r="AB69" s="65">
        <v>203</v>
      </c>
      <c r="AC69" s="65">
        <v>262.60000000000002</v>
      </c>
      <c r="AD69" s="65">
        <v>262</v>
      </c>
      <c r="AE69" s="65">
        <v>277</v>
      </c>
      <c r="AF69" s="65">
        <v>277</v>
      </c>
      <c r="AG69" s="75"/>
      <c r="AH69" s="47">
        <f t="shared" si="2"/>
        <v>345.6</v>
      </c>
      <c r="AI69" s="48">
        <f t="shared" si="3"/>
        <v>96.2</v>
      </c>
      <c r="AK69" s="49"/>
    </row>
    <row r="70" spans="1:40" x14ac:dyDescent="0.25">
      <c r="A70" s="53" t="s">
        <v>78</v>
      </c>
      <c r="B70" s="76">
        <v>67</v>
      </c>
      <c r="C70" s="76">
        <v>67</v>
      </c>
      <c r="D70" s="76">
        <v>67</v>
      </c>
      <c r="E70" s="76">
        <v>67</v>
      </c>
      <c r="F70" s="76">
        <v>67</v>
      </c>
      <c r="G70" s="76">
        <v>67</v>
      </c>
      <c r="H70" s="76">
        <v>67</v>
      </c>
      <c r="I70" s="76">
        <v>70.8</v>
      </c>
      <c r="J70" s="76">
        <v>70.599999999999994</v>
      </c>
      <c r="K70" s="76">
        <v>52</v>
      </c>
      <c r="L70" s="76">
        <v>52</v>
      </c>
      <c r="M70" s="76">
        <v>45.5</v>
      </c>
      <c r="N70" s="76">
        <v>51.4</v>
      </c>
      <c r="O70" s="76">
        <v>59</v>
      </c>
      <c r="P70" s="76">
        <v>56.9</v>
      </c>
      <c r="Q70" s="76">
        <v>64.5</v>
      </c>
      <c r="R70" s="76">
        <v>53.3</v>
      </c>
      <c r="S70" s="76">
        <v>65</v>
      </c>
      <c r="T70" s="76">
        <v>60.9</v>
      </c>
      <c r="U70" s="76">
        <v>66.8</v>
      </c>
      <c r="V70" s="76">
        <v>53.8</v>
      </c>
      <c r="W70" s="76">
        <v>41.5</v>
      </c>
      <c r="X70" s="76">
        <v>50.2</v>
      </c>
      <c r="Y70" s="65">
        <v>54.4</v>
      </c>
      <c r="Z70" s="65">
        <v>54</v>
      </c>
      <c r="AA70" s="65">
        <v>54</v>
      </c>
      <c r="AB70" s="65">
        <v>58.2</v>
      </c>
      <c r="AC70" s="65">
        <v>51.9</v>
      </c>
      <c r="AD70" s="65">
        <v>48.7</v>
      </c>
      <c r="AE70" s="65">
        <v>52.6</v>
      </c>
      <c r="AF70" s="65">
        <v>52.6</v>
      </c>
      <c r="AG70" s="75"/>
      <c r="AH70" s="47">
        <f t="shared" si="2"/>
        <v>70.8</v>
      </c>
      <c r="AI70" s="48">
        <f t="shared" si="3"/>
        <v>41.5</v>
      </c>
      <c r="AK70" s="49"/>
    </row>
    <row r="71" spans="1:40" x14ac:dyDescent="0.25">
      <c r="A71" s="53" t="s">
        <v>79</v>
      </c>
      <c r="B71" s="45">
        <v>22</v>
      </c>
      <c r="C71" s="45">
        <v>22</v>
      </c>
      <c r="D71" s="45">
        <v>22</v>
      </c>
      <c r="E71" s="45">
        <v>22</v>
      </c>
      <c r="F71" s="45">
        <v>22</v>
      </c>
      <c r="G71" s="45">
        <v>22</v>
      </c>
      <c r="H71" s="45">
        <v>20</v>
      </c>
      <c r="I71" s="45">
        <v>20</v>
      </c>
      <c r="J71" s="45">
        <v>16.2</v>
      </c>
      <c r="K71" s="45">
        <v>17</v>
      </c>
      <c r="L71" s="45">
        <v>17</v>
      </c>
      <c r="M71" s="45">
        <v>19.3</v>
      </c>
      <c r="N71" s="45">
        <v>21.6</v>
      </c>
      <c r="O71" s="45">
        <v>58.6</v>
      </c>
      <c r="P71" s="45">
        <v>35.6</v>
      </c>
      <c r="Q71" s="45">
        <v>35.700000000000003</v>
      </c>
      <c r="R71" s="45">
        <v>33.200000000000003</v>
      </c>
      <c r="S71" s="45">
        <v>35.4</v>
      </c>
      <c r="T71" s="45">
        <v>33.799999999999997</v>
      </c>
      <c r="U71" s="45">
        <v>33.9</v>
      </c>
      <c r="V71" s="45">
        <v>29</v>
      </c>
      <c r="W71" s="45">
        <v>49.3</v>
      </c>
      <c r="X71" s="45">
        <v>49.2</v>
      </c>
      <c r="Y71" s="45">
        <v>54.2</v>
      </c>
      <c r="Z71" s="45">
        <v>51.1</v>
      </c>
      <c r="AA71" s="45">
        <v>51.1</v>
      </c>
      <c r="AB71" s="45">
        <v>56.5</v>
      </c>
      <c r="AC71" s="45">
        <v>18.899999999999999</v>
      </c>
      <c r="AD71" s="45">
        <v>25.1</v>
      </c>
      <c r="AE71" s="45">
        <v>23.3</v>
      </c>
      <c r="AF71" s="45">
        <v>23.3</v>
      </c>
      <c r="AG71" s="75"/>
      <c r="AH71" s="47">
        <f t="shared" si="2"/>
        <v>58.6</v>
      </c>
      <c r="AI71" s="48">
        <f t="shared" si="3"/>
        <v>16.2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0</v>
      </c>
      <c r="O72" s="77">
        <v>0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7</v>
      </c>
      <c r="Z72" s="77">
        <v>7</v>
      </c>
      <c r="AA72" s="77">
        <v>7</v>
      </c>
      <c r="AB72" s="77">
        <v>7</v>
      </c>
      <c r="AC72" s="77">
        <v>7</v>
      </c>
      <c r="AD72" s="77">
        <v>7</v>
      </c>
      <c r="AE72" s="77">
        <v>7</v>
      </c>
      <c r="AF72" s="77">
        <v>0</v>
      </c>
      <c r="AG72" s="75"/>
      <c r="AH72" s="47">
        <f t="shared" si="2"/>
        <v>7</v>
      </c>
      <c r="AI72" s="48">
        <f t="shared" si="3"/>
        <v>0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8">MAX(B75:AF75)</f>
        <v>0</v>
      </c>
      <c r="AI75" s="48">
        <f t="shared" ref="AI75:AI113" si="9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8"/>
        <v>0</v>
      </c>
      <c r="AI76" s="48">
        <f t="shared" si="9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>
        <v>0</v>
      </c>
      <c r="Z77" s="77"/>
      <c r="AA77" s="77"/>
      <c r="AB77" s="77"/>
      <c r="AC77" s="77"/>
      <c r="AD77" s="77"/>
      <c r="AE77" s="77">
        <v>0</v>
      </c>
      <c r="AF77" s="77">
        <v>0</v>
      </c>
      <c r="AG77" s="85"/>
      <c r="AH77" s="47">
        <f t="shared" si="8"/>
        <v>0</v>
      </c>
      <c r="AI77" s="48">
        <f t="shared" si="9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F78" si="10">SUMIF(B67:B77,"&gt;0")</f>
        <v>481</v>
      </c>
      <c r="C78" s="60">
        <f t="shared" si="10"/>
        <v>484</v>
      </c>
      <c r="D78" s="60">
        <f>SUMIF(D67:D77,"&gt;0")</f>
        <v>484</v>
      </c>
      <c r="E78" s="60">
        <f>SUMIF(E67:E77,"&gt;0")</f>
        <v>454</v>
      </c>
      <c r="F78" s="60">
        <f>SUMIF(F67:F77,"&gt;0")</f>
        <v>452</v>
      </c>
      <c r="G78" s="60">
        <f>SUMIF(G67:G77,"&gt;0")</f>
        <v>450</v>
      </c>
      <c r="H78" s="60">
        <f t="shared" si="10"/>
        <v>474</v>
      </c>
      <c r="I78" s="60">
        <f t="shared" si="10"/>
        <v>443.8</v>
      </c>
      <c r="J78" s="60">
        <f t="shared" si="10"/>
        <v>437.8</v>
      </c>
      <c r="K78" s="60">
        <f t="shared" si="10"/>
        <v>398</v>
      </c>
      <c r="L78" s="60">
        <f t="shared" si="10"/>
        <v>357.7</v>
      </c>
      <c r="M78" s="60">
        <f t="shared" si="10"/>
        <v>332.90000000000003</v>
      </c>
      <c r="N78" s="60">
        <f t="shared" si="10"/>
        <v>355</v>
      </c>
      <c r="O78" s="60">
        <f t="shared" si="10"/>
        <v>391.6</v>
      </c>
      <c r="P78" s="60">
        <f t="shared" si="10"/>
        <v>437.5</v>
      </c>
      <c r="Q78" s="60">
        <f t="shared" si="10"/>
        <v>497.59999999999997</v>
      </c>
      <c r="R78" s="60">
        <f t="shared" si="10"/>
        <v>499.40000000000003</v>
      </c>
      <c r="S78" s="60">
        <f t="shared" si="10"/>
        <v>515.70000000000005</v>
      </c>
      <c r="T78" s="60">
        <f t="shared" si="10"/>
        <v>509.9</v>
      </c>
      <c r="U78" s="60">
        <f t="shared" si="10"/>
        <v>494.2</v>
      </c>
      <c r="V78" s="60">
        <f t="shared" si="10"/>
        <v>466.02000000000004</v>
      </c>
      <c r="W78" s="60">
        <f t="shared" si="10"/>
        <v>434.8</v>
      </c>
      <c r="X78" s="60">
        <f t="shared" si="10"/>
        <v>455.29999999999995</v>
      </c>
      <c r="Y78" s="60">
        <f t="shared" si="10"/>
        <v>319.7</v>
      </c>
      <c r="Z78" s="60">
        <f t="shared" si="10"/>
        <v>246.29999999999998</v>
      </c>
      <c r="AA78" s="60">
        <f t="shared" si="10"/>
        <v>246.29999999999998</v>
      </c>
      <c r="AB78" s="60">
        <f t="shared" si="10"/>
        <v>386.3</v>
      </c>
      <c r="AC78" s="60">
        <f t="shared" si="10"/>
        <v>409.2</v>
      </c>
      <c r="AD78" s="60">
        <f t="shared" si="10"/>
        <v>407.40000000000003</v>
      </c>
      <c r="AE78" s="60">
        <f t="shared" si="10"/>
        <v>421.1</v>
      </c>
      <c r="AF78" s="60">
        <f t="shared" si="10"/>
        <v>414.1</v>
      </c>
      <c r="AG78" s="88">
        <f>SUM(AG67:AG77)</f>
        <v>0</v>
      </c>
      <c r="AH78" s="47">
        <f t="shared" si="8"/>
        <v>515.70000000000005</v>
      </c>
      <c r="AI78" s="48">
        <f t="shared" si="9"/>
        <v>246.29999999999998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8"/>
        <v>0</v>
      </c>
      <c r="AI79" s="48">
        <f t="shared" si="9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8"/>
        <v>0</v>
      </c>
      <c r="AI80" s="48">
        <f t="shared" si="9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8"/>
        <v>0</v>
      </c>
      <c r="AI81" s="48">
        <f t="shared" si="9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/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8"/>
        <v>0</v>
      </c>
      <c r="AI82" s="48">
        <f t="shared" si="9"/>
        <v>0</v>
      </c>
    </row>
    <row r="83" spans="1:37" ht="15.75" thickBot="1" x14ac:dyDescent="0.3">
      <c r="A83" s="74" t="s">
        <v>94</v>
      </c>
      <c r="B83" s="95">
        <f>B44+B48+B66+B62+B78+B82</f>
        <v>1088.3400000000001</v>
      </c>
      <c r="C83" s="95">
        <f t="shared" ref="C83:AG83" si="11">C44+C48+C66+C62+C78+C82</f>
        <v>1069.3400000000001</v>
      </c>
      <c r="D83" s="95">
        <f>D44+D48+D66+D62+D78+D82</f>
        <v>1069.3400000000001</v>
      </c>
      <c r="E83" s="95">
        <f>E44+E48+E66+E62+E78+E82</f>
        <v>1025.1400000000001</v>
      </c>
      <c r="F83" s="95">
        <f>F44+F48+F66+F62+F78+F82</f>
        <v>1023.1400000000001</v>
      </c>
      <c r="G83" s="95">
        <f>G44+G48+G66+G62+G78+G82</f>
        <v>1076.1399999999999</v>
      </c>
      <c r="H83" s="95">
        <f t="shared" si="11"/>
        <v>1137.1399999999999</v>
      </c>
      <c r="I83" s="95">
        <f t="shared" si="11"/>
        <v>1235.24</v>
      </c>
      <c r="J83" s="95">
        <f t="shared" si="11"/>
        <v>1290.54</v>
      </c>
      <c r="K83" s="95">
        <f t="shared" si="11"/>
        <v>1354.1399999999999</v>
      </c>
      <c r="L83" s="95">
        <f t="shared" si="11"/>
        <v>1351.44</v>
      </c>
      <c r="M83" s="95">
        <f t="shared" si="11"/>
        <v>1326.8400000000001</v>
      </c>
      <c r="N83" s="95">
        <f t="shared" si="11"/>
        <v>1236.1399999999999</v>
      </c>
      <c r="O83" s="95">
        <f t="shared" si="11"/>
        <v>1215.6399999999999</v>
      </c>
      <c r="P83" s="95">
        <f t="shared" si="11"/>
        <v>1281.6399999999999</v>
      </c>
      <c r="Q83" s="95">
        <f t="shared" si="11"/>
        <v>1321.74</v>
      </c>
      <c r="R83" s="95">
        <f t="shared" si="11"/>
        <v>1300.24</v>
      </c>
      <c r="S83" s="95">
        <f t="shared" si="11"/>
        <v>1335.14</v>
      </c>
      <c r="T83" s="95">
        <f t="shared" si="11"/>
        <v>1346.1399999999999</v>
      </c>
      <c r="U83" s="95">
        <f t="shared" si="11"/>
        <v>1330.24</v>
      </c>
      <c r="V83" s="95">
        <f t="shared" si="11"/>
        <v>1213.1600000000001</v>
      </c>
      <c r="W83" s="95">
        <f t="shared" si="11"/>
        <v>1226.74</v>
      </c>
      <c r="X83" s="95">
        <f t="shared" si="11"/>
        <v>1379.34</v>
      </c>
      <c r="Y83" s="95">
        <f t="shared" si="11"/>
        <v>1450.84</v>
      </c>
      <c r="Z83" s="95">
        <f t="shared" si="11"/>
        <v>1415.04</v>
      </c>
      <c r="AA83" s="95">
        <f t="shared" si="11"/>
        <v>1423.24</v>
      </c>
      <c r="AB83" s="95">
        <f t="shared" si="11"/>
        <v>1349.04</v>
      </c>
      <c r="AC83" s="95">
        <f t="shared" si="11"/>
        <v>1346.04</v>
      </c>
      <c r="AD83" s="95">
        <f t="shared" si="11"/>
        <v>1335.14</v>
      </c>
      <c r="AE83" s="95">
        <f t="shared" si="11"/>
        <v>1230.8399999999999</v>
      </c>
      <c r="AF83" s="95">
        <f t="shared" si="11"/>
        <v>1090.1399999999999</v>
      </c>
      <c r="AG83" s="61">
        <f t="shared" si="11"/>
        <v>2004.1900000000003</v>
      </c>
      <c r="AH83" s="47">
        <f>MAX(B83:AF83)</f>
        <v>1450.84</v>
      </c>
      <c r="AI83" s="48">
        <f>MIN(B83:AF83)</f>
        <v>1023.1400000000001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>
        <v>150</v>
      </c>
      <c r="M84" s="97">
        <v>150</v>
      </c>
      <c r="N84" s="97">
        <v>130</v>
      </c>
      <c r="O84" s="97">
        <v>100</v>
      </c>
      <c r="P84" s="97">
        <v>0</v>
      </c>
      <c r="Q84" s="97"/>
      <c r="R84" s="97"/>
      <c r="S84" s="97"/>
      <c r="T84" s="97"/>
      <c r="U84" s="97"/>
      <c r="V84" s="97">
        <v>120</v>
      </c>
      <c r="W84" s="97">
        <v>200</v>
      </c>
      <c r="X84" s="97">
        <v>200</v>
      </c>
      <c r="Y84" s="97">
        <v>200</v>
      </c>
      <c r="Z84" s="97">
        <v>200</v>
      </c>
      <c r="AA84" s="97"/>
      <c r="AB84" s="97"/>
      <c r="AC84" s="97"/>
      <c r="AD84" s="97"/>
      <c r="AE84" s="97"/>
      <c r="AF84" s="97"/>
      <c r="AG84" s="88"/>
      <c r="AH84" s="47">
        <f t="shared" si="8"/>
        <v>200</v>
      </c>
      <c r="AI84" s="48">
        <f t="shared" si="9"/>
        <v>0</v>
      </c>
    </row>
    <row r="85" spans="1:37" ht="15.75" thickBot="1" x14ac:dyDescent="0.3">
      <c r="A85" s="74" t="s">
        <v>96</v>
      </c>
      <c r="B85" s="95">
        <f>B83+B84</f>
        <v>1088.3400000000001</v>
      </c>
      <c r="C85" s="95">
        <f t="shared" ref="C85:AF85" si="12">C83+C84</f>
        <v>1069.3400000000001</v>
      </c>
      <c r="D85" s="95">
        <f>D83+D84</f>
        <v>1069.3400000000001</v>
      </c>
      <c r="E85" s="95">
        <f>E83+E84</f>
        <v>1025.1400000000001</v>
      </c>
      <c r="F85" s="95">
        <f>F83+F84</f>
        <v>1023.1400000000001</v>
      </c>
      <c r="G85" s="95">
        <f>G83+G84</f>
        <v>1076.1399999999999</v>
      </c>
      <c r="H85" s="95">
        <f t="shared" si="12"/>
        <v>1137.1399999999999</v>
      </c>
      <c r="I85" s="95">
        <f t="shared" si="12"/>
        <v>1235.24</v>
      </c>
      <c r="J85" s="95">
        <f t="shared" si="12"/>
        <v>1290.54</v>
      </c>
      <c r="K85" s="95">
        <f t="shared" si="12"/>
        <v>1354.1399999999999</v>
      </c>
      <c r="L85" s="95">
        <f t="shared" si="12"/>
        <v>1501.44</v>
      </c>
      <c r="M85" s="95">
        <f t="shared" si="12"/>
        <v>1476.8400000000001</v>
      </c>
      <c r="N85" s="95">
        <f>N83+N84</f>
        <v>1366.1399999999999</v>
      </c>
      <c r="O85" s="95">
        <f t="shared" si="12"/>
        <v>1315.6399999999999</v>
      </c>
      <c r="P85" s="95">
        <f t="shared" si="12"/>
        <v>1281.6399999999999</v>
      </c>
      <c r="Q85" s="95">
        <f t="shared" si="12"/>
        <v>1321.74</v>
      </c>
      <c r="R85" s="95">
        <f t="shared" si="12"/>
        <v>1300.24</v>
      </c>
      <c r="S85" s="95">
        <f t="shared" si="12"/>
        <v>1335.14</v>
      </c>
      <c r="T85" s="95">
        <f t="shared" si="12"/>
        <v>1346.1399999999999</v>
      </c>
      <c r="U85" s="95">
        <f t="shared" si="12"/>
        <v>1330.24</v>
      </c>
      <c r="V85" s="95">
        <f t="shared" si="12"/>
        <v>1333.16</v>
      </c>
      <c r="W85" s="95">
        <f t="shared" si="12"/>
        <v>1426.74</v>
      </c>
      <c r="X85" s="95">
        <f t="shared" si="12"/>
        <v>1579.34</v>
      </c>
      <c r="Y85" s="95">
        <f t="shared" si="12"/>
        <v>1650.84</v>
      </c>
      <c r="Z85" s="95">
        <f t="shared" si="12"/>
        <v>1615.04</v>
      </c>
      <c r="AA85" s="95">
        <f t="shared" si="12"/>
        <v>1423.24</v>
      </c>
      <c r="AB85" s="95">
        <f t="shared" si="12"/>
        <v>1349.04</v>
      </c>
      <c r="AC85" s="95">
        <f t="shared" si="12"/>
        <v>1346.04</v>
      </c>
      <c r="AD85" s="95">
        <f t="shared" si="12"/>
        <v>1335.14</v>
      </c>
      <c r="AE85" s="95">
        <f t="shared" si="12"/>
        <v>1230.8399999999999</v>
      </c>
      <c r="AF85" s="95">
        <f t="shared" si="12"/>
        <v>1090.1399999999999</v>
      </c>
      <c r="AG85" s="88">
        <f>AG82+AG78+AG66+AG62+AG44+AG84</f>
        <v>1466.0900000000001</v>
      </c>
      <c r="AH85" s="47">
        <f t="shared" si="8"/>
        <v>1650.84</v>
      </c>
      <c r="AI85" s="48">
        <f t="shared" si="9"/>
        <v>1023.1400000000001</v>
      </c>
    </row>
    <row r="86" spans="1:37" ht="15.75" thickBot="1" x14ac:dyDescent="0.3">
      <c r="A86" s="74" t="s">
        <v>97</v>
      </c>
      <c r="B86" s="95">
        <f t="shared" ref="B86:AF86" si="13">B85-B93</f>
        <v>1088.3400000000001</v>
      </c>
      <c r="C86" s="95">
        <f t="shared" si="13"/>
        <v>1069.3400000000001</v>
      </c>
      <c r="D86" s="95">
        <f>D85-D93</f>
        <v>1069.3400000000001</v>
      </c>
      <c r="E86" s="95">
        <f>E85-E93</f>
        <v>1025.1400000000001</v>
      </c>
      <c r="F86" s="95">
        <f>F85-F93</f>
        <v>1023.1400000000001</v>
      </c>
      <c r="G86" s="95">
        <f>G85-G93</f>
        <v>1076.1399999999999</v>
      </c>
      <c r="H86" s="95">
        <f t="shared" si="13"/>
        <v>1137.1399999999999</v>
      </c>
      <c r="I86" s="95">
        <f t="shared" si="13"/>
        <v>1235.24</v>
      </c>
      <c r="J86" s="95">
        <f t="shared" si="13"/>
        <v>1290.54</v>
      </c>
      <c r="K86" s="95">
        <f t="shared" si="13"/>
        <v>1354.1399999999999</v>
      </c>
      <c r="L86" s="95">
        <f t="shared" si="13"/>
        <v>1501.44</v>
      </c>
      <c r="M86" s="95">
        <f t="shared" si="13"/>
        <v>1476.8400000000001</v>
      </c>
      <c r="N86" s="95">
        <f t="shared" si="13"/>
        <v>1366.1399999999999</v>
      </c>
      <c r="O86" s="95">
        <f t="shared" si="13"/>
        <v>1315.6399999999999</v>
      </c>
      <c r="P86" s="95">
        <f t="shared" si="13"/>
        <v>1281.6399999999999</v>
      </c>
      <c r="Q86" s="95">
        <f t="shared" si="13"/>
        <v>1321.74</v>
      </c>
      <c r="R86" s="95">
        <f t="shared" si="13"/>
        <v>1300.24</v>
      </c>
      <c r="S86" s="95">
        <f t="shared" si="13"/>
        <v>1335.14</v>
      </c>
      <c r="T86" s="95">
        <f t="shared" si="13"/>
        <v>1346.1399999999999</v>
      </c>
      <c r="U86" s="95">
        <f t="shared" si="13"/>
        <v>1330.24</v>
      </c>
      <c r="V86" s="95">
        <f t="shared" si="13"/>
        <v>1333.16</v>
      </c>
      <c r="W86" s="95">
        <f t="shared" si="13"/>
        <v>1426.74</v>
      </c>
      <c r="X86" s="95">
        <f t="shared" si="13"/>
        <v>1579.34</v>
      </c>
      <c r="Y86" s="95">
        <f t="shared" si="13"/>
        <v>1650.84</v>
      </c>
      <c r="Z86" s="95">
        <f t="shared" si="13"/>
        <v>1615.04</v>
      </c>
      <c r="AA86" s="95">
        <f t="shared" si="13"/>
        <v>1423.24</v>
      </c>
      <c r="AB86" s="95">
        <f t="shared" si="13"/>
        <v>1349.04</v>
      </c>
      <c r="AC86" s="95">
        <f t="shared" si="13"/>
        <v>1346.04</v>
      </c>
      <c r="AD86" s="95">
        <f t="shared" si="13"/>
        <v>1335.14</v>
      </c>
      <c r="AE86" s="95">
        <f t="shared" si="13"/>
        <v>1230.8399999999999</v>
      </c>
      <c r="AF86" s="95">
        <f t="shared" si="13"/>
        <v>1090.1399999999999</v>
      </c>
      <c r="AG86" s="88"/>
      <c r="AH86" s="47">
        <f t="shared" si="8"/>
        <v>1650.84</v>
      </c>
      <c r="AI86" s="48">
        <f t="shared" si="9"/>
        <v>1023.1400000000001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8"/>
        <v>0</v>
      </c>
      <c r="AI87" s="48">
        <f t="shared" si="9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8"/>
        <v>0</v>
      </c>
      <c r="AI88" s="48">
        <f t="shared" si="9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8"/>
        <v>0</v>
      </c>
      <c r="AI89" s="48">
        <f t="shared" si="9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8"/>
        <v>0</v>
      </c>
      <c r="AI90" s="48">
        <f t="shared" si="9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8"/>
        <v>0</v>
      </c>
      <c r="AI91" s="48">
        <f t="shared" si="9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8"/>
        <v>0</v>
      </c>
      <c r="AI92" s="48">
        <f t="shared" si="9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88"/>
      <c r="AH93" s="47">
        <f t="shared" si="8"/>
        <v>0</v>
      </c>
      <c r="AI93" s="48">
        <f t="shared" si="9"/>
        <v>0</v>
      </c>
      <c r="AK93" s="49"/>
    </row>
    <row r="94" spans="1:37" ht="15.75" thickBot="1" x14ac:dyDescent="0.3">
      <c r="A94" s="74" t="s">
        <v>102</v>
      </c>
      <c r="B94" s="60">
        <f t="shared" ref="B94:AF94" si="14">B78-B93</f>
        <v>481</v>
      </c>
      <c r="C94" s="60">
        <f t="shared" si="14"/>
        <v>484</v>
      </c>
      <c r="D94" s="60">
        <f>D78-D93</f>
        <v>484</v>
      </c>
      <c r="E94" s="60">
        <f>E78-E93</f>
        <v>454</v>
      </c>
      <c r="F94" s="60">
        <f>F78-F93</f>
        <v>452</v>
      </c>
      <c r="G94" s="60">
        <f>G78-G93</f>
        <v>450</v>
      </c>
      <c r="H94" s="60">
        <f t="shared" si="14"/>
        <v>474</v>
      </c>
      <c r="I94" s="60">
        <f t="shared" si="14"/>
        <v>443.8</v>
      </c>
      <c r="J94" s="60">
        <f t="shared" si="14"/>
        <v>437.8</v>
      </c>
      <c r="K94" s="60">
        <f t="shared" si="14"/>
        <v>398</v>
      </c>
      <c r="L94" s="60">
        <f t="shared" si="14"/>
        <v>357.7</v>
      </c>
      <c r="M94" s="60">
        <f t="shared" si="14"/>
        <v>332.90000000000003</v>
      </c>
      <c r="N94" s="60">
        <f t="shared" si="14"/>
        <v>355</v>
      </c>
      <c r="O94" s="60">
        <f t="shared" si="14"/>
        <v>391.6</v>
      </c>
      <c r="P94" s="60">
        <f t="shared" si="14"/>
        <v>437.5</v>
      </c>
      <c r="Q94" s="60">
        <f t="shared" si="14"/>
        <v>497.59999999999997</v>
      </c>
      <c r="R94" s="60">
        <f t="shared" si="14"/>
        <v>499.40000000000003</v>
      </c>
      <c r="S94" s="60">
        <f t="shared" si="14"/>
        <v>515.70000000000005</v>
      </c>
      <c r="T94" s="60">
        <f t="shared" si="14"/>
        <v>509.9</v>
      </c>
      <c r="U94" s="60">
        <f t="shared" si="14"/>
        <v>494.2</v>
      </c>
      <c r="V94" s="60">
        <f t="shared" si="14"/>
        <v>466.02000000000004</v>
      </c>
      <c r="W94" s="60">
        <f t="shared" si="14"/>
        <v>434.8</v>
      </c>
      <c r="X94" s="60">
        <f t="shared" si="14"/>
        <v>455.29999999999995</v>
      </c>
      <c r="Y94" s="60">
        <f t="shared" si="14"/>
        <v>319.7</v>
      </c>
      <c r="Z94" s="60">
        <f t="shared" si="14"/>
        <v>246.29999999999998</v>
      </c>
      <c r="AA94" s="60">
        <f t="shared" si="14"/>
        <v>246.29999999999998</v>
      </c>
      <c r="AB94" s="60">
        <f t="shared" si="14"/>
        <v>386.3</v>
      </c>
      <c r="AC94" s="60">
        <f t="shared" si="14"/>
        <v>409.2</v>
      </c>
      <c r="AD94" s="60">
        <f t="shared" si="14"/>
        <v>407.40000000000003</v>
      </c>
      <c r="AE94" s="60">
        <f t="shared" si="14"/>
        <v>421.1</v>
      </c>
      <c r="AF94" s="60">
        <f t="shared" si="14"/>
        <v>414.1</v>
      </c>
      <c r="AG94" s="88"/>
      <c r="AH94" s="47">
        <f t="shared" si="8"/>
        <v>515.70000000000005</v>
      </c>
      <c r="AI94" s="48">
        <f t="shared" si="9"/>
        <v>246.29999999999998</v>
      </c>
    </row>
    <row r="95" spans="1:37" x14ac:dyDescent="0.25">
      <c r="A95" s="100" t="s">
        <v>103</v>
      </c>
      <c r="B95" s="101">
        <v>50</v>
      </c>
      <c r="C95" s="101">
        <v>50.1</v>
      </c>
      <c r="D95" s="101">
        <v>50.1</v>
      </c>
      <c r="E95" s="101">
        <v>50.1</v>
      </c>
      <c r="F95" s="101">
        <v>50.1</v>
      </c>
      <c r="G95" s="101">
        <v>50.04</v>
      </c>
      <c r="H95" s="101">
        <v>50.09</v>
      </c>
      <c r="I95" s="101">
        <v>50.07</v>
      </c>
      <c r="J95" s="101">
        <v>50.02</v>
      </c>
      <c r="K95" s="101">
        <v>50.01</v>
      </c>
      <c r="L95" s="101">
        <v>50.09</v>
      </c>
      <c r="M95" s="101">
        <v>50.137999999999998</v>
      </c>
      <c r="N95" s="101">
        <v>50.158000000000001</v>
      </c>
      <c r="O95" s="101">
        <v>49.99</v>
      </c>
      <c r="P95" s="101">
        <v>50</v>
      </c>
      <c r="Q95" s="101">
        <v>50.002000000000002</v>
      </c>
      <c r="R95" s="101">
        <v>49.948</v>
      </c>
      <c r="S95" s="101">
        <v>50.03</v>
      </c>
      <c r="T95" s="101">
        <v>49.963999999999999</v>
      </c>
      <c r="U95" s="101">
        <v>50.003</v>
      </c>
      <c r="V95" s="101">
        <v>49.978999999999999</v>
      </c>
      <c r="W95" s="101">
        <v>50.109000000000002</v>
      </c>
      <c r="X95" s="101">
        <v>49.976999999999997</v>
      </c>
      <c r="Y95" s="101">
        <v>50.042000000000002</v>
      </c>
      <c r="Z95" s="101">
        <v>50.075000000000003</v>
      </c>
      <c r="AA95" s="101">
        <v>49.917999999999999</v>
      </c>
      <c r="AB95" s="101">
        <v>50.173999999999999</v>
      </c>
      <c r="AC95" s="101">
        <v>49.987000000000002</v>
      </c>
      <c r="AD95" s="101">
        <v>49.948</v>
      </c>
      <c r="AE95" s="101">
        <v>49.8</v>
      </c>
      <c r="AF95" s="101">
        <v>49.8</v>
      </c>
      <c r="AG95" s="102"/>
      <c r="AH95" s="47">
        <f t="shared" si="8"/>
        <v>50.173999999999999</v>
      </c>
      <c r="AI95" s="48">
        <f t="shared" si="9"/>
        <v>49.8</v>
      </c>
    </row>
    <row r="96" spans="1:37" x14ac:dyDescent="0.25">
      <c r="A96" s="103" t="s">
        <v>104</v>
      </c>
      <c r="B96" s="65">
        <v>127</v>
      </c>
      <c r="C96" s="65">
        <v>127</v>
      </c>
      <c r="D96" s="65">
        <v>127</v>
      </c>
      <c r="E96" s="65">
        <v>127</v>
      </c>
      <c r="F96" s="65">
        <v>127</v>
      </c>
      <c r="G96" s="65">
        <v>129</v>
      </c>
      <c r="H96" s="65">
        <v>126.3</v>
      </c>
      <c r="I96" s="65">
        <v>126.8</v>
      </c>
      <c r="J96" s="65">
        <v>126.9</v>
      </c>
      <c r="K96" s="65">
        <v>128.6</v>
      </c>
      <c r="L96" s="65">
        <v>127.2</v>
      </c>
      <c r="M96" s="65">
        <v>126.3</v>
      </c>
      <c r="N96" s="65">
        <v>126.2</v>
      </c>
      <c r="O96" s="65">
        <v>126.6</v>
      </c>
      <c r="P96" s="65">
        <v>124.8</v>
      </c>
      <c r="Q96" s="65">
        <v>126.4</v>
      </c>
      <c r="R96" s="65">
        <v>124</v>
      </c>
      <c r="S96" s="65">
        <v>124.6</v>
      </c>
      <c r="T96" s="65">
        <v>124.6</v>
      </c>
      <c r="U96" s="65">
        <v>127</v>
      </c>
      <c r="V96" s="65">
        <v>129.1</v>
      </c>
      <c r="W96" s="65">
        <v>129.5</v>
      </c>
      <c r="X96" s="65">
        <v>128.4</v>
      </c>
      <c r="Y96" s="65">
        <v>127.8</v>
      </c>
      <c r="Z96" s="65">
        <v>129.30000000000001</v>
      </c>
      <c r="AA96" s="65">
        <v>129.4</v>
      </c>
      <c r="AB96" s="65">
        <v>130</v>
      </c>
      <c r="AC96" s="65">
        <v>127.5</v>
      </c>
      <c r="AD96" s="65">
        <v>127.1</v>
      </c>
      <c r="AE96" s="65">
        <v>127</v>
      </c>
      <c r="AF96" s="65">
        <v>127.7</v>
      </c>
      <c r="AG96" s="104"/>
      <c r="AH96" s="47">
        <f t="shared" si="8"/>
        <v>130</v>
      </c>
      <c r="AI96" s="48">
        <f t="shared" si="9"/>
        <v>124</v>
      </c>
    </row>
    <row r="97" spans="1:35" x14ac:dyDescent="0.25">
      <c r="A97" s="103" t="s">
        <v>105</v>
      </c>
      <c r="B97" s="65">
        <v>131</v>
      </c>
      <c r="C97" s="65">
        <v>131</v>
      </c>
      <c r="D97" s="65">
        <v>131</v>
      </c>
      <c r="E97" s="65">
        <v>131</v>
      </c>
      <c r="F97" s="65">
        <v>131</v>
      </c>
      <c r="G97" s="65">
        <v>132.6</v>
      </c>
      <c r="H97" s="65">
        <v>130.1</v>
      </c>
      <c r="I97" s="65">
        <v>129.9</v>
      </c>
      <c r="J97" s="65">
        <v>129.5</v>
      </c>
      <c r="K97" s="65">
        <v>129.9</v>
      </c>
      <c r="L97" s="65">
        <v>128.1</v>
      </c>
      <c r="M97" s="65">
        <v>127.4</v>
      </c>
      <c r="N97" s="65">
        <v>127.9</v>
      </c>
      <c r="O97" s="65">
        <v>128</v>
      </c>
      <c r="P97" s="65">
        <v>127.63</v>
      </c>
      <c r="Q97" s="65">
        <v>128.9</v>
      </c>
      <c r="R97" s="65">
        <v>127.2</v>
      </c>
      <c r="S97" s="65">
        <v>127.3</v>
      </c>
      <c r="T97" s="65">
        <v>127.9</v>
      </c>
      <c r="U97" s="65">
        <v>129.5</v>
      </c>
      <c r="V97" s="65">
        <v>130.4</v>
      </c>
      <c r="W97" s="65">
        <v>130.5</v>
      </c>
      <c r="X97" s="65">
        <v>129.4</v>
      </c>
      <c r="Y97" s="65">
        <v>129</v>
      </c>
      <c r="Z97" s="65">
        <v>130.69999999999999</v>
      </c>
      <c r="AA97" s="65">
        <v>130.4</v>
      </c>
      <c r="AB97" s="65">
        <v>131.30000000000001</v>
      </c>
      <c r="AC97" s="65">
        <v>129.19999999999999</v>
      </c>
      <c r="AD97" s="65">
        <v>129.5</v>
      </c>
      <c r="AE97" s="65">
        <v>129.9</v>
      </c>
      <c r="AF97" s="65">
        <v>131.19999999999999</v>
      </c>
      <c r="AG97" s="104"/>
      <c r="AH97" s="47">
        <f t="shared" si="8"/>
        <v>132.6</v>
      </c>
      <c r="AI97" s="48">
        <f t="shared" si="9"/>
        <v>127.2</v>
      </c>
    </row>
    <row r="98" spans="1:35" x14ac:dyDescent="0.25">
      <c r="A98" s="103" t="s">
        <v>106</v>
      </c>
      <c r="B98" s="65">
        <v>131</v>
      </c>
      <c r="C98" s="65">
        <v>131</v>
      </c>
      <c r="D98" s="65">
        <v>131</v>
      </c>
      <c r="E98" s="65">
        <v>131</v>
      </c>
      <c r="F98" s="65">
        <v>131</v>
      </c>
      <c r="G98" s="65">
        <v>131</v>
      </c>
      <c r="H98" s="65">
        <v>127.2</v>
      </c>
      <c r="I98" s="65">
        <v>130.9</v>
      </c>
      <c r="J98" s="65">
        <v>131.9</v>
      </c>
      <c r="K98" s="65">
        <v>131.6</v>
      </c>
      <c r="L98" s="65">
        <v>129.9</v>
      </c>
      <c r="M98" s="65">
        <v>128.9</v>
      </c>
      <c r="N98" s="65">
        <v>128.69999999999999</v>
      </c>
      <c r="O98" s="65">
        <v>127.3</v>
      </c>
      <c r="P98" s="65">
        <v>127.5</v>
      </c>
      <c r="Q98" s="65">
        <v>130.5</v>
      </c>
      <c r="R98" s="65">
        <v>130.1</v>
      </c>
      <c r="S98" s="65">
        <v>129.1</v>
      </c>
      <c r="T98" s="65">
        <v>129.9</v>
      </c>
      <c r="U98" s="65">
        <v>129.6</v>
      </c>
      <c r="V98" s="65">
        <v>132.1</v>
      </c>
      <c r="W98" s="65">
        <v>128.6</v>
      </c>
      <c r="X98" s="65">
        <v>129.30000000000001</v>
      </c>
      <c r="Y98" s="65">
        <v>127.8</v>
      </c>
      <c r="Z98" s="65">
        <v>131.19999999999999</v>
      </c>
      <c r="AA98" s="65">
        <v>132.30000000000001</v>
      </c>
      <c r="AB98" s="65">
        <v>131.1</v>
      </c>
      <c r="AC98" s="65">
        <v>129.9</v>
      </c>
      <c r="AD98" s="65">
        <v>132.1</v>
      </c>
      <c r="AE98" s="65">
        <v>131.5</v>
      </c>
      <c r="AF98" s="65">
        <v>132.30000000000001</v>
      </c>
      <c r="AG98" s="104"/>
      <c r="AH98" s="47">
        <f t="shared" si="8"/>
        <v>132.30000000000001</v>
      </c>
      <c r="AI98" s="48">
        <f t="shared" si="9"/>
        <v>127.2</v>
      </c>
    </row>
    <row r="99" spans="1:35" x14ac:dyDescent="0.25">
      <c r="A99" s="105" t="s">
        <v>107</v>
      </c>
      <c r="B99" s="65">
        <v>134</v>
      </c>
      <c r="C99" s="65">
        <v>134</v>
      </c>
      <c r="D99" s="65">
        <v>134</v>
      </c>
      <c r="E99" s="65">
        <v>134</v>
      </c>
      <c r="F99" s="65">
        <v>134</v>
      </c>
      <c r="G99" s="65">
        <v>133.6</v>
      </c>
      <c r="H99" s="65">
        <v>129</v>
      </c>
      <c r="I99" s="65">
        <v>131.69999999999999</v>
      </c>
      <c r="J99" s="65">
        <v>133.5</v>
      </c>
      <c r="K99" s="65">
        <v>132.4</v>
      </c>
      <c r="L99" s="65">
        <v>130</v>
      </c>
      <c r="M99" s="65">
        <v>130</v>
      </c>
      <c r="N99" s="65">
        <v>129.80000000000001</v>
      </c>
      <c r="O99" s="65">
        <v>129.4</v>
      </c>
      <c r="P99" s="65">
        <v>129.5</v>
      </c>
      <c r="Q99" s="65">
        <v>132.80000000000001</v>
      </c>
      <c r="R99" s="65">
        <v>132.9</v>
      </c>
      <c r="S99" s="65">
        <v>132</v>
      </c>
      <c r="T99" s="65">
        <v>131.69999999999999</v>
      </c>
      <c r="U99" s="65">
        <v>131.30000000000001</v>
      </c>
      <c r="V99" s="65">
        <v>133.6</v>
      </c>
      <c r="W99" s="65">
        <v>130.69999999999999</v>
      </c>
      <c r="X99" s="65">
        <v>131.5</v>
      </c>
      <c r="Y99" s="65">
        <v>129.6</v>
      </c>
      <c r="Z99" s="65">
        <v>133.19999999999999</v>
      </c>
      <c r="AA99" s="65">
        <v>134.9</v>
      </c>
      <c r="AB99" s="65">
        <v>132.30000000000001</v>
      </c>
      <c r="AC99" s="65">
        <v>131.4</v>
      </c>
      <c r="AD99" s="65">
        <v>133.4</v>
      </c>
      <c r="AE99" s="65">
        <v>133.69999999999999</v>
      </c>
      <c r="AF99" s="65">
        <v>134.4</v>
      </c>
      <c r="AG99" s="104"/>
      <c r="AH99" s="47">
        <f t="shared" si="8"/>
        <v>134.9</v>
      </c>
      <c r="AI99" s="48">
        <f t="shared" si="9"/>
        <v>129</v>
      </c>
    </row>
    <row r="100" spans="1:35" x14ac:dyDescent="0.25">
      <c r="A100" s="105" t="s">
        <v>108</v>
      </c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>
        <v>2</v>
      </c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>
        <v>134.80000000000001</v>
      </c>
      <c r="Z100" s="106">
        <v>134.1</v>
      </c>
      <c r="AA100" s="106">
        <v>133.69</v>
      </c>
      <c r="AB100" s="106">
        <v>135.5</v>
      </c>
      <c r="AC100" s="106">
        <v>133.9</v>
      </c>
      <c r="AD100" s="106">
        <v>133.30000000000001</v>
      </c>
      <c r="AE100" s="106">
        <v>132.9</v>
      </c>
      <c r="AF100" s="106">
        <v>131.6</v>
      </c>
      <c r="AG100" s="107"/>
      <c r="AH100" s="47">
        <f t="shared" si="8"/>
        <v>135.5</v>
      </c>
      <c r="AI100" s="48">
        <f t="shared" si="9"/>
        <v>2</v>
      </c>
    </row>
    <row r="101" spans="1:35" x14ac:dyDescent="0.25">
      <c r="A101" s="103" t="s">
        <v>109</v>
      </c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>
        <v>128.5</v>
      </c>
      <c r="Z101" s="65">
        <v>133.1</v>
      </c>
      <c r="AA101" s="65">
        <v>133.4</v>
      </c>
      <c r="AB101" s="65">
        <v>132.80000000000001</v>
      </c>
      <c r="AC101" s="65">
        <v>130.4</v>
      </c>
      <c r="AD101" s="65">
        <v>131.6</v>
      </c>
      <c r="AE101" s="65">
        <v>132</v>
      </c>
      <c r="AF101" s="65">
        <v>136.6</v>
      </c>
      <c r="AG101" s="104"/>
      <c r="AH101" s="47">
        <f t="shared" si="8"/>
        <v>136.6</v>
      </c>
      <c r="AI101" s="48">
        <f t="shared" si="9"/>
        <v>128.5</v>
      </c>
    </row>
    <row r="102" spans="1:35" ht="15.75" thickBot="1" x14ac:dyDescent="0.3">
      <c r="A102" s="103" t="s">
        <v>110</v>
      </c>
      <c r="B102" s="92">
        <v>65.900000000000006</v>
      </c>
      <c r="C102" s="92">
        <v>65.900000000000006</v>
      </c>
      <c r="D102" s="92">
        <v>65.900000000000006</v>
      </c>
      <c r="E102" s="92">
        <v>65.900000000000006</v>
      </c>
      <c r="F102" s="92">
        <v>65.900000000000006</v>
      </c>
      <c r="G102" s="92">
        <v>66.8</v>
      </c>
      <c r="H102" s="92">
        <v>65.3</v>
      </c>
      <c r="I102" s="92">
        <v>65</v>
      </c>
      <c r="J102" s="92">
        <v>65.2</v>
      </c>
      <c r="K102" s="92">
        <v>65</v>
      </c>
      <c r="L102" s="92">
        <v>64.2</v>
      </c>
      <c r="M102" s="92">
        <v>63.9</v>
      </c>
      <c r="N102" s="92">
        <v>64.099999999999994</v>
      </c>
      <c r="O102" s="92">
        <v>63.9</v>
      </c>
      <c r="P102" s="92">
        <v>63.7</v>
      </c>
      <c r="Q102" s="92">
        <v>64.7</v>
      </c>
      <c r="R102" s="92">
        <v>63.9</v>
      </c>
      <c r="S102" s="92">
        <v>63.9</v>
      </c>
      <c r="T102" s="92">
        <v>63.9</v>
      </c>
      <c r="U102" s="92">
        <v>64.8</v>
      </c>
      <c r="V102" s="92">
        <v>65.2</v>
      </c>
      <c r="W102" s="92">
        <v>65.2</v>
      </c>
      <c r="X102" s="92">
        <v>64.8</v>
      </c>
      <c r="Y102" s="92">
        <v>64.599999999999994</v>
      </c>
      <c r="Z102" s="92">
        <v>65.599999999999994</v>
      </c>
      <c r="AA102" s="92">
        <v>65.8</v>
      </c>
      <c r="AB102" s="92">
        <v>65.900000000000006</v>
      </c>
      <c r="AC102" s="92">
        <v>64.900000000000006</v>
      </c>
      <c r="AD102" s="92">
        <v>65.099999999999994</v>
      </c>
      <c r="AE102" s="92">
        <v>65.099999999999994</v>
      </c>
      <c r="AF102" s="92">
        <v>66</v>
      </c>
      <c r="AG102" s="108"/>
      <c r="AH102" s="47">
        <f t="shared" si="8"/>
        <v>66.8</v>
      </c>
      <c r="AI102" s="48">
        <f t="shared" si="9"/>
        <v>63.7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8"/>
        <v>0</v>
      </c>
      <c r="AI103" s="48">
        <f t="shared" si="9"/>
        <v>0</v>
      </c>
    </row>
    <row r="104" spans="1:35" ht="15.75" thickBot="1" x14ac:dyDescent="0.3">
      <c r="A104" s="110" t="s">
        <v>112</v>
      </c>
      <c r="B104" s="111">
        <f t="shared" ref="B104:AF104" si="15">SUM(B16,B22,B25:B26,B52,B54:B55,B57,B59,B105:B109,B131,B137,B143,B152,B154,B166,B173,B176:B177,B184,B186,B188,B192:B194,B196:B198,B203,B209:B210,B212:B214,B222,B227)</f>
        <v>146.69999999999999</v>
      </c>
      <c r="C104" s="111">
        <f t="shared" si="15"/>
        <v>137.13999999999999</v>
      </c>
      <c r="D104" s="111">
        <f>SUM(D16,D22,D25:D26,D52,D54:D55,D57,D59,D105:D109,D131,D137,D143,D152,D154,D166,D173,D176:D177,D184,D186,D188,D192:D194,D196:D198,D203,D209:D210,D212:D214,D222,D227)</f>
        <v>137.13999999999999</v>
      </c>
      <c r="E104" s="111">
        <f>SUM(E16,E22,E25:E26,E52,E54:E55,E57,E59,E105:E109,E131,E137,E143,E152,E154,E166,E173,E176:E177,E184,E186,E188,E192:E194,E196:E198,E203,E209:E210,E212:E214,E222,E227)</f>
        <v>137.13999999999999</v>
      </c>
      <c r="F104" s="111">
        <f>SUM(F16,F22,F25:F26,F52,F54:F55,F57,F59,F105:F109,F131,F137,F143,F152,F154,F166,F173,F176:F177,F184,F186,F188,F192:F194,F196:F198,F203,F209:F210,F212:F214,F222,F227)</f>
        <v>137.13999999999999</v>
      </c>
      <c r="G104" s="111">
        <f>SUM(G16,G22,G25:G26,G52,G54:G55,G57,G59,G105:G109,G131,G137,G143,G152,G154,G166,G173,G176:G177,G184,G186,G188,G192:G194,G196:G198,G203,G209:G210,G212:G214,G222,G227)</f>
        <v>163.63999999999999</v>
      </c>
      <c r="H104" s="111">
        <f t="shared" si="15"/>
        <v>212.14</v>
      </c>
      <c r="I104" s="111">
        <f t="shared" si="15"/>
        <v>251.84</v>
      </c>
      <c r="J104" s="111">
        <f t="shared" si="15"/>
        <v>294.83999999999997</v>
      </c>
      <c r="K104" s="111">
        <f t="shared" si="15"/>
        <v>397.64</v>
      </c>
      <c r="L104" s="111">
        <f t="shared" si="15"/>
        <v>250.64000000000004</v>
      </c>
      <c r="M104" s="111">
        <f t="shared" si="15"/>
        <v>373.94</v>
      </c>
      <c r="N104" s="111">
        <f t="shared" si="15"/>
        <v>362.24</v>
      </c>
      <c r="O104" s="111">
        <f t="shared" si="15"/>
        <v>349.34000000000003</v>
      </c>
      <c r="P104" s="111">
        <v>42</v>
      </c>
      <c r="Q104" s="111">
        <f t="shared" si="15"/>
        <v>297.60000000000002</v>
      </c>
      <c r="R104" s="111">
        <f t="shared" si="15"/>
        <v>297.7</v>
      </c>
      <c r="S104" s="111">
        <f t="shared" si="15"/>
        <v>288.5</v>
      </c>
      <c r="T104" s="111">
        <f t="shared" si="15"/>
        <v>291.3</v>
      </c>
      <c r="U104" s="111">
        <f t="shared" si="15"/>
        <v>298.5</v>
      </c>
      <c r="V104" s="111">
        <f t="shared" si="15"/>
        <v>316.5</v>
      </c>
      <c r="W104" s="111">
        <f t="shared" si="15"/>
        <v>337.5</v>
      </c>
      <c r="X104" s="111">
        <f t="shared" si="15"/>
        <v>397.9</v>
      </c>
      <c r="Y104" s="111">
        <f t="shared" si="15"/>
        <v>422.8</v>
      </c>
      <c r="Z104" s="111">
        <f t="shared" si="15"/>
        <v>409.9</v>
      </c>
      <c r="AA104" s="111">
        <f t="shared" si="15"/>
        <v>389.6</v>
      </c>
      <c r="AB104" s="111">
        <f t="shared" si="15"/>
        <v>386.20000000000005</v>
      </c>
      <c r="AC104" s="111">
        <f t="shared" si="15"/>
        <v>368.70000000000005</v>
      </c>
      <c r="AD104" s="111">
        <f t="shared" si="15"/>
        <v>333.1</v>
      </c>
      <c r="AE104" s="111">
        <f t="shared" si="15"/>
        <v>251.10000000000002</v>
      </c>
      <c r="AF104" s="111">
        <f t="shared" si="15"/>
        <v>162.6</v>
      </c>
      <c r="AG104" s="112"/>
      <c r="AH104" s="47">
        <f t="shared" si="8"/>
        <v>422.8</v>
      </c>
      <c r="AI104" s="48">
        <f t="shared" si="9"/>
        <v>42</v>
      </c>
    </row>
    <row r="105" spans="1:35" x14ac:dyDescent="0.25">
      <c r="A105" s="100" t="s">
        <v>113</v>
      </c>
      <c r="B105" s="113">
        <v>-3.5</v>
      </c>
      <c r="C105" s="113">
        <v>-10</v>
      </c>
      <c r="D105" s="113">
        <v>-10</v>
      </c>
      <c r="E105" s="113">
        <v>-10</v>
      </c>
      <c r="F105" s="113">
        <v>-10</v>
      </c>
      <c r="G105" s="113">
        <v>0.8</v>
      </c>
      <c r="H105" s="113">
        <v>15.2</v>
      </c>
      <c r="I105" s="113">
        <v>19.399999999999999</v>
      </c>
      <c r="J105" s="113">
        <v>27</v>
      </c>
      <c r="K105" s="113">
        <v>48.9</v>
      </c>
      <c r="L105" s="113">
        <v>45.1</v>
      </c>
      <c r="M105" s="113">
        <v>46.1</v>
      </c>
      <c r="N105" s="113">
        <v>38.4</v>
      </c>
      <c r="O105" s="113">
        <v>26.3</v>
      </c>
      <c r="P105" s="113">
        <v>18.600000000000001</v>
      </c>
      <c r="Q105" s="113">
        <v>22.4</v>
      </c>
      <c r="R105" s="113">
        <v>21.2</v>
      </c>
      <c r="S105" s="113">
        <v>16.5</v>
      </c>
      <c r="T105" s="113">
        <v>10.9</v>
      </c>
      <c r="U105" s="113">
        <v>12.4</v>
      </c>
      <c r="V105" s="113">
        <v>22.7</v>
      </c>
      <c r="W105" s="113">
        <v>26.6</v>
      </c>
      <c r="X105" s="113">
        <v>32.5</v>
      </c>
      <c r="Y105" s="113">
        <v>28.7</v>
      </c>
      <c r="Z105" s="113">
        <v>27.5</v>
      </c>
      <c r="AA105" s="113">
        <v>33.6</v>
      </c>
      <c r="AB105" s="113">
        <v>39</v>
      </c>
      <c r="AC105" s="113">
        <v>32.1</v>
      </c>
      <c r="AD105" s="113">
        <v>29.7</v>
      </c>
      <c r="AE105" s="113">
        <v>11.6</v>
      </c>
      <c r="AF105" s="113">
        <v>-14.9</v>
      </c>
      <c r="AG105" s="114">
        <v>75</v>
      </c>
      <c r="AH105" s="47">
        <f t="shared" si="8"/>
        <v>48.9</v>
      </c>
      <c r="AI105" s="48">
        <f t="shared" si="9"/>
        <v>-14.9</v>
      </c>
    </row>
    <row r="106" spans="1:35" x14ac:dyDescent="0.25">
      <c r="A106" s="103" t="s">
        <v>114</v>
      </c>
      <c r="B106" s="115">
        <v>0</v>
      </c>
      <c r="C106" s="115">
        <v>-6</v>
      </c>
      <c r="D106" s="115">
        <v>-6</v>
      </c>
      <c r="E106" s="115">
        <v>-6</v>
      </c>
      <c r="F106" s="115">
        <v>-6</v>
      </c>
      <c r="G106" s="115">
        <v>5</v>
      </c>
      <c r="H106" s="115">
        <v>26.7</v>
      </c>
      <c r="I106" s="115">
        <v>31.8</v>
      </c>
      <c r="J106" s="115">
        <v>39.9</v>
      </c>
      <c r="K106" s="115">
        <v>64</v>
      </c>
      <c r="L106" s="115">
        <v>57.8</v>
      </c>
      <c r="M106" s="115">
        <v>59.3</v>
      </c>
      <c r="N106" s="115">
        <v>48.5</v>
      </c>
      <c r="O106" s="115">
        <v>29.4</v>
      </c>
      <c r="P106" s="115">
        <v>26.8</v>
      </c>
      <c r="Q106" s="115">
        <v>34.1</v>
      </c>
      <c r="R106" s="115">
        <v>32.5</v>
      </c>
      <c r="S106" s="115">
        <v>26.4</v>
      </c>
      <c r="T106" s="115">
        <v>17.100000000000001</v>
      </c>
      <c r="U106" s="115">
        <v>20</v>
      </c>
      <c r="V106" s="115">
        <v>19.8</v>
      </c>
      <c r="W106" s="115">
        <v>33.6</v>
      </c>
      <c r="X106" s="115">
        <v>39.1</v>
      </c>
      <c r="Y106" s="115">
        <v>32.9</v>
      </c>
      <c r="Z106" s="115">
        <v>33</v>
      </c>
      <c r="AA106" s="115">
        <v>40.200000000000003</v>
      </c>
      <c r="AB106" s="115">
        <v>49</v>
      </c>
      <c r="AC106" s="115">
        <v>43.1</v>
      </c>
      <c r="AD106" s="115">
        <v>40.299999999999997</v>
      </c>
      <c r="AE106" s="115">
        <v>12.3</v>
      </c>
      <c r="AF106" s="115">
        <v>-18.399999999999999</v>
      </c>
      <c r="AG106" s="114">
        <v>240</v>
      </c>
      <c r="AH106" s="47">
        <f t="shared" si="8"/>
        <v>64</v>
      </c>
      <c r="AI106" s="48">
        <f t="shared" si="9"/>
        <v>-18.399999999999999</v>
      </c>
    </row>
    <row r="107" spans="1:35" x14ac:dyDescent="0.25">
      <c r="A107" s="103" t="s">
        <v>115</v>
      </c>
      <c r="B107" s="115">
        <v>-40</v>
      </c>
      <c r="C107" s="115">
        <v>-42</v>
      </c>
      <c r="D107" s="115">
        <v>-42</v>
      </c>
      <c r="E107" s="115">
        <v>-42</v>
      </c>
      <c r="F107" s="115">
        <v>-42</v>
      </c>
      <c r="G107" s="115">
        <f>-15.2-16.6</f>
        <v>-31.8</v>
      </c>
      <c r="H107" s="115">
        <f>-17.3-18.7</f>
        <v>-36</v>
      </c>
      <c r="I107" s="115">
        <f>-9.8-10.6</f>
        <v>-20.399999999999999</v>
      </c>
      <c r="J107" s="115">
        <f>-6.6-0.9</f>
        <v>-7.5</v>
      </c>
      <c r="K107" s="115">
        <f>7.9+8.4</f>
        <v>16.3</v>
      </c>
      <c r="L107" s="115">
        <v>18.3</v>
      </c>
      <c r="M107" s="115">
        <v>22</v>
      </c>
      <c r="N107" s="115">
        <v>33</v>
      </c>
      <c r="O107" s="115">
        <v>47</v>
      </c>
      <c r="P107" s="115">
        <v>23</v>
      </c>
      <c r="Q107" s="115">
        <v>-12</v>
      </c>
      <c r="R107" s="115">
        <v>-8</v>
      </c>
      <c r="S107" s="115">
        <v>-10.3</v>
      </c>
      <c r="T107" s="115">
        <v>4</v>
      </c>
      <c r="U107" s="115">
        <v>10</v>
      </c>
      <c r="V107" s="115">
        <v>35</v>
      </c>
      <c r="W107" s="115">
        <f>20.7+21.4</f>
        <v>42.099999999999994</v>
      </c>
      <c r="X107" s="115">
        <f>37.6+36</f>
        <v>73.599999999999994</v>
      </c>
      <c r="Y107" s="115">
        <v>88.2</v>
      </c>
      <c r="Z107" s="115">
        <v>85</v>
      </c>
      <c r="AA107" s="115">
        <f>38+38</f>
        <v>76</v>
      </c>
      <c r="AB107" s="115">
        <v>63.9</v>
      </c>
      <c r="AC107" s="115">
        <v>36.799999999999997</v>
      </c>
      <c r="AD107" s="115">
        <v>16.2</v>
      </c>
      <c r="AE107" s="115">
        <f>-3.1-3.5</f>
        <v>-6.6</v>
      </c>
      <c r="AF107" s="115">
        <f>-8.8-10.1</f>
        <v>-18.899999999999999</v>
      </c>
      <c r="AG107" s="114">
        <v>240</v>
      </c>
      <c r="AH107" s="47">
        <f t="shared" si="8"/>
        <v>88.2</v>
      </c>
      <c r="AI107" s="48">
        <f t="shared" si="9"/>
        <v>-42</v>
      </c>
    </row>
    <row r="108" spans="1:35" x14ac:dyDescent="0.25">
      <c r="A108" s="103" t="s">
        <v>116</v>
      </c>
      <c r="B108" s="115">
        <v>-5</v>
      </c>
      <c r="C108" s="115">
        <v>-5</v>
      </c>
      <c r="D108" s="115">
        <v>-5</v>
      </c>
      <c r="E108" s="115">
        <v>-5</v>
      </c>
      <c r="F108" s="115">
        <v>-5</v>
      </c>
      <c r="G108" s="115">
        <v>-1.8</v>
      </c>
      <c r="H108" s="115">
        <v>1.3</v>
      </c>
      <c r="I108" s="115">
        <v>5.9</v>
      </c>
      <c r="J108" s="115">
        <v>13.6</v>
      </c>
      <c r="K108" s="115">
        <v>32.299999999999997</v>
      </c>
      <c r="L108" s="115">
        <v>14.3</v>
      </c>
      <c r="M108" s="115">
        <v>37.799999999999997</v>
      </c>
      <c r="N108" s="115">
        <v>23.9</v>
      </c>
      <c r="O108" s="115">
        <v>19.8</v>
      </c>
      <c r="P108" s="115">
        <v>26.5</v>
      </c>
      <c r="Q108" s="115">
        <v>31</v>
      </c>
      <c r="R108" s="115">
        <v>20.399999999999999</v>
      </c>
      <c r="S108" s="115">
        <v>20.6</v>
      </c>
      <c r="T108" s="115">
        <v>27.6</v>
      </c>
      <c r="U108" s="115">
        <v>27.8</v>
      </c>
      <c r="V108" s="115">
        <v>30.3</v>
      </c>
      <c r="W108" s="115">
        <v>30.8</v>
      </c>
      <c r="X108" s="115">
        <v>51.7</v>
      </c>
      <c r="Y108" s="115">
        <v>57.7</v>
      </c>
      <c r="Z108" s="115">
        <v>51.4</v>
      </c>
      <c r="AA108" s="115">
        <v>36.5</v>
      </c>
      <c r="AB108" s="115">
        <v>35.6</v>
      </c>
      <c r="AC108" s="115">
        <v>23.4</v>
      </c>
      <c r="AD108" s="115">
        <v>18.5</v>
      </c>
      <c r="AE108" s="115">
        <v>6.7</v>
      </c>
      <c r="AF108" s="115">
        <v>0</v>
      </c>
      <c r="AG108" s="114">
        <v>60</v>
      </c>
      <c r="AH108" s="47">
        <f t="shared" si="8"/>
        <v>57.7</v>
      </c>
      <c r="AI108" s="48">
        <f t="shared" si="9"/>
        <v>-5</v>
      </c>
    </row>
    <row r="109" spans="1:35" x14ac:dyDescent="0.25">
      <c r="A109" s="116" t="s">
        <v>117</v>
      </c>
      <c r="B109" s="117">
        <v>81</v>
      </c>
      <c r="C109" s="117">
        <v>85</v>
      </c>
      <c r="D109" s="117">
        <v>85</v>
      </c>
      <c r="E109" s="117">
        <v>85</v>
      </c>
      <c r="F109" s="117">
        <v>85</v>
      </c>
      <c r="G109" s="117">
        <v>76.3</v>
      </c>
      <c r="H109" s="117">
        <v>89.8</v>
      </c>
      <c r="I109" s="117">
        <v>100</v>
      </c>
      <c r="J109" s="117">
        <v>106.7</v>
      </c>
      <c r="K109" s="117">
        <v>121</v>
      </c>
      <c r="L109" s="117" t="s">
        <v>706</v>
      </c>
      <c r="M109" s="117">
        <v>93.6</v>
      </c>
      <c r="N109" s="117">
        <v>99.3</v>
      </c>
      <c r="O109" s="117">
        <v>105.7</v>
      </c>
      <c r="P109" s="117">
        <v>112</v>
      </c>
      <c r="Q109" s="117">
        <v>98.6</v>
      </c>
      <c r="R109" s="117">
        <v>108.1</v>
      </c>
      <c r="S109" s="117">
        <v>111.8</v>
      </c>
      <c r="T109" s="117">
        <v>108.2</v>
      </c>
      <c r="U109" s="117">
        <v>104.8</v>
      </c>
      <c r="V109" s="117">
        <v>95.4</v>
      </c>
      <c r="W109" s="117">
        <v>91.1</v>
      </c>
      <c r="X109" s="117">
        <v>87.7</v>
      </c>
      <c r="Y109" s="117">
        <v>102</v>
      </c>
      <c r="Z109" s="117">
        <v>99.7</v>
      </c>
      <c r="AA109" s="117">
        <v>90</v>
      </c>
      <c r="AB109" s="117">
        <v>85.1</v>
      </c>
      <c r="AC109" s="117">
        <v>119.7</v>
      </c>
      <c r="AD109" s="117">
        <v>112.8</v>
      </c>
      <c r="AE109" s="117">
        <v>109.3</v>
      </c>
      <c r="AF109" s="117">
        <v>99.2</v>
      </c>
      <c r="AG109" s="118">
        <v>120</v>
      </c>
      <c r="AH109" s="47">
        <f t="shared" si="8"/>
        <v>121</v>
      </c>
      <c r="AI109" s="48">
        <f t="shared" si="9"/>
        <v>76.3</v>
      </c>
    </row>
    <row r="110" spans="1:35" x14ac:dyDescent="0.25">
      <c r="A110" s="116" t="s">
        <v>118</v>
      </c>
      <c r="B110" s="117">
        <v>86</v>
      </c>
      <c r="C110" s="117">
        <v>93</v>
      </c>
      <c r="D110" s="117">
        <v>93</v>
      </c>
      <c r="E110" s="117">
        <v>80</v>
      </c>
      <c r="F110" s="117">
        <v>82</v>
      </c>
      <c r="G110" s="117">
        <v>75.5</v>
      </c>
      <c r="H110" s="117">
        <v>81.7</v>
      </c>
      <c r="I110" s="117">
        <v>92.1</v>
      </c>
      <c r="J110" s="117">
        <v>90.9</v>
      </c>
      <c r="K110" s="117">
        <v>47</v>
      </c>
      <c r="L110" s="117">
        <v>57.9</v>
      </c>
      <c r="M110" s="117">
        <v>61.5</v>
      </c>
      <c r="N110" s="117">
        <v>65.599999999999994</v>
      </c>
      <c r="O110" s="117">
        <v>68.7</v>
      </c>
      <c r="P110" s="117">
        <v>92</v>
      </c>
      <c r="Q110" s="117">
        <v>83.9</v>
      </c>
      <c r="R110" s="117">
        <v>96.5</v>
      </c>
      <c r="S110" s="117">
        <v>101.6</v>
      </c>
      <c r="T110" s="117">
        <v>100.4</v>
      </c>
      <c r="U110" s="117">
        <v>90.9</v>
      </c>
      <c r="V110" s="117">
        <v>70.5</v>
      </c>
      <c r="W110" s="117">
        <v>56.7</v>
      </c>
      <c r="X110" s="117">
        <v>72.8</v>
      </c>
      <c r="Y110" s="117">
        <v>84.3</v>
      </c>
      <c r="Z110" s="117">
        <v>83.5</v>
      </c>
      <c r="AA110" s="117">
        <v>79.5</v>
      </c>
      <c r="AB110" s="117">
        <v>85.1</v>
      </c>
      <c r="AC110" s="117">
        <v>83.4</v>
      </c>
      <c r="AD110" s="117">
        <v>84.6</v>
      </c>
      <c r="AE110" s="117">
        <v>95.4</v>
      </c>
      <c r="AF110" s="117">
        <v>97.5</v>
      </c>
      <c r="AG110" s="118"/>
      <c r="AH110" s="47">
        <f t="shared" si="8"/>
        <v>101.6</v>
      </c>
      <c r="AI110" s="48">
        <f t="shared" si="9"/>
        <v>47</v>
      </c>
    </row>
    <row r="111" spans="1:35" x14ac:dyDescent="0.25">
      <c r="A111" s="116" t="s">
        <v>119</v>
      </c>
      <c r="B111" s="117">
        <v>36.5</v>
      </c>
      <c r="C111" s="117">
        <v>36</v>
      </c>
      <c r="D111" s="117">
        <v>36</v>
      </c>
      <c r="E111" s="117">
        <v>36</v>
      </c>
      <c r="F111" s="117">
        <v>36</v>
      </c>
      <c r="G111" s="117">
        <v>29</v>
      </c>
      <c r="H111" s="117">
        <v>14.9</v>
      </c>
      <c r="I111" s="117">
        <v>10.5</v>
      </c>
      <c r="J111" s="117">
        <v>13.4</v>
      </c>
      <c r="K111" s="117">
        <v>-0.7</v>
      </c>
      <c r="L111" s="117">
        <v>-4.9000000000000004</v>
      </c>
      <c r="M111" s="117">
        <v>2.4</v>
      </c>
      <c r="N111" s="117">
        <v>-1.2</v>
      </c>
      <c r="O111" s="117">
        <v>17.5</v>
      </c>
      <c r="P111" s="117">
        <v>13.6</v>
      </c>
      <c r="Q111" s="117">
        <v>12.9</v>
      </c>
      <c r="R111" s="117">
        <v>11.9</v>
      </c>
      <c r="S111" s="117">
        <v>16</v>
      </c>
      <c r="T111" s="117">
        <v>22.7</v>
      </c>
      <c r="U111" s="117">
        <v>25.6</v>
      </c>
      <c r="V111" s="117">
        <v>11</v>
      </c>
      <c r="W111" s="117">
        <v>8.9</v>
      </c>
      <c r="X111" s="117">
        <v>11.6</v>
      </c>
      <c r="Y111" s="117">
        <v>16.8</v>
      </c>
      <c r="Z111" s="117">
        <v>22.3</v>
      </c>
      <c r="AA111" s="117">
        <v>20.9</v>
      </c>
      <c r="AB111" s="117">
        <v>15</v>
      </c>
      <c r="AC111" s="117">
        <v>11.2</v>
      </c>
      <c r="AD111" s="117">
        <v>13</v>
      </c>
      <c r="AE111" s="117">
        <v>21.2</v>
      </c>
      <c r="AF111" s="117">
        <v>40.700000000000003</v>
      </c>
      <c r="AG111" s="119"/>
      <c r="AH111" s="47">
        <f t="shared" si="8"/>
        <v>40.700000000000003</v>
      </c>
      <c r="AI111" s="48">
        <f t="shared" si="9"/>
        <v>-4.9000000000000004</v>
      </c>
    </row>
    <row r="112" spans="1:35" x14ac:dyDescent="0.25">
      <c r="A112" s="120" t="s">
        <v>120</v>
      </c>
      <c r="B112" s="106">
        <v>32</v>
      </c>
      <c r="C112" s="106">
        <v>34</v>
      </c>
      <c r="D112" s="106">
        <v>34</v>
      </c>
      <c r="E112" s="106">
        <v>34</v>
      </c>
      <c r="F112" s="106">
        <v>34</v>
      </c>
      <c r="G112" s="106">
        <v>-21</v>
      </c>
      <c r="H112" s="106">
        <v>-2.6</v>
      </c>
      <c r="I112" s="106">
        <v>-5.4</v>
      </c>
      <c r="J112" s="106">
        <v>-17.7</v>
      </c>
      <c r="K112" s="106">
        <v>28.9</v>
      </c>
      <c r="L112" s="106">
        <v>-34.200000000000003</v>
      </c>
      <c r="M112" s="106">
        <v>-37.9</v>
      </c>
      <c r="N112" s="106">
        <v>-26.3</v>
      </c>
      <c r="O112" s="106">
        <v>-12.2</v>
      </c>
      <c r="P112" s="106">
        <v>-9.6999999999999993</v>
      </c>
      <c r="Q112" s="106">
        <v>-1</v>
      </c>
      <c r="R112" s="106">
        <v>3.4</v>
      </c>
      <c r="S112" s="106">
        <v>10.1</v>
      </c>
      <c r="T112" s="106">
        <v>9</v>
      </c>
      <c r="U112" s="106">
        <v>0</v>
      </c>
      <c r="V112" s="106">
        <v>-22</v>
      </c>
      <c r="W112" s="106">
        <v>-34.4</v>
      </c>
      <c r="X112" s="106">
        <v>-49.9</v>
      </c>
      <c r="Y112" s="106">
        <v>90.8</v>
      </c>
      <c r="Z112" s="106">
        <v>-39.1</v>
      </c>
      <c r="AA112" s="106">
        <v>-28.3</v>
      </c>
      <c r="AB112" s="106">
        <v>-10.9</v>
      </c>
      <c r="AC112" s="106">
        <v>-10.5</v>
      </c>
      <c r="AD112" s="106">
        <v>-6.8</v>
      </c>
      <c r="AE112" s="106">
        <v>15.2</v>
      </c>
      <c r="AF112" s="106">
        <v>19.899999999999999</v>
      </c>
      <c r="AG112" s="119"/>
      <c r="AH112" s="47">
        <f t="shared" si="8"/>
        <v>90.8</v>
      </c>
      <c r="AI112" s="48">
        <f t="shared" si="9"/>
        <v>-49.9</v>
      </c>
    </row>
    <row r="113" spans="1:37" ht="15.75" thickBot="1" x14ac:dyDescent="0.3">
      <c r="A113" s="120" t="s">
        <v>121</v>
      </c>
      <c r="B113" s="106">
        <v>15</v>
      </c>
      <c r="C113" s="106">
        <v>13</v>
      </c>
      <c r="D113" s="106">
        <v>13</v>
      </c>
      <c r="E113" s="106">
        <v>13</v>
      </c>
      <c r="F113" s="106">
        <v>13</v>
      </c>
      <c r="G113" s="106">
        <v>13.8</v>
      </c>
      <c r="H113" s="106">
        <v>22.5</v>
      </c>
      <c r="I113" s="106">
        <v>13.5</v>
      </c>
      <c r="J113" s="106">
        <v>3.7</v>
      </c>
      <c r="K113" s="106">
        <v>-1.2</v>
      </c>
      <c r="L113" s="106">
        <v>-8.8000000000000007</v>
      </c>
      <c r="M113" s="106">
        <v>-10.199999999999999</v>
      </c>
      <c r="N113" s="106">
        <v>-21.4</v>
      </c>
      <c r="O113" s="106">
        <v>-39.200000000000003</v>
      </c>
      <c r="P113" s="106">
        <v>-5.2</v>
      </c>
      <c r="Q113" s="106">
        <v>6.6</v>
      </c>
      <c r="R113" s="106">
        <v>2.6</v>
      </c>
      <c r="S113" s="106">
        <v>4.0999999999999996</v>
      </c>
      <c r="T113" s="106">
        <v>6.1</v>
      </c>
      <c r="U113" s="106">
        <v>2.5</v>
      </c>
      <c r="V113" s="106">
        <v>-18.5</v>
      </c>
      <c r="W113" s="106">
        <v>-25.5</v>
      </c>
      <c r="X113" s="106">
        <v>-36.299999999999997</v>
      </c>
      <c r="Y113" s="106"/>
      <c r="Z113" s="106">
        <v>-46.7</v>
      </c>
      <c r="AA113" s="106">
        <v>-45</v>
      </c>
      <c r="AB113" s="106">
        <v>-36.299999999999997</v>
      </c>
      <c r="AC113" s="106">
        <v>-22.9</v>
      </c>
      <c r="AD113" s="106">
        <v>-9.8000000000000007</v>
      </c>
      <c r="AE113" s="106">
        <v>-1.5</v>
      </c>
      <c r="AF113" s="106">
        <v>-5</v>
      </c>
      <c r="AG113" s="119"/>
      <c r="AH113" s="47">
        <f t="shared" si="8"/>
        <v>22.5</v>
      </c>
      <c r="AI113" s="48">
        <f t="shared" si="9"/>
        <v>-46.7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6">SUM(B115:B219)</f>
        <v>0</v>
      </c>
      <c r="C220" s="136">
        <f t="shared" si="16"/>
        <v>0</v>
      </c>
      <c r="D220" s="136">
        <f t="shared" si="16"/>
        <v>0</v>
      </c>
      <c r="E220" s="136">
        <f t="shared" si="16"/>
        <v>0</v>
      </c>
      <c r="F220" s="136">
        <f t="shared" si="16"/>
        <v>0</v>
      </c>
      <c r="G220" s="136">
        <f t="shared" si="16"/>
        <v>0</v>
      </c>
      <c r="H220" s="136">
        <f t="shared" si="16"/>
        <v>0</v>
      </c>
      <c r="I220" s="136">
        <f t="shared" si="16"/>
        <v>0</v>
      </c>
      <c r="J220" s="136">
        <f t="shared" si="16"/>
        <v>0</v>
      </c>
      <c r="K220" s="136">
        <f t="shared" si="16"/>
        <v>0</v>
      </c>
      <c r="L220" s="136">
        <f t="shared" si="16"/>
        <v>0</v>
      </c>
      <c r="M220" s="136">
        <f t="shared" si="16"/>
        <v>0</v>
      </c>
      <c r="N220" s="136">
        <f t="shared" si="16"/>
        <v>0</v>
      </c>
      <c r="O220" s="136">
        <f t="shared" si="16"/>
        <v>0</v>
      </c>
      <c r="P220" s="136">
        <f t="shared" si="16"/>
        <v>0</v>
      </c>
      <c r="Q220" s="136">
        <f t="shared" si="16"/>
        <v>0</v>
      </c>
      <c r="R220" s="136">
        <f t="shared" si="16"/>
        <v>0</v>
      </c>
      <c r="S220" s="136">
        <f t="shared" si="16"/>
        <v>0</v>
      </c>
      <c r="T220" s="136">
        <f t="shared" si="16"/>
        <v>0</v>
      </c>
      <c r="U220" s="136">
        <f t="shared" si="16"/>
        <v>0</v>
      </c>
      <c r="V220" s="136">
        <f t="shared" si="16"/>
        <v>0</v>
      </c>
      <c r="W220" s="136">
        <f t="shared" si="16"/>
        <v>0</v>
      </c>
      <c r="X220" s="136">
        <f t="shared" si="16"/>
        <v>0</v>
      </c>
      <c r="Y220" s="136">
        <f t="shared" si="16"/>
        <v>0</v>
      </c>
      <c r="Z220" s="136">
        <f t="shared" si="16"/>
        <v>0</v>
      </c>
      <c r="AA220" s="136">
        <f t="shared" si="16"/>
        <v>0</v>
      </c>
      <c r="AB220" s="136">
        <f t="shared" si="16"/>
        <v>0</v>
      </c>
      <c r="AC220" s="136">
        <f t="shared" si="16"/>
        <v>0</v>
      </c>
      <c r="AD220" s="136">
        <f t="shared" si="16"/>
        <v>0</v>
      </c>
      <c r="AE220" s="136">
        <f t="shared" si="16"/>
        <v>0</v>
      </c>
      <c r="AF220" s="137">
        <f t="shared" si="16"/>
        <v>0</v>
      </c>
      <c r="AG220" s="138">
        <f t="shared" si="16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7">AF222</f>
        <v>0</v>
      </c>
      <c r="C222" s="140">
        <v>0.3</v>
      </c>
      <c r="D222" s="140">
        <f t="shared" ref="D222:P227" si="18">C222</f>
        <v>0.3</v>
      </c>
      <c r="E222" s="140">
        <f t="shared" si="18"/>
        <v>0.3</v>
      </c>
      <c r="F222" s="140">
        <f t="shared" si="18"/>
        <v>0.3</v>
      </c>
      <c r="G222" s="140">
        <f t="shared" si="18"/>
        <v>0.3</v>
      </c>
      <c r="H222" s="140">
        <f t="shared" si="18"/>
        <v>0.3</v>
      </c>
      <c r="I222" s="140">
        <f t="shared" si="18"/>
        <v>0.3</v>
      </c>
      <c r="J222" s="140">
        <f t="shared" si="18"/>
        <v>0.3</v>
      </c>
      <c r="K222" s="140">
        <f t="shared" si="18"/>
        <v>0.3</v>
      </c>
      <c r="L222" s="140">
        <f t="shared" si="18"/>
        <v>0.3</v>
      </c>
      <c r="M222" s="140">
        <f t="shared" si="18"/>
        <v>0.3</v>
      </c>
      <c r="N222" s="140">
        <f t="shared" si="18"/>
        <v>0.3</v>
      </c>
      <c r="O222" s="140">
        <f t="shared" si="18"/>
        <v>0.3</v>
      </c>
      <c r="P222" s="140">
        <f t="shared" si="18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7"/>
        <v>0</v>
      </c>
      <c r="C223" s="128">
        <v>0.4</v>
      </c>
      <c r="D223" s="128">
        <f t="shared" si="18"/>
        <v>0.4</v>
      </c>
      <c r="E223" s="128">
        <f t="shared" si="18"/>
        <v>0.4</v>
      </c>
      <c r="F223" s="128">
        <f t="shared" si="18"/>
        <v>0.4</v>
      </c>
      <c r="G223" s="128">
        <f t="shared" si="18"/>
        <v>0.4</v>
      </c>
      <c r="H223" s="128">
        <f t="shared" si="18"/>
        <v>0.4</v>
      </c>
      <c r="I223" s="128">
        <f t="shared" si="18"/>
        <v>0.4</v>
      </c>
      <c r="J223" s="128">
        <f t="shared" si="18"/>
        <v>0.4</v>
      </c>
      <c r="K223" s="128">
        <f t="shared" si="18"/>
        <v>0.4</v>
      </c>
      <c r="L223" s="128">
        <f t="shared" si="18"/>
        <v>0.4</v>
      </c>
      <c r="M223" s="128">
        <f t="shared" si="18"/>
        <v>0.4</v>
      </c>
      <c r="N223" s="128">
        <f t="shared" si="18"/>
        <v>0.4</v>
      </c>
      <c r="O223" s="128">
        <f t="shared" si="18"/>
        <v>0.4</v>
      </c>
      <c r="P223" s="128">
        <f t="shared" si="18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7"/>
        <v>0</v>
      </c>
      <c r="C224" s="128">
        <v>1.5</v>
      </c>
      <c r="D224" s="128">
        <f t="shared" si="18"/>
        <v>1.5</v>
      </c>
      <c r="E224" s="128">
        <f t="shared" si="18"/>
        <v>1.5</v>
      </c>
      <c r="F224" s="128">
        <f t="shared" si="18"/>
        <v>1.5</v>
      </c>
      <c r="G224" s="128">
        <f t="shared" si="18"/>
        <v>1.5</v>
      </c>
      <c r="H224" s="128">
        <f t="shared" si="18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18"/>
        <v>1.5</v>
      </c>
      <c r="K224" s="128">
        <f t="shared" ca="1" si="18"/>
        <v>1.5</v>
      </c>
      <c r="L224" s="128">
        <f t="shared" ca="1" si="18"/>
        <v>1.5</v>
      </c>
      <c r="M224" s="128">
        <f t="shared" ca="1" si="18"/>
        <v>1.5</v>
      </c>
      <c r="N224" s="128">
        <f t="shared" ca="1" si="18"/>
        <v>1.5</v>
      </c>
      <c r="O224" s="128">
        <f t="shared" ca="1" si="18"/>
        <v>1.5</v>
      </c>
      <c r="P224" s="128">
        <f t="shared" ca="1" si="18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7"/>
        <v>0</v>
      </c>
      <c r="C225" s="128">
        <v>0.3</v>
      </c>
      <c r="D225" s="128">
        <f t="shared" si="18"/>
        <v>0.3</v>
      </c>
      <c r="E225" s="128">
        <f t="shared" si="18"/>
        <v>0.3</v>
      </c>
      <c r="F225" s="128">
        <f t="shared" si="18"/>
        <v>0.3</v>
      </c>
      <c r="G225" s="128">
        <f t="shared" si="18"/>
        <v>0.3</v>
      </c>
      <c r="H225" s="128">
        <f t="shared" si="18"/>
        <v>0.3</v>
      </c>
      <c r="I225" s="128">
        <f t="shared" si="18"/>
        <v>0.3</v>
      </c>
      <c r="J225" s="128">
        <f t="shared" si="18"/>
        <v>0.3</v>
      </c>
      <c r="K225" s="128">
        <f t="shared" si="18"/>
        <v>0.3</v>
      </c>
      <c r="L225" s="128">
        <f t="shared" si="18"/>
        <v>0.3</v>
      </c>
      <c r="M225" s="128">
        <f t="shared" si="18"/>
        <v>0.3</v>
      </c>
      <c r="N225" s="128">
        <f t="shared" si="18"/>
        <v>0.3</v>
      </c>
      <c r="O225" s="128">
        <f t="shared" si="18"/>
        <v>0.3</v>
      </c>
      <c r="P225" s="128">
        <f t="shared" si="18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7"/>
        <v>0</v>
      </c>
      <c r="C226" s="128">
        <v>0.4</v>
      </c>
      <c r="D226" s="128">
        <f t="shared" si="18"/>
        <v>0.4</v>
      </c>
      <c r="E226" s="128">
        <f t="shared" si="18"/>
        <v>0.4</v>
      </c>
      <c r="F226" s="128">
        <f t="shared" si="18"/>
        <v>0.4</v>
      </c>
      <c r="G226" s="128">
        <f t="shared" si="18"/>
        <v>0.4</v>
      </c>
      <c r="H226" s="128">
        <f t="shared" si="18"/>
        <v>0.4</v>
      </c>
      <c r="I226" s="128">
        <f t="shared" si="18"/>
        <v>0.4</v>
      </c>
      <c r="J226" s="128">
        <f t="shared" si="18"/>
        <v>0.4</v>
      </c>
      <c r="K226" s="128">
        <f t="shared" si="18"/>
        <v>0.4</v>
      </c>
      <c r="L226" s="128">
        <f t="shared" si="18"/>
        <v>0.4</v>
      </c>
      <c r="M226" s="128">
        <f t="shared" si="18"/>
        <v>0.4</v>
      </c>
      <c r="N226" s="128">
        <f t="shared" si="18"/>
        <v>0.4</v>
      </c>
      <c r="O226" s="128">
        <f t="shared" si="18"/>
        <v>0.4</v>
      </c>
      <c r="P226" s="128">
        <f t="shared" si="18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7"/>
        <v>0</v>
      </c>
      <c r="C227" s="132">
        <v>0.64</v>
      </c>
      <c r="D227" s="132">
        <f t="shared" si="18"/>
        <v>0.64</v>
      </c>
      <c r="E227" s="132">
        <f t="shared" si="18"/>
        <v>0.64</v>
      </c>
      <c r="F227" s="132">
        <f t="shared" si="18"/>
        <v>0.64</v>
      </c>
      <c r="G227" s="132">
        <f t="shared" si="18"/>
        <v>0.64</v>
      </c>
      <c r="H227" s="132">
        <f t="shared" si="18"/>
        <v>0.64</v>
      </c>
      <c r="I227" s="132">
        <f t="shared" si="18"/>
        <v>0.64</v>
      </c>
      <c r="J227" s="132">
        <f t="shared" si="18"/>
        <v>0.64</v>
      </c>
      <c r="K227" s="132">
        <f t="shared" si="18"/>
        <v>0.64</v>
      </c>
      <c r="L227" s="132">
        <f t="shared" si="18"/>
        <v>0.64</v>
      </c>
      <c r="M227" s="132">
        <f t="shared" si="18"/>
        <v>0.64</v>
      </c>
      <c r="N227" s="132">
        <f t="shared" si="18"/>
        <v>0.64</v>
      </c>
      <c r="O227" s="132">
        <f t="shared" si="18"/>
        <v>0.64</v>
      </c>
      <c r="P227" s="132">
        <f t="shared" si="18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19">SUM(B222:B227)</f>
        <v>0</v>
      </c>
      <c r="C228" s="136">
        <f t="shared" si="19"/>
        <v>3.54</v>
      </c>
      <c r="D228" s="136">
        <f t="shared" si="19"/>
        <v>3.54</v>
      </c>
      <c r="E228" s="136">
        <f t="shared" si="19"/>
        <v>3.54</v>
      </c>
      <c r="F228" s="136">
        <f t="shared" si="19"/>
        <v>3.54</v>
      </c>
      <c r="G228" s="136">
        <f t="shared" si="19"/>
        <v>3.54</v>
      </c>
      <c r="H228" s="136">
        <f t="shared" si="19"/>
        <v>3.54</v>
      </c>
      <c r="I228" s="136">
        <f t="shared" ca="1" si="19"/>
        <v>3.54</v>
      </c>
      <c r="J228" s="136">
        <f t="shared" ca="1" si="19"/>
        <v>3.54</v>
      </c>
      <c r="K228" s="136">
        <f t="shared" ca="1" si="19"/>
        <v>3.54</v>
      </c>
      <c r="L228" s="136">
        <f t="shared" ca="1" si="19"/>
        <v>3.54</v>
      </c>
      <c r="M228" s="136">
        <f t="shared" ca="1" si="19"/>
        <v>3.54</v>
      </c>
      <c r="N228" s="136">
        <f t="shared" ca="1" si="19"/>
        <v>3.54</v>
      </c>
      <c r="O228" s="136">
        <f t="shared" ca="1" si="19"/>
        <v>3.54</v>
      </c>
      <c r="P228" s="136">
        <f t="shared" ca="1" si="19"/>
        <v>3.54</v>
      </c>
      <c r="Q228" s="136">
        <f t="shared" si="19"/>
        <v>0</v>
      </c>
      <c r="R228" s="136">
        <f t="shared" si="19"/>
        <v>0</v>
      </c>
      <c r="S228" s="136">
        <f t="shared" si="19"/>
        <v>0</v>
      </c>
      <c r="T228" s="136">
        <f t="shared" si="19"/>
        <v>0</v>
      </c>
      <c r="U228" s="136">
        <f t="shared" si="19"/>
        <v>0</v>
      </c>
      <c r="V228" s="136">
        <f t="shared" si="19"/>
        <v>0</v>
      </c>
      <c r="W228" s="136">
        <f t="shared" si="19"/>
        <v>0</v>
      </c>
      <c r="X228" s="136">
        <f t="shared" si="19"/>
        <v>0</v>
      </c>
      <c r="Y228" s="136">
        <f t="shared" si="19"/>
        <v>0</v>
      </c>
      <c r="Z228" s="136">
        <f t="shared" si="19"/>
        <v>0</v>
      </c>
      <c r="AA228" s="136">
        <f t="shared" si="19"/>
        <v>0</v>
      </c>
      <c r="AB228" s="136">
        <f t="shared" si="19"/>
        <v>0</v>
      </c>
      <c r="AC228" s="136">
        <f t="shared" si="19"/>
        <v>0</v>
      </c>
      <c r="AD228" s="136">
        <f t="shared" si="19"/>
        <v>0</v>
      </c>
      <c r="AE228" s="136">
        <f t="shared" si="19"/>
        <v>0</v>
      </c>
      <c r="AF228" s="136">
        <f t="shared" si="19"/>
        <v>0</v>
      </c>
      <c r="AG228" s="145">
        <f t="shared" si="19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1501.44</v>
      </c>
      <c r="C237" s="161">
        <f>INDEX(G9:N9,1,MATCH(MAX(G85:N85),G85:N85,0))</f>
        <v>0.3125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11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str">
        <f ca="1">"Pie Chart of Daily Peak Demand(Inclusive of Export) of Nepal ("&amp;A4&amp;" "&amp;B4&amp;")"</f>
        <v>Pie Chart of Daily Peak Demand(Inclusive of Export) of Nepal (Nepali Date: 2079/09/11)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2079/09/11)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0">B85</f>
        <v>1088.3400000000001</v>
      </c>
      <c r="U242" s="170">
        <f t="shared" si="20"/>
        <v>1069.3400000000001</v>
      </c>
      <c r="V242" s="170">
        <f t="shared" si="20"/>
        <v>1069.3400000000001</v>
      </c>
      <c r="W242" s="170">
        <f t="shared" si="20"/>
        <v>1025.1400000000001</v>
      </c>
      <c r="X242" s="170">
        <f t="shared" si="20"/>
        <v>1023.1400000000001</v>
      </c>
      <c r="Y242" s="170">
        <f t="shared" si="20"/>
        <v>1076.1399999999999</v>
      </c>
      <c r="Z242" s="170">
        <f t="shared" si="20"/>
        <v>1137.1399999999999</v>
      </c>
      <c r="AA242" s="170">
        <f t="shared" si="20"/>
        <v>1235.24</v>
      </c>
      <c r="AB242" s="170">
        <f t="shared" si="20"/>
        <v>1290.54</v>
      </c>
      <c r="AC242" s="170">
        <f t="shared" si="20"/>
        <v>1354.1399999999999</v>
      </c>
      <c r="AD242" s="170">
        <f t="shared" si="20"/>
        <v>1501.44</v>
      </c>
      <c r="AE242" s="170">
        <f t="shared" si="20"/>
        <v>1476.8400000000001</v>
      </c>
      <c r="AF242" s="170">
        <f t="shared" si="20"/>
        <v>1366.1399999999999</v>
      </c>
      <c r="AG242" s="170">
        <f t="shared" si="20"/>
        <v>1315.6399999999999</v>
      </c>
      <c r="AH242" s="170">
        <f t="shared" si="20"/>
        <v>1281.6399999999999</v>
      </c>
      <c r="AI242" s="170">
        <f t="shared" si="20"/>
        <v>1321.74</v>
      </c>
      <c r="AJ242" s="170">
        <f t="shared" si="20"/>
        <v>1300.24</v>
      </c>
      <c r="AK242" s="170">
        <f t="shared" si="20"/>
        <v>1335.14</v>
      </c>
      <c r="AL242" s="170">
        <f t="shared" si="20"/>
        <v>1346.1399999999999</v>
      </c>
      <c r="AM242" s="170">
        <f t="shared" si="20"/>
        <v>1330.24</v>
      </c>
      <c r="AN242" s="170">
        <f t="shared" si="20"/>
        <v>1333.16</v>
      </c>
      <c r="AO242" s="170">
        <f t="shared" si="20"/>
        <v>1426.74</v>
      </c>
      <c r="AP242" s="170">
        <f t="shared" si="20"/>
        <v>1579.34</v>
      </c>
      <c r="AQ242" s="170">
        <f t="shared" si="20"/>
        <v>1650.84</v>
      </c>
      <c r="AR242" s="170">
        <f t="shared" si="20"/>
        <v>1615.04</v>
      </c>
      <c r="AS242" s="170">
        <f t="shared" si="20"/>
        <v>1423.24</v>
      </c>
      <c r="AT242" s="170">
        <f t="shared" si="20"/>
        <v>1349.04</v>
      </c>
      <c r="AU242" s="170">
        <f t="shared" si="20"/>
        <v>1346.04</v>
      </c>
      <c r="AV242" s="170">
        <f t="shared" si="20"/>
        <v>1335.14</v>
      </c>
      <c r="AW242" s="170">
        <f t="shared" si="20"/>
        <v>1230.8399999999999</v>
      </c>
      <c r="AX242" s="170">
        <f t="shared" si="20"/>
        <v>1090.1399999999999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1">C227</f>
        <v>0.64</v>
      </c>
      <c r="C263" s="173">
        <f t="shared" si="21"/>
        <v>0.64</v>
      </c>
      <c r="D263" s="173">
        <f t="shared" si="21"/>
        <v>0.64</v>
      </c>
      <c r="E263" s="173">
        <f t="shared" si="21"/>
        <v>0.64</v>
      </c>
      <c r="F263" s="173">
        <f t="shared" si="21"/>
        <v>0.64</v>
      </c>
      <c r="G263" s="173">
        <f t="shared" si="21"/>
        <v>0.64</v>
      </c>
      <c r="H263" s="173">
        <f t="shared" si="21"/>
        <v>0.64</v>
      </c>
      <c r="I263" s="173">
        <f t="shared" si="21"/>
        <v>0.64</v>
      </c>
      <c r="J263" s="173">
        <f t="shared" si="21"/>
        <v>0.64</v>
      </c>
      <c r="K263" s="173">
        <f t="shared" si="21"/>
        <v>0.64</v>
      </c>
      <c r="L263" s="173">
        <f t="shared" si="21"/>
        <v>0.64</v>
      </c>
      <c r="M263" s="173">
        <f t="shared" si="21"/>
        <v>0.64</v>
      </c>
      <c r="N263" s="173">
        <f t="shared" si="21"/>
        <v>0.64</v>
      </c>
      <c r="O263" s="173">
        <f t="shared" si="21"/>
        <v>0.64</v>
      </c>
      <c r="P263" s="173">
        <f t="shared" si="21"/>
        <v>0</v>
      </c>
      <c r="Q263" s="173">
        <f t="shared" si="21"/>
        <v>0</v>
      </c>
      <c r="R263" s="173">
        <f t="shared" si="21"/>
        <v>0</v>
      </c>
      <c r="S263" s="173">
        <f t="shared" si="21"/>
        <v>0</v>
      </c>
      <c r="T263" s="173">
        <f t="shared" si="21"/>
        <v>0</v>
      </c>
      <c r="U263" s="173">
        <f t="shared" si="21"/>
        <v>0</v>
      </c>
      <c r="V263" s="173">
        <f t="shared" si="21"/>
        <v>0</v>
      </c>
      <c r="W263" s="173">
        <f t="shared" si="21"/>
        <v>0</v>
      </c>
      <c r="X263" s="173">
        <f t="shared" si="21"/>
        <v>0</v>
      </c>
      <c r="Y263" s="173">
        <f t="shared" si="21"/>
        <v>0</v>
      </c>
      <c r="Z263" s="173">
        <f t="shared" si="21"/>
        <v>0</v>
      </c>
      <c r="AA263" s="173">
        <f t="shared" si="21"/>
        <v>0</v>
      </c>
      <c r="AB263" s="173">
        <f t="shared" si="21"/>
        <v>0</v>
      </c>
      <c r="AC263" s="173">
        <f t="shared" si="21"/>
        <v>0</v>
      </c>
      <c r="AD263" s="173">
        <f t="shared" si="21"/>
        <v>0</v>
      </c>
      <c r="AE263" s="173">
        <f t="shared" si="21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2">IF(B231&lt;100,"",B231-520)</f>
        <v/>
      </c>
      <c r="C264" s="174" t="str">
        <f t="shared" si="22"/>
        <v/>
      </c>
      <c r="D264" s="174" t="str">
        <f t="shared" si="22"/>
        <v/>
      </c>
      <c r="E264" s="174" t="str">
        <f t="shared" si="22"/>
        <v/>
      </c>
      <c r="F264" s="174" t="str">
        <f t="shared" si="22"/>
        <v/>
      </c>
      <c r="G264" s="174" t="str">
        <f t="shared" si="22"/>
        <v/>
      </c>
      <c r="H264" s="174" t="str">
        <f t="shared" si="22"/>
        <v/>
      </c>
      <c r="I264" s="174" t="str">
        <f t="shared" si="22"/>
        <v/>
      </c>
      <c r="J264" s="174" t="str">
        <f t="shared" si="22"/>
        <v/>
      </c>
      <c r="K264" s="174" t="str">
        <f t="shared" si="22"/>
        <v/>
      </c>
      <c r="L264" s="174" t="str">
        <f t="shared" si="22"/>
        <v/>
      </c>
      <c r="M264" s="174" t="str">
        <f t="shared" si="22"/>
        <v/>
      </c>
      <c r="N264" s="174" t="str">
        <f t="shared" si="22"/>
        <v/>
      </c>
      <c r="O264" s="174" t="str">
        <f t="shared" si="22"/>
        <v/>
      </c>
      <c r="P264" s="174" t="str">
        <f t="shared" si="22"/>
        <v/>
      </c>
      <c r="Q264" s="174" t="str">
        <f t="shared" si="22"/>
        <v/>
      </c>
      <c r="R264" s="174" t="str">
        <f t="shared" si="22"/>
        <v/>
      </c>
      <c r="S264" s="174" t="str">
        <f t="shared" si="22"/>
        <v/>
      </c>
      <c r="T264" s="174" t="str">
        <f t="shared" si="22"/>
        <v/>
      </c>
      <c r="U264" s="174" t="str">
        <f t="shared" si="22"/>
        <v/>
      </c>
      <c r="V264" s="174" t="str">
        <f t="shared" si="22"/>
        <v/>
      </c>
      <c r="W264" s="174" t="str">
        <f t="shared" si="22"/>
        <v/>
      </c>
      <c r="X264" s="174" t="str">
        <f t="shared" si="22"/>
        <v/>
      </c>
      <c r="Y264" s="174" t="str">
        <f t="shared" si="22"/>
        <v/>
      </c>
      <c r="Z264" s="174" t="str">
        <f t="shared" si="22"/>
        <v/>
      </c>
      <c r="AA264" s="174" t="str">
        <f t="shared" si="22"/>
        <v/>
      </c>
      <c r="AB264" s="174" t="str">
        <f t="shared" si="22"/>
        <v/>
      </c>
      <c r="AC264" s="174" t="str">
        <f t="shared" si="22"/>
        <v/>
      </c>
      <c r="AD264" s="174" t="str">
        <f t="shared" si="22"/>
        <v/>
      </c>
      <c r="AE264" s="174" t="str">
        <f t="shared" si="22"/>
        <v/>
      </c>
      <c r="AF264" s="174" t="str">
        <f t="shared" si="22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3">IF(B232&lt;100,"",B232-620)</f>
        <v/>
      </c>
      <c r="C265" s="174" t="str">
        <f t="shared" si="23"/>
        <v/>
      </c>
      <c r="D265" s="174" t="str">
        <f t="shared" si="23"/>
        <v/>
      </c>
      <c r="E265" s="174" t="str">
        <f t="shared" si="23"/>
        <v/>
      </c>
      <c r="F265" s="174" t="str">
        <f t="shared" si="23"/>
        <v/>
      </c>
      <c r="G265" s="174" t="str">
        <f t="shared" si="23"/>
        <v/>
      </c>
      <c r="H265" s="174" t="str">
        <f t="shared" si="23"/>
        <v/>
      </c>
      <c r="I265" s="174" t="str">
        <f t="shared" si="23"/>
        <v/>
      </c>
      <c r="J265" s="174" t="str">
        <f t="shared" si="23"/>
        <v/>
      </c>
      <c r="K265" s="174" t="str">
        <f t="shared" si="23"/>
        <v/>
      </c>
      <c r="L265" s="174" t="str">
        <f t="shared" si="23"/>
        <v/>
      </c>
      <c r="M265" s="174" t="str">
        <f t="shared" si="23"/>
        <v/>
      </c>
      <c r="N265" s="174" t="str">
        <f t="shared" si="23"/>
        <v/>
      </c>
      <c r="O265" s="174" t="str">
        <f t="shared" si="23"/>
        <v/>
      </c>
      <c r="P265" s="174" t="str">
        <f t="shared" si="23"/>
        <v/>
      </c>
      <c r="Q265" s="174" t="str">
        <f t="shared" si="23"/>
        <v/>
      </c>
      <c r="R265" s="174" t="str">
        <f t="shared" si="23"/>
        <v/>
      </c>
      <c r="S265" s="174" t="str">
        <f t="shared" si="23"/>
        <v/>
      </c>
      <c r="T265" s="174" t="str">
        <f t="shared" si="23"/>
        <v/>
      </c>
      <c r="U265" s="174" t="str">
        <f t="shared" si="23"/>
        <v/>
      </c>
      <c r="V265" s="174" t="str">
        <f t="shared" si="23"/>
        <v/>
      </c>
      <c r="W265" s="174" t="str">
        <f t="shared" si="23"/>
        <v/>
      </c>
      <c r="X265" s="174" t="str">
        <f t="shared" si="23"/>
        <v/>
      </c>
      <c r="Y265" s="174" t="str">
        <f t="shared" si="23"/>
        <v/>
      </c>
      <c r="Z265" s="174" t="str">
        <f t="shared" si="23"/>
        <v/>
      </c>
      <c r="AA265" s="174" t="str">
        <f t="shared" si="23"/>
        <v/>
      </c>
      <c r="AB265" s="174" t="str">
        <f t="shared" si="23"/>
        <v/>
      </c>
      <c r="AC265" s="174" t="str">
        <f t="shared" si="23"/>
        <v/>
      </c>
      <c r="AD265" s="174" t="str">
        <f t="shared" si="23"/>
        <v/>
      </c>
      <c r="AE265" s="174" t="str">
        <f t="shared" si="23"/>
        <v/>
      </c>
      <c r="AF265" s="174" t="str">
        <f t="shared" si="23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4">IF(B233&lt;100,"",B233-330)</f>
        <v/>
      </c>
      <c r="C266" s="174" t="str">
        <f t="shared" si="24"/>
        <v/>
      </c>
      <c r="D266" s="174" t="str">
        <f t="shared" si="24"/>
        <v/>
      </c>
      <c r="E266" s="174" t="str">
        <f t="shared" si="24"/>
        <v/>
      </c>
      <c r="F266" s="174" t="str">
        <f t="shared" si="24"/>
        <v/>
      </c>
      <c r="G266" s="174" t="str">
        <f t="shared" si="24"/>
        <v/>
      </c>
      <c r="H266" s="174" t="str">
        <f t="shared" si="24"/>
        <v/>
      </c>
      <c r="I266" s="174" t="str">
        <f t="shared" si="24"/>
        <v/>
      </c>
      <c r="J266" s="174" t="str">
        <f t="shared" si="24"/>
        <v/>
      </c>
      <c r="K266" s="174" t="str">
        <f t="shared" si="24"/>
        <v/>
      </c>
      <c r="L266" s="174" t="str">
        <f t="shared" si="24"/>
        <v/>
      </c>
      <c r="M266" s="174" t="str">
        <f t="shared" si="24"/>
        <v/>
      </c>
      <c r="N266" s="174" t="str">
        <f t="shared" si="24"/>
        <v/>
      </c>
      <c r="O266" s="174" t="str">
        <f t="shared" si="24"/>
        <v/>
      </c>
      <c r="P266" s="174" t="str">
        <f t="shared" si="24"/>
        <v/>
      </c>
      <c r="Q266" s="174" t="str">
        <f t="shared" si="24"/>
        <v/>
      </c>
      <c r="R266" s="174" t="str">
        <f t="shared" si="24"/>
        <v/>
      </c>
      <c r="S266" s="174" t="str">
        <f t="shared" si="24"/>
        <v/>
      </c>
      <c r="T266" s="174" t="str">
        <f t="shared" si="24"/>
        <v/>
      </c>
      <c r="U266" s="174" t="str">
        <f t="shared" si="24"/>
        <v/>
      </c>
      <c r="V266" s="174" t="str">
        <f t="shared" si="24"/>
        <v/>
      </c>
      <c r="W266" s="174" t="str">
        <f t="shared" si="24"/>
        <v/>
      </c>
      <c r="X266" s="174" t="str">
        <f t="shared" si="24"/>
        <v/>
      </c>
      <c r="Y266" s="174" t="str">
        <f t="shared" si="24"/>
        <v/>
      </c>
      <c r="Z266" s="174" t="str">
        <f t="shared" si="24"/>
        <v/>
      </c>
      <c r="AA266" s="174" t="str">
        <f t="shared" si="24"/>
        <v/>
      </c>
      <c r="AB266" s="174" t="str">
        <f t="shared" si="24"/>
        <v/>
      </c>
      <c r="AC266" s="174" t="str">
        <f t="shared" si="24"/>
        <v/>
      </c>
      <c r="AD266" s="174" t="str">
        <f t="shared" si="24"/>
        <v/>
      </c>
      <c r="AE266" s="174" t="str">
        <f t="shared" si="24"/>
        <v/>
      </c>
      <c r="AF266" s="174" t="str">
        <f t="shared" si="24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5">IF(B234&lt;100,"",B234-1500)</f>
        <v/>
      </c>
      <c r="C267" s="174" t="str">
        <f t="shared" si="25"/>
        <v/>
      </c>
      <c r="D267" s="174" t="str">
        <f t="shared" si="25"/>
        <v/>
      </c>
      <c r="E267" s="174" t="str">
        <f t="shared" si="25"/>
        <v/>
      </c>
      <c r="F267" s="174" t="str">
        <f t="shared" si="25"/>
        <v/>
      </c>
      <c r="G267" s="174" t="str">
        <f t="shared" si="25"/>
        <v/>
      </c>
      <c r="H267" s="174" t="str">
        <f t="shared" si="25"/>
        <v/>
      </c>
      <c r="I267" s="174" t="str">
        <f t="shared" si="25"/>
        <v/>
      </c>
      <c r="J267" s="174" t="str">
        <f t="shared" si="25"/>
        <v/>
      </c>
      <c r="K267" s="174" t="str">
        <f t="shared" si="25"/>
        <v/>
      </c>
      <c r="L267" s="174" t="str">
        <f t="shared" si="25"/>
        <v/>
      </c>
      <c r="M267" s="174" t="str">
        <f t="shared" si="25"/>
        <v/>
      </c>
      <c r="N267" s="174" t="str">
        <f t="shared" si="25"/>
        <v/>
      </c>
      <c r="O267" s="174" t="str">
        <f t="shared" si="25"/>
        <v/>
      </c>
      <c r="P267" s="174" t="str">
        <f t="shared" si="25"/>
        <v/>
      </c>
      <c r="Q267" s="174" t="str">
        <f t="shared" si="25"/>
        <v/>
      </c>
      <c r="R267" s="174" t="str">
        <f t="shared" si="25"/>
        <v/>
      </c>
      <c r="S267" s="174" t="str">
        <f t="shared" si="25"/>
        <v/>
      </c>
      <c r="T267" s="174" t="str">
        <f t="shared" si="25"/>
        <v/>
      </c>
      <c r="U267" s="174" t="str">
        <f t="shared" si="25"/>
        <v/>
      </c>
      <c r="V267" s="174" t="str">
        <f t="shared" si="25"/>
        <v/>
      </c>
      <c r="W267" s="174" t="str">
        <f t="shared" si="25"/>
        <v/>
      </c>
      <c r="X267" s="174" t="str">
        <f t="shared" si="25"/>
        <v/>
      </c>
      <c r="Y267" s="174" t="str">
        <f t="shared" si="25"/>
        <v/>
      </c>
      <c r="Z267" s="174" t="str">
        <f t="shared" si="25"/>
        <v/>
      </c>
      <c r="AA267" s="174" t="str">
        <f t="shared" si="25"/>
        <v/>
      </c>
      <c r="AB267" s="174" t="str">
        <f t="shared" si="25"/>
        <v/>
      </c>
      <c r="AC267" s="174" t="str">
        <f t="shared" si="25"/>
        <v/>
      </c>
      <c r="AD267" s="174" t="str">
        <f t="shared" si="25"/>
        <v/>
      </c>
      <c r="AE267" s="174" t="str">
        <f t="shared" si="25"/>
        <v/>
      </c>
      <c r="AF267" s="174" t="str">
        <f t="shared" si="25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H105:AF105 H107:AF112 Y11:AF41">
    <cfRule type="expression" dxfId="6739" priority="239">
      <formula>B$9&gt;=20/24</formula>
    </cfRule>
    <cfRule type="expression" dxfId="6738" priority="240">
      <formula>AND(B$9&gt;=14/24,B$9&lt;20/24)</formula>
    </cfRule>
    <cfRule type="expression" dxfId="6737" priority="241">
      <formula>AND(B$9&gt;=8/24,B$9&lt;14/24)</formula>
    </cfRule>
    <cfRule type="expression" dxfId="6736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AG61 Y11:AF41">
    <cfRule type="expression" dxfId="6735" priority="237">
      <formula>Y11&gt;$AG11</formula>
    </cfRule>
  </conditionalFormatting>
  <conditionalFormatting sqref="A95:A105 A55:A82 A91:A93 A198:A228 A42:A53 A114:A185 A38:A39 A87:A89 A84:A85 A107:A109 A35:A36 A17:A18 A11:A15 A20:A33">
    <cfRule type="expression" dxfId="6734" priority="236">
      <formula>$AH11=0</formula>
    </cfRule>
  </conditionalFormatting>
  <conditionalFormatting sqref="A110">
    <cfRule type="expression" dxfId="6733" priority="235">
      <formula>$AH110=0</formula>
    </cfRule>
  </conditionalFormatting>
  <conditionalFormatting sqref="AL39">
    <cfRule type="iconSet" priority="234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6732" priority="233">
      <formula>$AH41=0</formula>
    </cfRule>
  </conditionalFormatting>
  <conditionalFormatting sqref="A94">
    <cfRule type="expression" dxfId="6731" priority="232">
      <formula>$AH94=0</formula>
    </cfRule>
  </conditionalFormatting>
  <conditionalFormatting sqref="A16">
    <cfRule type="expression" dxfId="6730" priority="231">
      <formula>$AH16=0</formula>
    </cfRule>
  </conditionalFormatting>
  <conditionalFormatting sqref="A192:A197">
    <cfRule type="expression" dxfId="6729" priority="230">
      <formula>$AH192=0</formula>
    </cfRule>
  </conditionalFormatting>
  <conditionalFormatting sqref="A186:A191">
    <cfRule type="expression" dxfId="6728" priority="229">
      <formula>$AH186=0</formula>
    </cfRule>
  </conditionalFormatting>
  <conditionalFormatting sqref="A54">
    <cfRule type="expression" dxfId="6727" priority="228">
      <formula>$AH54=0</formula>
    </cfRule>
  </conditionalFormatting>
  <conditionalFormatting sqref="A90">
    <cfRule type="expression" dxfId="6726" priority="227">
      <formula>$AH90=0</formula>
    </cfRule>
  </conditionalFormatting>
  <conditionalFormatting sqref="AD95:AF95 H95:X95">
    <cfRule type="expression" dxfId="6725" priority="223">
      <formula>H$9&gt;=20/24</formula>
    </cfRule>
    <cfRule type="expression" dxfId="6724" priority="224">
      <formula>AND(H$9&gt;=14/24,H$9&lt;20/24)</formula>
    </cfRule>
    <cfRule type="expression" dxfId="6723" priority="225">
      <formula>AND(H$9&gt;=8/24,H$9&lt;14/24)</formula>
    </cfRule>
    <cfRule type="expression" dxfId="6722" priority="226">
      <formula>H$9&lt;8/24</formula>
    </cfRule>
  </conditionalFormatting>
  <conditionalFormatting sqref="AL40">
    <cfRule type="iconSet" priority="2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721" priority="245">
      <formula>C$9&gt;=20/24</formula>
    </cfRule>
    <cfRule type="expression" dxfId="6720" priority="246">
      <formula>AND(C$9&gt;=14/24,C$9&lt;20/24)</formula>
    </cfRule>
    <cfRule type="expression" dxfId="6719" priority="247">
      <formula>AND(C$9&gt;=8/24,C$9&lt;14/24)</formula>
    </cfRule>
    <cfRule type="expression" dxfId="6718" priority="248">
      <formula>C$9&lt;8/24</formula>
    </cfRule>
  </conditionalFormatting>
  <conditionalFormatting sqref="A229">
    <cfRule type="expression" dxfId="6717" priority="249">
      <formula>$AH229=0</formula>
    </cfRule>
  </conditionalFormatting>
  <conditionalFormatting sqref="AG241">
    <cfRule type="expression" dxfId="6716" priority="250">
      <formula>B$9&gt;=20/24</formula>
    </cfRule>
    <cfRule type="expression" dxfId="6715" priority="251">
      <formula>AND(B$9&gt;=14/24,B$9&lt;20/24)</formula>
    </cfRule>
    <cfRule type="expression" dxfId="6714" priority="252">
      <formula>AND(B$9&gt;=8/24,B$9&lt;14/24)</formula>
    </cfRule>
    <cfRule type="expression" dxfId="6713" priority="253">
      <formula>B$9&lt;8/24</formula>
    </cfRule>
  </conditionalFormatting>
  <conditionalFormatting sqref="S8">
    <cfRule type="expression" dxfId="6712" priority="218">
      <formula>U$9&gt;=20/24</formula>
    </cfRule>
    <cfRule type="expression" dxfId="6711" priority="219">
      <formula>AND(U$9&gt;=14/24,U$9&lt;20/24)</formula>
    </cfRule>
    <cfRule type="expression" dxfId="6710" priority="220">
      <formula>AND(U$9&gt;=8/24,U$9&lt;14/24)</formula>
    </cfRule>
    <cfRule type="expression" dxfId="6709" priority="221">
      <formula>U$9&lt;8/24</formula>
    </cfRule>
  </conditionalFormatting>
  <conditionalFormatting sqref="AB8">
    <cfRule type="expression" dxfId="6708" priority="214">
      <formula>AD$9&gt;=20/24</formula>
    </cfRule>
    <cfRule type="expression" dxfId="6707" priority="215">
      <formula>AND(AD$9&gt;=14/24,AD$9&lt;20/24)</formula>
    </cfRule>
    <cfRule type="expression" dxfId="6706" priority="216">
      <formula>AND(AD$9&gt;=8/24,AD$9&lt;14/24)</formula>
    </cfRule>
    <cfRule type="expression" dxfId="6705" priority="217">
      <formula>AD$9&lt;8/24</formula>
    </cfRule>
  </conditionalFormatting>
  <conditionalFormatting sqref="AH241:AX241">
    <cfRule type="expression" dxfId="6704" priority="254">
      <formula>AG$9&gt;=20/24</formula>
    </cfRule>
    <cfRule type="expression" dxfId="6703" priority="255">
      <formula>AND(AG$9&gt;=14/24,AG$9&lt;20/24)</formula>
    </cfRule>
    <cfRule type="expression" dxfId="6702" priority="256">
      <formula>AND(AG$9&gt;=8/24,AG$9&lt;14/24)</formula>
    </cfRule>
    <cfRule type="expression" dxfId="6701" priority="257">
      <formula>AG$9&lt;8/24</formula>
    </cfRule>
  </conditionalFormatting>
  <conditionalFormatting sqref="T241">
    <cfRule type="expression" dxfId="6700" priority="258">
      <formula>AX$9&gt;=20/24</formula>
    </cfRule>
    <cfRule type="expression" dxfId="6699" priority="259">
      <formula>AND(AX$9&gt;=14/24,AX$9&lt;20/24)</formula>
    </cfRule>
    <cfRule type="expression" dxfId="6698" priority="260">
      <formula>AND(AX$9&gt;=8/24,AX$9&lt;14/24)</formula>
    </cfRule>
    <cfRule type="expression" dxfId="6697" priority="261">
      <formula>AX$9&lt;8/24</formula>
    </cfRule>
  </conditionalFormatting>
  <conditionalFormatting sqref="A111:A112">
    <cfRule type="expression" dxfId="6696" priority="213">
      <formula>$AH111=0</formula>
    </cfRule>
  </conditionalFormatting>
  <conditionalFormatting sqref="AB50:AE51 AF50:AF53 N50:O51 P50:Q55 R55:X55 W52:AE52 Y53:AE53 M67:AF67">
    <cfRule type="expression" dxfId="6695" priority="209">
      <formula>M$9&gt;=20/24</formula>
    </cfRule>
    <cfRule type="expression" dxfId="6694" priority="210">
      <formula>AND(M$9&gt;=14/24,M$9&lt;20/24)</formula>
    </cfRule>
    <cfRule type="expression" dxfId="6693" priority="211">
      <formula>AND(M$9&gt;=8/24,M$9&lt;14/24)</formula>
    </cfRule>
    <cfRule type="expression" dxfId="6692" priority="212">
      <formula>M$9&lt;8/24</formula>
    </cfRule>
  </conditionalFormatting>
  <conditionalFormatting sqref="AB49:AF49 N49:Q49">
    <cfRule type="expression" dxfId="6691" priority="205">
      <formula>N$9&gt;=20/24</formula>
    </cfRule>
    <cfRule type="expression" dxfId="6690" priority="206">
      <formula>AND(N$9&gt;=14/24,N$9&lt;20/24)</formula>
    </cfRule>
    <cfRule type="expression" dxfId="6689" priority="207">
      <formula>AND(N$9&gt;=8/24,N$9&lt;14/24)</formula>
    </cfRule>
    <cfRule type="expression" dxfId="6688" priority="208">
      <formula>N$9&lt;8/24</formula>
    </cfRule>
  </conditionalFormatting>
  <conditionalFormatting sqref="AB49:AE51 AF49:AF53 N49:P49 P50:P55 N50:O51 Q49:Q55 R55:X55 W52:AE52 Y53:AE53">
    <cfRule type="expression" dxfId="6687" priority="204">
      <formula>N49&gt;$AG49</formula>
    </cfRule>
  </conditionalFormatting>
  <conditionalFormatting sqref="H82:AF82 X43:AF43 X92:AF92 AD96:AF102 M96:X102 M68:X69 Y63:AF65 Y68:AF70">
    <cfRule type="expression" dxfId="6686" priority="200">
      <formula>H$9&gt;=20/24</formula>
    </cfRule>
    <cfRule type="expression" dxfId="6685" priority="201">
      <formula>AND(H$9&gt;=14/24,H$9&lt;20/24)</formula>
    </cfRule>
    <cfRule type="expression" dxfId="6684" priority="202">
      <formula>AND(H$9&gt;=8/24,H$9&lt;14/24)</formula>
    </cfRule>
    <cfRule type="expression" dxfId="6683" priority="203">
      <formula>H$9&lt;8/24</formula>
    </cfRule>
  </conditionalFormatting>
  <conditionalFormatting sqref="X43:AF43 Y63:AF65">
    <cfRule type="expression" dxfId="6682" priority="199">
      <formula>X43&gt;$AG43</formula>
    </cfRule>
  </conditionalFormatting>
  <conditionalFormatting sqref="R49:U54 V52:V54 W53:X54 V49:AA51">
    <cfRule type="expression" dxfId="6681" priority="195">
      <formula>R$9&gt;=20/24</formula>
    </cfRule>
    <cfRule type="expression" dxfId="6680" priority="196">
      <formula>AND(R$9&gt;=14/24,R$9&lt;20/24)</formula>
    </cfRule>
    <cfRule type="expression" dxfId="6679" priority="197">
      <formula>AND(R$9&gt;=8/24,R$9&lt;14/24)</formula>
    </cfRule>
    <cfRule type="expression" dxfId="6678" priority="198">
      <formula>R$9&lt;8/24</formula>
    </cfRule>
  </conditionalFormatting>
  <conditionalFormatting sqref="R49:U54 V52:V54 W53:X54 V49:AA51">
    <cfRule type="expression" dxfId="6677" priority="194">
      <formula>R49&gt;$AG49</formula>
    </cfRule>
  </conditionalFormatting>
  <conditionalFormatting sqref="C84:AF84 C93:AF93">
    <cfRule type="expression" dxfId="6676" priority="190">
      <formula>C$9&gt;=20/24</formula>
    </cfRule>
    <cfRule type="expression" dxfId="6675" priority="191">
      <formula>AND(C$9&gt;=14/24,C$9&lt;20/24)</formula>
    </cfRule>
    <cfRule type="expression" dxfId="6674" priority="192">
      <formula>AND(C$9&gt;=8/24,C$9&lt;14/24)</formula>
    </cfRule>
    <cfRule type="expression" dxfId="6673" priority="193">
      <formula>C$9&lt;8/24</formula>
    </cfRule>
  </conditionalFormatting>
  <conditionalFormatting sqref="T43:W43">
    <cfRule type="expression" dxfId="6672" priority="186">
      <formula>T$9&gt;=20/24</formula>
    </cfRule>
    <cfRule type="expression" dxfId="6671" priority="187">
      <formula>AND(T$9&gt;=14/24,T$9&lt;20/24)</formula>
    </cfRule>
    <cfRule type="expression" dxfId="6670" priority="188">
      <formula>AND(T$9&gt;=8/24,T$9&lt;14/24)</formula>
    </cfRule>
    <cfRule type="expression" dxfId="6669" priority="189">
      <formula>T$9&lt;8/24</formula>
    </cfRule>
  </conditionalFormatting>
  <conditionalFormatting sqref="T43:W43">
    <cfRule type="expression" dxfId="6668" priority="185">
      <formula>T43&gt;$AG43</formula>
    </cfRule>
  </conditionalFormatting>
  <conditionalFormatting sqref="J50:M51 Y42:AF42">
    <cfRule type="expression" dxfId="6667" priority="181">
      <formula>J$9&gt;=20/24</formula>
    </cfRule>
    <cfRule type="expression" dxfId="6666" priority="182">
      <formula>AND(J$9&gt;=14/24,J$9&lt;20/24)</formula>
    </cfRule>
    <cfRule type="expression" dxfId="6665" priority="183">
      <formula>AND(J$9&gt;=8/24,J$9&lt;14/24)</formula>
    </cfRule>
    <cfRule type="expression" dxfId="6664" priority="184">
      <formula>J$9&lt;8/24</formula>
    </cfRule>
  </conditionalFormatting>
  <conditionalFormatting sqref="J49:M49">
    <cfRule type="expression" dxfId="6663" priority="177">
      <formula>J$9&gt;=20/24</formula>
    </cfRule>
    <cfRule type="expression" dxfId="6662" priority="178">
      <formula>AND(J$9&gt;=14/24,J$9&lt;20/24)</formula>
    </cfRule>
    <cfRule type="expression" dxfId="6661" priority="179">
      <formula>AND(J$9&gt;=8/24,J$9&lt;14/24)</formula>
    </cfRule>
    <cfRule type="expression" dxfId="6660" priority="180">
      <formula>J$9&lt;8/24</formula>
    </cfRule>
  </conditionalFormatting>
  <conditionalFormatting sqref="J49:M51 Y42:AF42">
    <cfRule type="expression" dxfId="6659" priority="176">
      <formula>J42&gt;$AG42</formula>
    </cfRule>
  </conditionalFormatting>
  <conditionalFormatting sqref="AG66 AG83 H96:L102 Q63:X65">
    <cfRule type="expression" dxfId="6658" priority="172">
      <formula>H$9&gt;=20/24</formula>
    </cfRule>
    <cfRule type="expression" dxfId="6657" priority="173">
      <formula>AND(H$9&gt;=14/24,H$9&lt;20/24)</formula>
    </cfRule>
    <cfRule type="expression" dxfId="6656" priority="174">
      <formula>AND(H$9&gt;=8/24,H$9&lt;14/24)</formula>
    </cfRule>
    <cfRule type="expression" dxfId="6655" priority="175">
      <formula>H$9&lt;8/24</formula>
    </cfRule>
  </conditionalFormatting>
  <conditionalFormatting sqref="AG44 AG62 AG66 Q63:X65">
    <cfRule type="expression" dxfId="6654" priority="171">
      <formula>Q44&gt;$AG44</formula>
    </cfRule>
  </conditionalFormatting>
  <conditionalFormatting sqref="Y54:AF54">
    <cfRule type="expression" dxfId="6653" priority="167">
      <formula>Y$9&gt;=20/24</formula>
    </cfRule>
    <cfRule type="expression" dxfId="6652" priority="168">
      <formula>AND(Y$9&gt;=14/24,Y$9&lt;20/24)</formula>
    </cfRule>
    <cfRule type="expression" dxfId="6651" priority="169">
      <formula>AND(Y$9&gt;=8/24,Y$9&lt;14/24)</formula>
    </cfRule>
    <cfRule type="expression" dxfId="6650" priority="170">
      <formula>Y$9&lt;8/24</formula>
    </cfRule>
  </conditionalFormatting>
  <conditionalFormatting sqref="Y54:AF54">
    <cfRule type="expression" dxfId="6649" priority="166">
      <formula>Y54&gt;$AG54</formula>
    </cfRule>
  </conditionalFormatting>
  <conditionalFormatting sqref="A40">
    <cfRule type="expression" dxfId="6648" priority="165">
      <formula>$AH40=0</formula>
    </cfRule>
  </conditionalFormatting>
  <conditionalFormatting sqref="X87:AF91">
    <cfRule type="expression" dxfId="6647" priority="161">
      <formula>X$9&gt;=20/24</formula>
    </cfRule>
    <cfRule type="expression" dxfId="6646" priority="162">
      <formula>AND(X$9&gt;=14/24,X$9&lt;20/24)</formula>
    </cfRule>
    <cfRule type="expression" dxfId="6645" priority="163">
      <formula>AND(X$9&gt;=8/24,X$9&lt;14/24)</formula>
    </cfRule>
    <cfRule type="expression" dxfId="6644" priority="164">
      <formula>X$9&lt;8/24</formula>
    </cfRule>
  </conditionalFormatting>
  <conditionalFormatting sqref="AL41 AL38 AL20:AL33 AL35:AL36 AL7:AL18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H45:I45 I46:I47 J45:AF47">
    <cfRule type="expression" dxfId="6643" priority="157">
      <formula>H$9&gt;=20/24</formula>
    </cfRule>
    <cfRule type="expression" dxfId="6642" priority="158">
      <formula>AND(H$9&gt;=14/24,H$9&lt;20/24)</formula>
    </cfRule>
    <cfRule type="expression" dxfId="6641" priority="159">
      <formula>AND(H$9&gt;=8/24,H$9&lt;14/24)</formula>
    </cfRule>
    <cfRule type="expression" dxfId="6640" priority="160">
      <formula>H$9&lt;8/24</formula>
    </cfRule>
  </conditionalFormatting>
  <conditionalFormatting sqref="H45:I45 I46:I47 J45:AF47">
    <cfRule type="expression" dxfId="6639" priority="156">
      <formula>H45&gt;$AG45</formula>
    </cfRule>
  </conditionalFormatting>
  <conditionalFormatting sqref="AG48">
    <cfRule type="expression" dxfId="6638" priority="152">
      <formula>AG$9&gt;=20/24</formula>
    </cfRule>
    <cfRule type="expression" dxfId="6637" priority="153">
      <formula>AND(AG$9&gt;=14/24,AG$9&lt;20/24)</formula>
    </cfRule>
    <cfRule type="expression" dxfId="6636" priority="154">
      <formula>AND(AG$9&gt;=8/24,AG$9&lt;14/24)</formula>
    </cfRule>
    <cfRule type="expression" dxfId="6635" priority="155">
      <formula>AG$9&lt;8/24</formula>
    </cfRule>
  </conditionalFormatting>
  <conditionalFormatting sqref="AG48">
    <cfRule type="expression" dxfId="6634" priority="151">
      <formula>AG48&gt;$AG48</formula>
    </cfRule>
  </conditionalFormatting>
  <conditionalFormatting sqref="C103:AF103">
    <cfRule type="expression" dxfId="6633" priority="147">
      <formula>C$9&gt;=20/24</formula>
    </cfRule>
    <cfRule type="expression" dxfId="6632" priority="148">
      <formula>AND(C$9&gt;=14/24,C$9&lt;20/24)</formula>
    </cfRule>
    <cfRule type="expression" dxfId="6631" priority="149">
      <formula>AND(C$9&gt;=8/24,C$9&lt;14/24)</formula>
    </cfRule>
    <cfRule type="expression" dxfId="6630" priority="150">
      <formula>C$9&lt;8/24</formula>
    </cfRule>
  </conditionalFormatting>
  <conditionalFormatting sqref="AL37">
    <cfRule type="iconSet" priority="146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6629" priority="145">
      <formula>$AH37=0</formula>
    </cfRule>
  </conditionalFormatting>
  <conditionalFormatting sqref="A86">
    <cfRule type="expression" dxfId="6628" priority="143">
      <formula>$AH86=0</formula>
    </cfRule>
  </conditionalFormatting>
  <conditionalFormatting sqref="A83">
    <cfRule type="expression" dxfId="6627" priority="144">
      <formula>$AH83=0</formula>
    </cfRule>
  </conditionalFormatting>
  <conditionalFormatting sqref="A113">
    <cfRule type="expression" dxfId="6626" priority="134">
      <formula>$AH113=0</formula>
    </cfRule>
  </conditionalFormatting>
  <conditionalFormatting sqref="H106:AF106">
    <cfRule type="expression" dxfId="6625" priority="130">
      <formula>H$9&gt;=20/24</formula>
    </cfRule>
    <cfRule type="expression" dxfId="6624" priority="131">
      <formula>AND(H$9&gt;=14/24,H$9&lt;20/24)</formula>
    </cfRule>
    <cfRule type="expression" dxfId="6623" priority="132">
      <formula>AND(H$9&gt;=8/24,H$9&lt;14/24)</formula>
    </cfRule>
    <cfRule type="expression" dxfId="6622" priority="133">
      <formula>H$9&lt;8/24</formula>
    </cfRule>
  </conditionalFormatting>
  <conditionalFormatting sqref="A106">
    <cfRule type="expression" dxfId="6621" priority="129">
      <formula>$AH106=0</formula>
    </cfRule>
  </conditionalFormatting>
  <conditionalFormatting sqref="A19">
    <cfRule type="expression" dxfId="6620" priority="127">
      <formula>$AH19=0</formula>
    </cfRule>
  </conditionalFormatting>
  <conditionalFormatting sqref="AL19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6619" priority="125">
      <formula>$AH34=0</formula>
    </cfRule>
  </conditionalFormatting>
  <conditionalFormatting sqref="AL34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6618" priority="121">
      <formula>Y$9&gt;=20/24</formula>
    </cfRule>
    <cfRule type="expression" dxfId="6617" priority="122">
      <formula>AND(Y$9&gt;=14/24,Y$9&lt;20/24)</formula>
    </cfRule>
    <cfRule type="expression" dxfId="6616" priority="123">
      <formula>AND(Y$9&gt;=8/24,Y$9&lt;14/24)</formula>
    </cfRule>
    <cfRule type="expression" dxfId="6615" priority="124">
      <formula>Y$9&lt;8/24</formula>
    </cfRule>
  </conditionalFormatting>
  <conditionalFormatting sqref="Y96:AC102">
    <cfRule type="expression" dxfId="6614" priority="117">
      <formula>Y$9&gt;=20/24</formula>
    </cfRule>
    <cfRule type="expression" dxfId="6613" priority="118">
      <formula>AND(Y$9&gt;=14/24,Y$9&lt;20/24)</formula>
    </cfRule>
    <cfRule type="expression" dxfId="6612" priority="119">
      <formula>AND(Y$9&gt;=8/24,Y$9&lt;14/24)</formula>
    </cfRule>
    <cfRule type="expression" dxfId="6611" priority="120">
      <formula>Y$9&lt;8/24</formula>
    </cfRule>
  </conditionalFormatting>
  <conditionalFormatting sqref="B105:G105 B107:G112 B15:X40">
    <cfRule type="expression" dxfId="6610" priority="113">
      <formula>B$9&gt;=20/24</formula>
    </cfRule>
    <cfRule type="expression" dxfId="6609" priority="114">
      <formula>AND(B$9&gt;=14/24,B$9&lt;20/24)</formula>
    </cfRule>
    <cfRule type="expression" dxfId="6608" priority="115">
      <formula>AND(B$9&gt;=8/24,B$9&lt;14/24)</formula>
    </cfRule>
    <cfRule type="expression" dxfId="6607" priority="116">
      <formula>B$9&lt;8/24</formula>
    </cfRule>
  </conditionalFormatting>
  <conditionalFormatting sqref="B43:S43">
    <cfRule type="expression" dxfId="6606" priority="109">
      <formula>B$9&gt;=20/24</formula>
    </cfRule>
    <cfRule type="expression" dxfId="6605" priority="110">
      <formula>AND(B$9&gt;=14/24,B$9&lt;20/24)</formula>
    </cfRule>
    <cfRule type="expression" dxfId="6604" priority="111">
      <formula>AND(B$9&gt;=8/24,B$9&lt;14/24)</formula>
    </cfRule>
    <cfRule type="expression" dxfId="6603" priority="112">
      <formula>B$9&lt;8/24</formula>
    </cfRule>
  </conditionalFormatting>
  <conditionalFormatting sqref="B43:S43 B15:X40">
    <cfRule type="expression" dxfId="6602" priority="108">
      <formula>B15&gt;$AG15</formula>
    </cfRule>
  </conditionalFormatting>
  <conditionalFormatting sqref="B95:G95">
    <cfRule type="expression" dxfId="6601" priority="104">
      <formula>B$9&gt;=20/24</formula>
    </cfRule>
    <cfRule type="expression" dxfId="6600" priority="105">
      <formula>AND(B$9&gt;=14/24,B$9&lt;20/24)</formula>
    </cfRule>
    <cfRule type="expression" dxfId="6599" priority="106">
      <formula>AND(B$9&gt;=8/24,B$9&lt;14/24)</formula>
    </cfRule>
    <cfRule type="expression" dxfId="6598" priority="107">
      <formula>B$9&lt;8/24</formula>
    </cfRule>
  </conditionalFormatting>
  <conditionalFormatting sqref="B50:I51 B67:L67">
    <cfRule type="expression" dxfId="6597" priority="100">
      <formula>B$9&gt;=20/24</formula>
    </cfRule>
    <cfRule type="expression" dxfId="6596" priority="101">
      <formula>AND(B$9&gt;=14/24,B$9&lt;20/24)</formula>
    </cfRule>
    <cfRule type="expression" dxfId="6595" priority="102">
      <formula>AND(B$9&gt;=8/24,B$9&lt;14/24)</formula>
    </cfRule>
    <cfRule type="expression" dxfId="6594" priority="103">
      <formula>B$9&lt;8/24</formula>
    </cfRule>
  </conditionalFormatting>
  <conditionalFormatting sqref="B49:I49">
    <cfRule type="expression" dxfId="6593" priority="96">
      <formula>B$9&gt;=20/24</formula>
    </cfRule>
    <cfRule type="expression" dxfId="6592" priority="97">
      <formula>AND(B$9&gt;=14/24,B$9&lt;20/24)</formula>
    </cfRule>
    <cfRule type="expression" dxfId="6591" priority="98">
      <formula>AND(B$9&gt;=8/24,B$9&lt;14/24)</formula>
    </cfRule>
    <cfRule type="expression" dxfId="6590" priority="99">
      <formula>B$9&lt;8/24</formula>
    </cfRule>
  </conditionalFormatting>
  <conditionalFormatting sqref="B49:I51">
    <cfRule type="expression" dxfId="6589" priority="95">
      <formula>B49&gt;$AG49</formula>
    </cfRule>
  </conditionalFormatting>
  <conditionalFormatting sqref="H79:AF81 B92:W92 B79:G82 B96:G102 B68:L72 B63:P65 M70:X72 Y71:AF72 AF73:AF77">
    <cfRule type="expression" dxfId="6588" priority="91">
      <formula>B$9&gt;=20/24</formula>
    </cfRule>
    <cfRule type="expression" dxfId="6587" priority="92">
      <formula>AND(B$9&gt;=14/24,B$9&lt;20/24)</formula>
    </cfRule>
    <cfRule type="expression" dxfId="6586" priority="93">
      <formula>AND(B$9&gt;=8/24,B$9&lt;14/24)</formula>
    </cfRule>
    <cfRule type="expression" dxfId="6585" priority="94">
      <formula>B$9&lt;8/24</formula>
    </cfRule>
  </conditionalFormatting>
  <conditionalFormatting sqref="B52:L53 B63:P65">
    <cfRule type="expression" dxfId="6584" priority="90">
      <formula>B52&gt;$AG52</formula>
    </cfRule>
  </conditionalFormatting>
  <conditionalFormatting sqref="B54:O54">
    <cfRule type="expression" dxfId="6583" priority="86">
      <formula>B$9&gt;=20/24</formula>
    </cfRule>
    <cfRule type="expression" dxfId="6582" priority="87">
      <formula>AND(B$9&gt;=14/24,B$9&lt;20/24)</formula>
    </cfRule>
    <cfRule type="expression" dxfId="6581" priority="88">
      <formula>AND(B$9&gt;=8/24,B$9&lt;14/24)</formula>
    </cfRule>
    <cfRule type="expression" dxfId="6580" priority="89">
      <formula>B$9&lt;8/24</formula>
    </cfRule>
  </conditionalFormatting>
  <conditionalFormatting sqref="B54:O54">
    <cfRule type="expression" dxfId="6579" priority="85">
      <formula>B54&gt;$AG54</formula>
    </cfRule>
  </conditionalFormatting>
  <conditionalFormatting sqref="B84 B93">
    <cfRule type="expression" dxfId="6578" priority="81">
      <formula>B$9&gt;=20/24</formula>
    </cfRule>
    <cfRule type="expression" dxfId="6577" priority="82">
      <formula>AND(B$9&gt;=14/24,B$9&lt;20/24)</formula>
    </cfRule>
    <cfRule type="expression" dxfId="6576" priority="83">
      <formula>AND(B$9&gt;=8/24,B$9&lt;14/24)</formula>
    </cfRule>
    <cfRule type="expression" dxfId="6575" priority="84">
      <formula>B$9&lt;8/24</formula>
    </cfRule>
  </conditionalFormatting>
  <conditionalFormatting sqref="B42:X42">
    <cfRule type="expression" dxfId="6574" priority="77">
      <formula>B$9&gt;=20/24</formula>
    </cfRule>
    <cfRule type="expression" dxfId="6573" priority="78">
      <formula>AND(B$9&gt;=14/24,B$9&lt;20/24)</formula>
    </cfRule>
    <cfRule type="expression" dxfId="6572" priority="79">
      <formula>AND(B$9&gt;=8/24,B$9&lt;14/24)</formula>
    </cfRule>
    <cfRule type="expression" dxfId="6571" priority="80">
      <formula>B$9&lt;8/24</formula>
    </cfRule>
  </conditionalFormatting>
  <conditionalFormatting sqref="B42:X42">
    <cfRule type="expression" dxfId="6570" priority="76">
      <formula>B42&gt;$AG42</formula>
    </cfRule>
  </conditionalFormatting>
  <conditionalFormatting sqref="B66:AF66 B83:AF83 B85:AF85 B94:AF94">
    <cfRule type="expression" dxfId="6569" priority="72">
      <formula>B$9&gt;=20/24</formula>
    </cfRule>
    <cfRule type="expression" dxfId="6568" priority="73">
      <formula>AND(B$9&gt;=14/24,B$9&lt;20/24)</formula>
    </cfRule>
    <cfRule type="expression" dxfId="6567" priority="74">
      <formula>AND(B$9&gt;=8/24,B$9&lt;14/24)</formula>
    </cfRule>
    <cfRule type="expression" dxfId="6566" priority="75">
      <formula>B$9&lt;8/24</formula>
    </cfRule>
  </conditionalFormatting>
  <conditionalFormatting sqref="B44:AF44 B61:AF62 B66:AF66">
    <cfRule type="expression" dxfId="6565" priority="71">
      <formula>B44&gt;$AG44</formula>
    </cfRule>
  </conditionalFormatting>
  <conditionalFormatting sqref="B78:AF78">
    <cfRule type="expression" dxfId="6564" priority="67">
      <formula>B$9&gt;=20/24</formula>
    </cfRule>
    <cfRule type="expression" dxfId="6563" priority="68">
      <formula>AND(B$9&gt;=14/24,B$9&lt;20/24)</formula>
    </cfRule>
    <cfRule type="expression" dxfId="6562" priority="69">
      <formula>AND(B$9&gt;=8/24,B$9&lt;14/24)</formula>
    </cfRule>
    <cfRule type="expression" dxfId="6561" priority="70">
      <formula>B$9&lt;8/24</formula>
    </cfRule>
  </conditionalFormatting>
  <conditionalFormatting sqref="B87:W91">
    <cfRule type="expression" dxfId="6560" priority="63">
      <formula>B$9&gt;=20/24</formula>
    </cfRule>
    <cfRule type="expression" dxfId="6559" priority="64">
      <formula>AND(B$9&gt;=14/24,B$9&lt;20/24)</formula>
    </cfRule>
    <cfRule type="expression" dxfId="6558" priority="65">
      <formula>AND(B$9&gt;=8/24,B$9&lt;14/24)</formula>
    </cfRule>
    <cfRule type="expression" dxfId="6557" priority="66">
      <formula>B$9&lt;8/24</formula>
    </cfRule>
  </conditionalFormatting>
  <conditionalFormatting sqref="B45:G47 H46:H47">
    <cfRule type="expression" dxfId="6556" priority="59">
      <formula>B$9&gt;=20/24</formula>
    </cfRule>
    <cfRule type="expression" dxfId="6555" priority="60">
      <formula>AND(B$9&gt;=14/24,B$9&lt;20/24)</formula>
    </cfRule>
    <cfRule type="expression" dxfId="6554" priority="61">
      <formula>AND(B$9&gt;=8/24,B$9&lt;14/24)</formula>
    </cfRule>
    <cfRule type="expression" dxfId="6553" priority="62">
      <formula>B$9&lt;8/24</formula>
    </cfRule>
  </conditionalFormatting>
  <conditionalFormatting sqref="B45:G47 H46:H47">
    <cfRule type="expression" dxfId="6552" priority="58">
      <formula>B45&gt;$AG45</formula>
    </cfRule>
  </conditionalFormatting>
  <conditionalFormatting sqref="B48:AF48">
    <cfRule type="expression" dxfId="6551" priority="54">
      <formula>B$9&gt;=20/24</formula>
    </cfRule>
    <cfRule type="expression" dxfId="6550" priority="55">
      <formula>AND(B$9&gt;=14/24,B$9&lt;20/24)</formula>
    </cfRule>
    <cfRule type="expression" dxfId="6549" priority="56">
      <formula>AND(B$9&gt;=8/24,B$9&lt;14/24)</formula>
    </cfRule>
    <cfRule type="expression" dxfId="6548" priority="57">
      <formula>B$9&lt;8/24</formula>
    </cfRule>
  </conditionalFormatting>
  <conditionalFormatting sqref="B48:AF48">
    <cfRule type="expression" dxfId="6547" priority="53">
      <formula>B48&gt;$AG48</formula>
    </cfRule>
  </conditionalFormatting>
  <conditionalFormatting sqref="B103">
    <cfRule type="expression" dxfId="6546" priority="49">
      <formula>B$9&gt;=20/24</formula>
    </cfRule>
    <cfRule type="expression" dxfId="6545" priority="50">
      <formula>AND(B$9&gt;=14/24,B$9&lt;20/24)</formula>
    </cfRule>
    <cfRule type="expression" dxfId="6544" priority="51">
      <formula>AND(B$9&gt;=8/24,B$9&lt;14/24)</formula>
    </cfRule>
    <cfRule type="expression" dxfId="6543" priority="52">
      <formula>B$9&lt;8/24</formula>
    </cfRule>
  </conditionalFormatting>
  <conditionalFormatting sqref="B106:G106">
    <cfRule type="expression" dxfId="6542" priority="37">
      <formula>B$9&gt;=20/24</formula>
    </cfRule>
    <cfRule type="expression" dxfId="6541" priority="38">
      <formula>AND(B$9&gt;=14/24,B$9&lt;20/24)</formula>
    </cfRule>
    <cfRule type="expression" dxfId="6540" priority="39">
      <formula>AND(B$9&gt;=8/24,B$9&lt;14/24)</formula>
    </cfRule>
    <cfRule type="expression" dxfId="6539" priority="40">
      <formula>B$9&lt;8/24</formula>
    </cfRule>
  </conditionalFormatting>
  <conditionalFormatting sqref="B55:O60 P56:X60 Y55:AF60">
    <cfRule type="expression" dxfId="6538" priority="33">
      <formula>B$9&gt;=20/24</formula>
    </cfRule>
    <cfRule type="expression" dxfId="6537" priority="34">
      <formula>AND(B$9&gt;=14/24,B$9&lt;20/24)</formula>
    </cfRule>
    <cfRule type="expression" dxfId="6536" priority="35">
      <formula>AND(B$9&gt;=8/24,B$9&lt;14/24)</formula>
    </cfRule>
    <cfRule type="expression" dxfId="6535" priority="36">
      <formula>B$9&lt;8/24</formula>
    </cfRule>
  </conditionalFormatting>
  <conditionalFormatting sqref="B55:O60 P56:X60 Y55:AF60">
    <cfRule type="expression" dxfId="6534" priority="32">
      <formula>B55&gt;$AG55</formula>
    </cfRule>
  </conditionalFormatting>
  <conditionalFormatting sqref="B41:X41 B12:X14">
    <cfRule type="expression" dxfId="6533" priority="31">
      <formula>B12&gt;$AG12</formula>
    </cfRule>
  </conditionalFormatting>
  <conditionalFormatting sqref="B11:X11">
    <cfRule type="expression" dxfId="6532" priority="27">
      <formula>B$9&gt;=20/24</formula>
    </cfRule>
    <cfRule type="expression" dxfId="6531" priority="28">
      <formula>AND(B$9&gt;=14/24,B$9&lt;20/24)</formula>
    </cfRule>
    <cfRule type="expression" dxfId="6530" priority="29">
      <formula>AND(B$9&gt;=8/24,B$9&lt;14/24)</formula>
    </cfRule>
    <cfRule type="expression" dxfId="6529" priority="30">
      <formula>B$9&lt;8/24</formula>
    </cfRule>
  </conditionalFormatting>
  <conditionalFormatting sqref="B11:X11">
    <cfRule type="expression" dxfId="6528" priority="26">
      <formula>B11&gt;$AG11</formula>
    </cfRule>
  </conditionalFormatting>
  <conditionalFormatting sqref="B12:X14">
    <cfRule type="expression" dxfId="6527" priority="22">
      <formula>B$9&gt;=20/24</formula>
    </cfRule>
    <cfRule type="expression" dxfId="6526" priority="23">
      <formula>AND(B$9&gt;=14/24,B$9&lt;20/24)</formula>
    </cfRule>
    <cfRule type="expression" dxfId="6525" priority="24">
      <formula>AND(B$9&gt;=8/24,B$9&lt;14/24)</formula>
    </cfRule>
    <cfRule type="expression" dxfId="6524" priority="25">
      <formula>B$9&lt;8/24</formula>
    </cfRule>
  </conditionalFormatting>
  <conditionalFormatting sqref="B41:X41">
    <cfRule type="expression" dxfId="6523" priority="18">
      <formula>B$9&gt;=20/24</formula>
    </cfRule>
    <cfRule type="expression" dxfId="6522" priority="19">
      <formula>AND(B$9&gt;=14/24,B$9&lt;20/24)</formula>
    </cfRule>
    <cfRule type="expression" dxfId="6521" priority="20">
      <formula>AND(B$9&gt;=8/24,B$9&lt;14/24)</formula>
    </cfRule>
    <cfRule type="expression" dxfId="6520" priority="21">
      <formula>B$9&lt;8/24</formula>
    </cfRule>
  </conditionalFormatting>
  <conditionalFormatting sqref="B73:AE77">
    <cfRule type="expression" dxfId="6519" priority="14">
      <formula>B$9&gt;=20/24</formula>
    </cfRule>
    <cfRule type="expression" dxfId="6518" priority="15">
      <formula>AND(B$9&gt;=14/24,B$9&lt;20/24)</formula>
    </cfRule>
    <cfRule type="expression" dxfId="6517" priority="16">
      <formula>AND(B$9&gt;=8/24,B$9&lt;14/24)</formula>
    </cfRule>
    <cfRule type="expression" dxfId="6516" priority="17">
      <formula>B$9&lt;8/24</formula>
    </cfRule>
  </conditionalFormatting>
  <conditionalFormatting sqref="AL74:AN74 AL80:AN80 AN75:AN76">
    <cfRule type="expression" dxfId="6515" priority="10">
      <formula>AL$9&gt;=20/24</formula>
    </cfRule>
    <cfRule type="expression" dxfId="6514" priority="11">
      <formula>AND(AL$9&gt;=14/24,AL$9&lt;20/24)</formula>
    </cfRule>
    <cfRule type="expression" dxfId="6513" priority="12">
      <formula>AND(AL$9&gt;=8/24,AL$9&lt;14/24)</formula>
    </cfRule>
    <cfRule type="expression" dxfId="6512" priority="13">
      <formula>AL$9&lt;8/24</formula>
    </cfRule>
  </conditionalFormatting>
  <conditionalFormatting sqref="AN77:AN78">
    <cfRule type="expression" dxfId="6511" priority="6">
      <formula>AN$9&gt;=20/24</formula>
    </cfRule>
    <cfRule type="expression" dxfId="6510" priority="7">
      <formula>AND(AN$9&gt;=14/24,AN$9&lt;20/24)</formula>
    </cfRule>
    <cfRule type="expression" dxfId="6509" priority="8">
      <formula>AND(AN$9&gt;=8/24,AN$9&lt;14/24)</formula>
    </cfRule>
    <cfRule type="expression" dxfId="6508" priority="9">
      <formula>AN$9&lt;8/24</formula>
    </cfRule>
  </conditionalFormatting>
  <conditionalFormatting sqref="AL75:AM79">
    <cfRule type="expression" dxfId="6507" priority="263">
      <formula>AJ$9&gt;=20/24</formula>
    </cfRule>
    <cfRule type="expression" dxfId="6506" priority="264">
      <formula>AND(AJ$9&gt;=14/24,AJ$9&lt;20/24)</formula>
    </cfRule>
    <cfRule type="expression" dxfId="6505" priority="265">
      <formula>AND(AJ$9&gt;=8/24,AJ$9&lt;14/24)</formula>
    </cfRule>
    <cfRule type="expression" dxfId="6504" priority="266">
      <formula>AJ$9&lt;8/24</formula>
    </cfRule>
  </conditionalFormatting>
  <conditionalFormatting sqref="M52:O53">
    <cfRule type="expression" dxfId="6503" priority="2">
      <formula>M$9&gt;=20/24</formula>
    </cfRule>
    <cfRule type="expression" dxfId="6502" priority="3">
      <formula>AND(M$9&gt;=14/24,M$9&lt;20/24)</formula>
    </cfRule>
    <cfRule type="expression" dxfId="6501" priority="4">
      <formula>AND(M$9&gt;=8/24,M$9&lt;14/24)</formula>
    </cfRule>
    <cfRule type="expression" dxfId="6500" priority="5">
      <formula>M$9&lt;8/24</formula>
    </cfRule>
  </conditionalFormatting>
  <conditionalFormatting sqref="M52:O53">
    <cfRule type="expression" dxfId="6499" priority="1">
      <formula>M52&gt;$AG52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9" id="{BEACCDFA-D241-4593-8CA4-3A18EF8B4A77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40" id="{ABBE66BE-CE02-480E-823D-08314720BCCC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41" id="{928B6237-F8E0-4BF7-8DB3-4535B5C58F14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42" id="{7F284232-8C0A-400F-B31B-F772B809BD6F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H113:AF113</xm:sqref>
        </x14:conditionalFormatting>
        <x14:conditionalFormatting xmlns:xm="http://schemas.microsoft.com/office/excel/2006/main">
          <x14:cfRule type="expression" priority="135" id="{1561A7B6-C2B3-4537-898F-B9256E35E534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6" id="{0317748C-CB45-44EC-A6BB-10535813BD32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7" id="{160BC7E9-22D8-4AFA-A550-B400A130F84C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8" id="{EA44D787-0D4E-4265-96A7-EA7481D1719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C113:G113</xm:sqref>
        </x14:conditionalFormatting>
        <x14:conditionalFormatting xmlns:xm="http://schemas.microsoft.com/office/excel/2006/main">
          <x14:cfRule type="expression" priority="45" id="{AC5017B0-710F-42A9-BD08-4B34B77636C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6" id="{78BDD1DE-FCB6-4690-A105-80AADBA0370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7" id="{D6232420-8EF2-40CE-A7EA-6088D9DEDFD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8" id="{F454EEAD-5C8E-40EC-B89B-09B8CC07A9DC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41" id="{C6D82856-DF6A-4013-9D92-9F021872CC3E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2" id="{D9B1C505-F826-44EE-95F7-918D7CB36FE2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3" id="{109C5AD5-06FB-4ACB-98C1-BA1139915F35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4" id="{5B1DB6E1-B2FD-4412-8031-8B4C456C3A3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J274"/>
  <sheetViews>
    <sheetView workbookViewId="0">
      <pane ySplit="10" topLeftCell="A40" activePane="bottomLeft" state="frozen"/>
      <selection activeCell="U80" sqref="U80"/>
      <selection pane="bottomLeft" activeCell="AP113" sqref="AP11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/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str">
        <f ca="1">"2079/"&amp;"09/"&amp;INT(MID(CELL("filename",D6),FIND("]",CELL("filename",D6))+1,200))</f>
        <v>2079/09/12</v>
      </c>
      <c r="C4" s="771"/>
      <c r="D4" s="771"/>
      <c r="E4" s="772" t="str">
        <f ca="1">"2079/"&amp;"09/"&amp;INT(MID(CELL("filename",G6),FIND("]",CELL("filename",G6))+1,200))</f>
        <v>2079/09/12</v>
      </c>
      <c r="F4" s="772"/>
      <c r="G4" s="772"/>
      <c r="H4" s="772" t="str">
        <f ca="1">TEXT(E4,"dddd")</f>
        <v>Tuesday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478.6</v>
      </c>
      <c r="C5" s="30">
        <f t="shared" si="0"/>
        <v>465.2</v>
      </c>
      <c r="D5" s="30">
        <f t="shared" si="0"/>
        <v>457.70000000000005</v>
      </c>
      <c r="E5" s="30">
        <f t="shared" si="0"/>
        <v>464.7</v>
      </c>
      <c r="F5" s="30">
        <f t="shared" si="0"/>
        <v>149.4</v>
      </c>
      <c r="G5" s="30">
        <f t="shared" si="0"/>
        <v>497</v>
      </c>
      <c r="H5" s="30">
        <f t="shared" si="0"/>
        <v>503</v>
      </c>
      <c r="I5" s="30">
        <f t="shared" si="0"/>
        <v>505.1</v>
      </c>
      <c r="J5" s="30">
        <f t="shared" si="0"/>
        <v>475</v>
      </c>
      <c r="K5" s="30">
        <f t="shared" si="0"/>
        <v>442.50000000000006</v>
      </c>
      <c r="L5" s="30">
        <f t="shared" si="0"/>
        <v>435.5</v>
      </c>
      <c r="M5" s="30">
        <f t="shared" si="0"/>
        <v>384.99999999999994</v>
      </c>
      <c r="N5" s="30">
        <f t="shared" si="0"/>
        <v>401.99999999999994</v>
      </c>
      <c r="O5" s="30">
        <f t="shared" si="0"/>
        <v>490.8</v>
      </c>
      <c r="P5" s="30">
        <f t="shared" si="0"/>
        <v>485.49999999999994</v>
      </c>
      <c r="Q5" s="30">
        <f t="shared" si="0"/>
        <v>505.49999999999994</v>
      </c>
      <c r="R5" s="30">
        <f t="shared" si="0"/>
        <v>490.29999999999995</v>
      </c>
      <c r="S5" s="30">
        <f t="shared" si="0"/>
        <v>509.5</v>
      </c>
      <c r="T5" s="30">
        <f t="shared" si="0"/>
        <v>503.6</v>
      </c>
      <c r="U5" s="30">
        <f t="shared" si="0"/>
        <v>443.2</v>
      </c>
      <c r="V5" s="30">
        <f t="shared" si="0"/>
        <v>434.2</v>
      </c>
      <c r="W5" s="30">
        <f t="shared" si="0"/>
        <v>399</v>
      </c>
      <c r="X5" s="30">
        <f t="shared" si="0"/>
        <v>415.40000000000003</v>
      </c>
      <c r="Y5" s="30">
        <f t="shared" si="0"/>
        <v>457.2</v>
      </c>
      <c r="Z5" s="30">
        <f t="shared" si="0"/>
        <v>460.2</v>
      </c>
      <c r="AA5" s="30">
        <f t="shared" si="0"/>
        <v>406.4</v>
      </c>
      <c r="AB5" s="30">
        <f t="shared" si="0"/>
        <v>400.40000000000003</v>
      </c>
      <c r="AC5" s="30">
        <f t="shared" si="0"/>
        <v>403.99999999999994</v>
      </c>
      <c r="AD5" s="30">
        <f t="shared" si="0"/>
        <v>423.09999999999997</v>
      </c>
      <c r="AE5" s="30">
        <f t="shared" si="0"/>
        <v>473.4</v>
      </c>
      <c r="AF5" s="30">
        <f>B78</f>
        <v>470.90000000000003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1599MW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Load=807</v>
      </c>
      <c r="B7" s="35">
        <f t="shared" ref="B7:AF7" si="1">B85</f>
        <v>1095.74</v>
      </c>
      <c r="C7" s="35">
        <f t="shared" si="1"/>
        <v>1067.44</v>
      </c>
      <c r="D7" s="35">
        <f t="shared" si="1"/>
        <v>1068.74</v>
      </c>
      <c r="E7" s="35">
        <f t="shared" si="1"/>
        <v>1054.54</v>
      </c>
      <c r="F7" s="35">
        <f t="shared" si="1"/>
        <v>1050.6399999999999</v>
      </c>
      <c r="G7" s="35">
        <f t="shared" si="1"/>
        <v>806.93999999999994</v>
      </c>
      <c r="H7" s="35">
        <f t="shared" si="1"/>
        <v>1243.54</v>
      </c>
      <c r="I7" s="35">
        <f t="shared" si="1"/>
        <v>1341.6399999999999</v>
      </c>
      <c r="J7" s="35">
        <f t="shared" si="1"/>
        <v>1414.3400000000001</v>
      </c>
      <c r="K7" s="35">
        <f t="shared" si="1"/>
        <v>1411.24</v>
      </c>
      <c r="L7" s="35">
        <f t="shared" si="1"/>
        <v>1591.6399999999999</v>
      </c>
      <c r="M7" s="35">
        <f t="shared" si="1"/>
        <v>1599.04</v>
      </c>
      <c r="N7" s="35">
        <f>N85</f>
        <v>1487.94</v>
      </c>
      <c r="O7" s="35">
        <f t="shared" si="1"/>
        <v>1495.94</v>
      </c>
      <c r="P7" s="35">
        <f t="shared" si="1"/>
        <v>1338.94</v>
      </c>
      <c r="Q7" s="35">
        <f t="shared" si="1"/>
        <v>1294.44</v>
      </c>
      <c r="R7" s="35">
        <f t="shared" si="1"/>
        <v>1288.8399999999999</v>
      </c>
      <c r="S7" s="35">
        <f t="shared" si="1"/>
        <v>1295.6399999999999</v>
      </c>
      <c r="T7" s="35">
        <f t="shared" si="1"/>
        <v>1326.44</v>
      </c>
      <c r="U7" s="35">
        <f t="shared" si="1"/>
        <v>1287.1399999999999</v>
      </c>
      <c r="V7" s="35">
        <f t="shared" si="1"/>
        <v>1223.44</v>
      </c>
      <c r="W7" s="35">
        <f t="shared" si="1"/>
        <v>1188.44</v>
      </c>
      <c r="X7" s="35">
        <f t="shared" si="1"/>
        <v>1483.24</v>
      </c>
      <c r="Y7" s="35">
        <f t="shared" si="1"/>
        <v>1620.8400000000001</v>
      </c>
      <c r="Z7" s="35">
        <f t="shared" si="1"/>
        <v>1589.54</v>
      </c>
      <c r="AA7" s="35">
        <f t="shared" si="1"/>
        <v>1423.74</v>
      </c>
      <c r="AB7" s="35">
        <f t="shared" si="1"/>
        <v>1434.1399999999999</v>
      </c>
      <c r="AC7" s="35">
        <f t="shared" si="1"/>
        <v>1412.34</v>
      </c>
      <c r="AD7" s="35">
        <f t="shared" si="1"/>
        <v>1375.64</v>
      </c>
      <c r="AE7" s="35">
        <f t="shared" si="1"/>
        <v>1209.8399999999999</v>
      </c>
      <c r="AF7" s="35">
        <f t="shared" si="1"/>
        <v>1152.6399999999999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19.2</v>
      </c>
      <c r="C11" s="45">
        <v>17.600000000000001</v>
      </c>
      <c r="D11" s="45">
        <v>17.600000000000001</v>
      </c>
      <c r="E11" s="45">
        <v>17.7</v>
      </c>
      <c r="F11" s="45">
        <v>17.5</v>
      </c>
      <c r="G11" s="45">
        <v>19.5</v>
      </c>
      <c r="H11" s="45">
        <v>19.899999999999999</v>
      </c>
      <c r="I11" s="45">
        <v>19.600000000000001</v>
      </c>
      <c r="J11" s="45">
        <v>19.600000000000001</v>
      </c>
      <c r="K11" s="45">
        <v>19.100000000000001</v>
      </c>
      <c r="L11" s="45">
        <v>17.899999999999999</v>
      </c>
      <c r="M11" s="45">
        <v>17.899999999999999</v>
      </c>
      <c r="N11" s="45">
        <v>17.899999999999999</v>
      </c>
      <c r="O11" s="45">
        <v>17.899999999999999</v>
      </c>
      <c r="P11" s="45">
        <v>17.899999999999999</v>
      </c>
      <c r="Q11" s="45">
        <v>17.899999999999999</v>
      </c>
      <c r="R11" s="45">
        <v>17.899999999999999</v>
      </c>
      <c r="S11" s="45">
        <v>17.899999999999999</v>
      </c>
      <c r="T11" s="45">
        <v>17.899999999999999</v>
      </c>
      <c r="U11" s="45">
        <v>17.899999999999999</v>
      </c>
      <c r="V11" s="45">
        <v>17.899999999999999</v>
      </c>
      <c r="W11" s="45">
        <v>17.899999999999999</v>
      </c>
      <c r="X11" s="45">
        <v>17.899999999999999</v>
      </c>
      <c r="Y11" s="45">
        <v>17.899999999999999</v>
      </c>
      <c r="Z11" s="45">
        <v>17.899999999999999</v>
      </c>
      <c r="AA11" s="45">
        <v>17.899999999999999</v>
      </c>
      <c r="AB11" s="45">
        <v>17.899999999999999</v>
      </c>
      <c r="AC11" s="45">
        <v>18.2</v>
      </c>
      <c r="AD11" s="45">
        <v>18.3</v>
      </c>
      <c r="AE11" s="45">
        <v>17.100000000000001</v>
      </c>
      <c r="AF11" s="45">
        <v>18.7</v>
      </c>
      <c r="AG11" s="46">
        <v>52.4</v>
      </c>
      <c r="AH11" s="47">
        <f t="shared" ref="AH11:AH74" si="2">MAX(B11:AF11)</f>
        <v>19.899999999999999</v>
      </c>
      <c r="AI11" s="48">
        <f t="shared" ref="AI11:AI74" si="3">MIN(B11:AF11)</f>
        <v>17.100000000000001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34.200000000000003</v>
      </c>
      <c r="C12" s="45">
        <v>34.700000000000003</v>
      </c>
      <c r="D12" s="45">
        <v>34.5</v>
      </c>
      <c r="E12" s="45">
        <v>34.1</v>
      </c>
      <c r="F12" s="45">
        <v>34.4</v>
      </c>
      <c r="G12" s="45">
        <v>34.5</v>
      </c>
      <c r="H12" s="45">
        <v>34.799999999999997</v>
      </c>
      <c r="I12" s="45">
        <v>34.799999999999997</v>
      </c>
      <c r="J12" s="45">
        <v>35.1</v>
      </c>
      <c r="K12" s="45">
        <v>34.4</v>
      </c>
      <c r="L12" s="45">
        <v>35</v>
      </c>
      <c r="M12" s="45">
        <v>34.9</v>
      </c>
      <c r="N12" s="45">
        <v>34.9</v>
      </c>
      <c r="O12" s="45">
        <v>34.9</v>
      </c>
      <c r="P12" s="45">
        <v>34.9</v>
      </c>
      <c r="Q12" s="45">
        <v>34.9</v>
      </c>
      <c r="R12" s="45">
        <v>34.9</v>
      </c>
      <c r="S12" s="45">
        <v>34.9</v>
      </c>
      <c r="T12" s="45">
        <v>34.9</v>
      </c>
      <c r="U12" s="45">
        <v>34.9</v>
      </c>
      <c r="V12" s="45">
        <v>34.9</v>
      </c>
      <c r="W12" s="45">
        <v>34.9</v>
      </c>
      <c r="X12" s="45">
        <v>34.9</v>
      </c>
      <c r="Y12" s="45">
        <v>34.9</v>
      </c>
      <c r="Z12" s="45">
        <v>34.9</v>
      </c>
      <c r="AA12" s="45">
        <v>34.9</v>
      </c>
      <c r="AB12" s="45">
        <v>34.9</v>
      </c>
      <c r="AC12" s="45">
        <v>33.6</v>
      </c>
      <c r="AD12" s="45">
        <v>33.700000000000003</v>
      </c>
      <c r="AE12" s="45">
        <v>33.799999999999997</v>
      </c>
      <c r="AF12" s="45">
        <v>35.5</v>
      </c>
      <c r="AG12" s="50">
        <v>50</v>
      </c>
      <c r="AH12" s="47">
        <f t="shared" si="2"/>
        <v>35.5</v>
      </c>
      <c r="AI12" s="48">
        <f t="shared" si="3"/>
        <v>33.6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20</v>
      </c>
      <c r="C13" s="45">
        <v>20.6</v>
      </c>
      <c r="D13" s="45">
        <v>19.899999999999999</v>
      </c>
      <c r="E13" s="45">
        <v>19.899999999999999</v>
      </c>
      <c r="F13" s="45">
        <v>16.399999999999999</v>
      </c>
      <c r="G13" s="45">
        <v>21</v>
      </c>
      <c r="H13" s="45">
        <v>16.399999999999999</v>
      </c>
      <c r="I13" s="45">
        <v>16.399999999999999</v>
      </c>
      <c r="J13" s="45">
        <v>21</v>
      </c>
      <c r="K13" s="45">
        <v>18.8</v>
      </c>
      <c r="L13" s="45">
        <v>16.7</v>
      </c>
      <c r="M13" s="45">
        <v>19.100000000000001</v>
      </c>
      <c r="N13" s="45">
        <v>19.100000000000001</v>
      </c>
      <c r="O13" s="45">
        <v>19.100000000000001</v>
      </c>
      <c r="P13" s="45">
        <v>19.100000000000001</v>
      </c>
      <c r="Q13" s="45">
        <v>19.100000000000001</v>
      </c>
      <c r="R13" s="45">
        <v>19.100000000000001</v>
      </c>
      <c r="S13" s="45">
        <v>19.100000000000001</v>
      </c>
      <c r="T13" s="45">
        <v>19.100000000000001</v>
      </c>
      <c r="U13" s="45">
        <v>19.100000000000001</v>
      </c>
      <c r="V13" s="45">
        <v>19.100000000000001</v>
      </c>
      <c r="W13" s="45">
        <v>19.100000000000001</v>
      </c>
      <c r="X13" s="45">
        <v>19.100000000000001</v>
      </c>
      <c r="Y13" s="45">
        <v>19.100000000000001</v>
      </c>
      <c r="Z13" s="45">
        <v>19.100000000000001</v>
      </c>
      <c r="AA13" s="45">
        <v>19.100000000000001</v>
      </c>
      <c r="AB13" s="45">
        <v>19.100000000000001</v>
      </c>
      <c r="AC13" s="45">
        <v>19.3</v>
      </c>
      <c r="AD13" s="45">
        <v>19.3</v>
      </c>
      <c r="AE13" s="45">
        <v>19.3</v>
      </c>
      <c r="AF13" s="45">
        <v>19.3</v>
      </c>
      <c r="AG13" s="50">
        <v>45</v>
      </c>
      <c r="AH13" s="47">
        <f t="shared" si="2"/>
        <v>21</v>
      </c>
      <c r="AI13" s="48">
        <f t="shared" si="3"/>
        <v>16.399999999999999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8.5</v>
      </c>
      <c r="C14" s="45">
        <v>8.5</v>
      </c>
      <c r="D14" s="45">
        <v>8.5</v>
      </c>
      <c r="E14" s="45">
        <v>8.5</v>
      </c>
      <c r="F14" s="45">
        <v>8.5</v>
      </c>
      <c r="G14" s="45">
        <v>8.5</v>
      </c>
      <c r="H14" s="45">
        <v>9</v>
      </c>
      <c r="I14" s="45">
        <v>9</v>
      </c>
      <c r="J14" s="45">
        <v>9</v>
      </c>
      <c r="K14" s="45">
        <v>9</v>
      </c>
      <c r="L14" s="45">
        <v>9</v>
      </c>
      <c r="M14" s="45">
        <v>9</v>
      </c>
      <c r="N14" s="45">
        <v>9</v>
      </c>
      <c r="O14" s="45">
        <v>9</v>
      </c>
      <c r="P14" s="45">
        <v>9</v>
      </c>
      <c r="Q14" s="45">
        <v>9</v>
      </c>
      <c r="R14" s="45">
        <v>9</v>
      </c>
      <c r="S14" s="45">
        <v>9</v>
      </c>
      <c r="T14" s="45">
        <v>9</v>
      </c>
      <c r="U14" s="45">
        <v>9</v>
      </c>
      <c r="V14" s="45">
        <v>9</v>
      </c>
      <c r="W14" s="45">
        <v>9</v>
      </c>
      <c r="X14" s="45">
        <v>9</v>
      </c>
      <c r="Y14" s="45">
        <v>9</v>
      </c>
      <c r="Z14" s="45">
        <v>9</v>
      </c>
      <c r="AA14" s="45">
        <v>9</v>
      </c>
      <c r="AB14" s="45">
        <v>9</v>
      </c>
      <c r="AC14" s="45">
        <v>8</v>
      </c>
      <c r="AD14" s="45">
        <v>8</v>
      </c>
      <c r="AE14" s="45">
        <v>8</v>
      </c>
      <c r="AF14" s="45">
        <v>8</v>
      </c>
      <c r="AG14" s="50">
        <v>42</v>
      </c>
      <c r="AH14" s="47">
        <f t="shared" si="2"/>
        <v>9</v>
      </c>
      <c r="AI14" s="48">
        <f t="shared" si="3"/>
        <v>8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13</v>
      </c>
      <c r="C15" s="45">
        <v>13</v>
      </c>
      <c r="D15" s="45">
        <v>13</v>
      </c>
      <c r="E15" s="45">
        <v>13</v>
      </c>
      <c r="F15" s="45">
        <v>13</v>
      </c>
      <c r="G15" s="45">
        <v>13</v>
      </c>
      <c r="H15" s="45">
        <v>13</v>
      </c>
      <c r="I15" s="45">
        <v>13</v>
      </c>
      <c r="J15" s="45">
        <v>13</v>
      </c>
      <c r="K15" s="45">
        <v>13</v>
      </c>
      <c r="L15" s="45">
        <v>13</v>
      </c>
      <c r="M15" s="45">
        <v>13</v>
      </c>
      <c r="N15" s="45">
        <v>13</v>
      </c>
      <c r="O15" s="45">
        <v>13</v>
      </c>
      <c r="P15" s="45">
        <v>13</v>
      </c>
      <c r="Q15" s="45">
        <v>13</v>
      </c>
      <c r="R15" s="45">
        <v>13</v>
      </c>
      <c r="S15" s="45">
        <v>13</v>
      </c>
      <c r="T15" s="45">
        <v>13</v>
      </c>
      <c r="U15" s="45">
        <v>13</v>
      </c>
      <c r="V15" s="45">
        <v>13</v>
      </c>
      <c r="W15" s="45">
        <v>13</v>
      </c>
      <c r="X15" s="45">
        <v>13</v>
      </c>
      <c r="Y15" s="45">
        <v>13</v>
      </c>
      <c r="Z15" s="45">
        <v>13</v>
      </c>
      <c r="AA15" s="45">
        <v>13</v>
      </c>
      <c r="AB15" s="45">
        <v>13</v>
      </c>
      <c r="AC15" s="45">
        <v>13</v>
      </c>
      <c r="AD15" s="45">
        <v>13</v>
      </c>
      <c r="AE15" s="45">
        <v>13</v>
      </c>
      <c r="AF15" s="45">
        <v>13</v>
      </c>
      <c r="AG15" s="50">
        <v>36</v>
      </c>
      <c r="AH15" s="47">
        <f t="shared" si="2"/>
        <v>13</v>
      </c>
      <c r="AI15" s="48">
        <f t="shared" si="3"/>
        <v>13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8.5</v>
      </c>
      <c r="C16" s="45">
        <v>8.3000000000000007</v>
      </c>
      <c r="D16" s="45">
        <v>8.4</v>
      </c>
      <c r="E16" s="45">
        <v>8.6</v>
      </c>
      <c r="F16" s="45">
        <v>8.6</v>
      </c>
      <c r="G16" s="45">
        <v>8.6</v>
      </c>
      <c r="H16" s="45">
        <v>8.6</v>
      </c>
      <c r="I16" s="45">
        <v>8.6</v>
      </c>
      <c r="J16" s="45">
        <v>8.6</v>
      </c>
      <c r="K16" s="45">
        <v>8.6</v>
      </c>
      <c r="L16" s="45">
        <v>8.6</v>
      </c>
      <c r="M16" s="45">
        <v>8.1999999999999993</v>
      </c>
      <c r="N16" s="45">
        <v>8.1999999999999993</v>
      </c>
      <c r="O16" s="45">
        <v>8.1999999999999993</v>
      </c>
      <c r="P16" s="45">
        <v>8.1999999999999993</v>
      </c>
      <c r="Q16" s="45">
        <v>8.1999999999999993</v>
      </c>
      <c r="R16" s="45">
        <v>8.1999999999999993</v>
      </c>
      <c r="S16" s="45">
        <v>8.1999999999999993</v>
      </c>
      <c r="T16" s="45">
        <v>8.1999999999999993</v>
      </c>
      <c r="U16" s="45">
        <v>8.1999999999999993</v>
      </c>
      <c r="V16" s="45">
        <v>8.1999999999999993</v>
      </c>
      <c r="W16" s="45">
        <v>8.1999999999999993</v>
      </c>
      <c r="X16" s="45">
        <v>8.1999999999999993</v>
      </c>
      <c r="Y16" s="45">
        <v>8.1999999999999993</v>
      </c>
      <c r="Z16" s="45">
        <v>8.1999999999999993</v>
      </c>
      <c r="AA16" s="45">
        <v>8.1999999999999993</v>
      </c>
      <c r="AB16" s="45">
        <v>8.1999999999999993</v>
      </c>
      <c r="AC16" s="45">
        <v>8.1999999999999993</v>
      </c>
      <c r="AD16" s="45">
        <v>8.1999999999999993</v>
      </c>
      <c r="AE16" s="45">
        <v>8.1999999999999993</v>
      </c>
      <c r="AF16" s="45">
        <v>8.1999999999999993</v>
      </c>
      <c r="AG16" s="51">
        <v>30</v>
      </c>
      <c r="AH16" s="47">
        <f t="shared" si="2"/>
        <v>8.6</v>
      </c>
      <c r="AI16" s="48">
        <f t="shared" si="3"/>
        <v>8.1999999999999993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8.3000000000000007</v>
      </c>
      <c r="C17" s="45">
        <v>8.1</v>
      </c>
      <c r="D17" s="45">
        <v>8.1</v>
      </c>
      <c r="E17" s="45">
        <v>8.1</v>
      </c>
      <c r="F17" s="45">
        <v>8.1</v>
      </c>
      <c r="G17" s="45">
        <v>8.1</v>
      </c>
      <c r="H17" s="45">
        <v>8.1</v>
      </c>
      <c r="I17" s="45">
        <v>8.1</v>
      </c>
      <c r="J17" s="45">
        <v>8.1</v>
      </c>
      <c r="K17" s="45">
        <v>8.1</v>
      </c>
      <c r="L17" s="45">
        <v>8.1</v>
      </c>
      <c r="M17" s="45">
        <v>8.1</v>
      </c>
      <c r="N17" s="45">
        <v>8.1</v>
      </c>
      <c r="O17" s="45">
        <v>8.1</v>
      </c>
      <c r="P17" s="45">
        <v>8.1</v>
      </c>
      <c r="Q17" s="45">
        <v>8.1</v>
      </c>
      <c r="R17" s="45">
        <v>8.1</v>
      </c>
      <c r="S17" s="45">
        <v>8.1</v>
      </c>
      <c r="T17" s="45">
        <v>8.1</v>
      </c>
      <c r="U17" s="45">
        <v>8.1</v>
      </c>
      <c r="V17" s="45">
        <v>8.1</v>
      </c>
      <c r="W17" s="45">
        <v>8.1</v>
      </c>
      <c r="X17" s="45">
        <v>8.1</v>
      </c>
      <c r="Y17" s="45">
        <v>8.1</v>
      </c>
      <c r="Z17" s="45">
        <v>8.1</v>
      </c>
      <c r="AA17" s="45">
        <v>8.1</v>
      </c>
      <c r="AB17" s="45">
        <v>8.1</v>
      </c>
      <c r="AC17" s="45">
        <v>8.1</v>
      </c>
      <c r="AD17" s="45">
        <v>8.1</v>
      </c>
      <c r="AE17" s="45">
        <v>8.1</v>
      </c>
      <c r="AF17" s="45">
        <v>8.1</v>
      </c>
      <c r="AG17" s="50">
        <v>24.2</v>
      </c>
      <c r="AH17" s="47">
        <f t="shared" si="2"/>
        <v>8.3000000000000007</v>
      </c>
      <c r="AI17" s="48">
        <f t="shared" si="3"/>
        <v>8.1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0">
        <v>28</v>
      </c>
      <c r="AH18" s="47">
        <f t="shared" si="2"/>
        <v>13</v>
      </c>
      <c r="AI18" s="48">
        <f t="shared" si="3"/>
        <v>13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9.3000000000000007</v>
      </c>
      <c r="C20" s="45">
        <v>9.3000000000000007</v>
      </c>
      <c r="D20" s="45">
        <v>9.3000000000000007</v>
      </c>
      <c r="E20" s="45">
        <v>9.3000000000000007</v>
      </c>
      <c r="F20" s="45">
        <v>9.3000000000000007</v>
      </c>
      <c r="G20" s="45">
        <v>9.3000000000000007</v>
      </c>
      <c r="H20" s="45">
        <v>9.3000000000000007</v>
      </c>
      <c r="I20" s="45">
        <v>9.3000000000000007</v>
      </c>
      <c r="J20" s="45">
        <v>9.3000000000000007</v>
      </c>
      <c r="K20" s="45">
        <v>9.3000000000000007</v>
      </c>
      <c r="L20" s="45">
        <v>9.3000000000000007</v>
      </c>
      <c r="M20" s="45">
        <v>9.3000000000000007</v>
      </c>
      <c r="N20" s="45">
        <v>9.3000000000000007</v>
      </c>
      <c r="O20" s="45">
        <v>9.3000000000000007</v>
      </c>
      <c r="P20" s="45">
        <v>9.3000000000000007</v>
      </c>
      <c r="Q20" s="45">
        <v>9.3000000000000007</v>
      </c>
      <c r="R20" s="45">
        <v>9.3000000000000007</v>
      </c>
      <c r="S20" s="45">
        <v>9.3000000000000007</v>
      </c>
      <c r="T20" s="45">
        <v>9.3000000000000007</v>
      </c>
      <c r="U20" s="45">
        <v>9.3000000000000007</v>
      </c>
      <c r="V20" s="45">
        <v>9.3000000000000007</v>
      </c>
      <c r="W20" s="45">
        <v>9.3000000000000007</v>
      </c>
      <c r="X20" s="45">
        <v>9.3000000000000007</v>
      </c>
      <c r="Y20" s="45">
        <v>9.3000000000000007</v>
      </c>
      <c r="Z20" s="45">
        <v>9.3000000000000007</v>
      </c>
      <c r="AA20" s="45">
        <v>9.3000000000000007</v>
      </c>
      <c r="AB20" s="45">
        <v>9.3000000000000007</v>
      </c>
      <c r="AC20" s="45">
        <v>9.3000000000000007</v>
      </c>
      <c r="AD20" s="45">
        <v>9.3000000000000007</v>
      </c>
      <c r="AE20" s="45">
        <v>9.3000000000000007</v>
      </c>
      <c r="AF20" s="45">
        <v>9.3000000000000007</v>
      </c>
      <c r="AG20" s="50">
        <v>25</v>
      </c>
      <c r="AH20" s="47">
        <f t="shared" si="2"/>
        <v>9.3000000000000007</v>
      </c>
      <c r="AI20" s="48">
        <f t="shared" si="3"/>
        <v>9.3000000000000007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0">
        <v>25</v>
      </c>
      <c r="AH22" s="47">
        <f t="shared" si="2"/>
        <v>11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8.6</v>
      </c>
      <c r="C24" s="45">
        <v>8.6</v>
      </c>
      <c r="D24" s="45">
        <v>8.6</v>
      </c>
      <c r="E24" s="45">
        <v>8.6</v>
      </c>
      <c r="F24" s="45">
        <v>8.6</v>
      </c>
      <c r="G24" s="45">
        <v>8.6</v>
      </c>
      <c r="H24" s="45">
        <v>8.6</v>
      </c>
      <c r="I24" s="45">
        <v>8.6</v>
      </c>
      <c r="J24" s="45">
        <v>8.6</v>
      </c>
      <c r="K24" s="45">
        <v>8.6</v>
      </c>
      <c r="L24" s="45">
        <v>8.6</v>
      </c>
      <c r="M24" s="45">
        <v>8.6</v>
      </c>
      <c r="N24" s="45">
        <v>8.6</v>
      </c>
      <c r="O24" s="45">
        <v>8.6</v>
      </c>
      <c r="P24" s="45">
        <v>8.6</v>
      </c>
      <c r="Q24" s="45">
        <v>8.6</v>
      </c>
      <c r="R24" s="45">
        <v>8.6</v>
      </c>
      <c r="S24" s="45">
        <v>8.6</v>
      </c>
      <c r="T24" s="45">
        <v>8.6</v>
      </c>
      <c r="U24" s="45">
        <v>8.6</v>
      </c>
      <c r="V24" s="45">
        <v>8.6</v>
      </c>
      <c r="W24" s="45">
        <v>8.6</v>
      </c>
      <c r="X24" s="45">
        <v>8.6</v>
      </c>
      <c r="Y24" s="45">
        <v>8.6</v>
      </c>
      <c r="Z24" s="45">
        <v>8.6</v>
      </c>
      <c r="AA24" s="45">
        <v>8.6</v>
      </c>
      <c r="AB24" s="45">
        <v>8.6</v>
      </c>
      <c r="AC24" s="45">
        <v>8.6</v>
      </c>
      <c r="AD24" s="45">
        <v>8.6</v>
      </c>
      <c r="AE24" s="45">
        <v>8.6</v>
      </c>
      <c r="AF24" s="45">
        <v>8.6</v>
      </c>
      <c r="AG24" s="50">
        <v>23.5</v>
      </c>
      <c r="AH24" s="47">
        <f t="shared" si="2"/>
        <v>8.6</v>
      </c>
      <c r="AI24" s="48">
        <f t="shared" si="3"/>
        <v>8.6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11</v>
      </c>
      <c r="C28" s="45">
        <v>11</v>
      </c>
      <c r="D28" s="45">
        <v>11</v>
      </c>
      <c r="E28" s="45">
        <v>11</v>
      </c>
      <c r="F28" s="45">
        <v>11</v>
      </c>
      <c r="G28" s="45">
        <v>11</v>
      </c>
      <c r="H28" s="45">
        <v>11</v>
      </c>
      <c r="I28" s="45">
        <v>11</v>
      </c>
      <c r="J28" s="45">
        <v>11</v>
      </c>
      <c r="K28" s="45">
        <v>11</v>
      </c>
      <c r="L28" s="45">
        <v>11</v>
      </c>
      <c r="M28" s="45">
        <v>11</v>
      </c>
      <c r="N28" s="45">
        <v>11</v>
      </c>
      <c r="O28" s="45">
        <v>11</v>
      </c>
      <c r="P28" s="45">
        <v>11</v>
      </c>
      <c r="Q28" s="45">
        <v>11</v>
      </c>
      <c r="R28" s="45">
        <v>11</v>
      </c>
      <c r="S28" s="45">
        <v>11</v>
      </c>
      <c r="T28" s="45">
        <v>11</v>
      </c>
      <c r="U28" s="45">
        <v>11</v>
      </c>
      <c r="V28" s="45">
        <v>11</v>
      </c>
      <c r="W28" s="45">
        <v>11</v>
      </c>
      <c r="X28" s="45">
        <v>11</v>
      </c>
      <c r="Y28" s="45">
        <v>11</v>
      </c>
      <c r="Z28" s="45">
        <v>11</v>
      </c>
      <c r="AA28" s="45">
        <v>11</v>
      </c>
      <c r="AB28" s="45">
        <v>11</v>
      </c>
      <c r="AC28" s="45">
        <v>11</v>
      </c>
      <c r="AD28" s="45">
        <v>11</v>
      </c>
      <c r="AE28" s="45">
        <v>11</v>
      </c>
      <c r="AF28" s="45">
        <v>11</v>
      </c>
      <c r="AG28" s="50">
        <v>22</v>
      </c>
      <c r="AH28" s="47">
        <f t="shared" si="2"/>
        <v>11</v>
      </c>
      <c r="AI28" s="48">
        <f t="shared" si="3"/>
        <v>11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>
        <v>10</v>
      </c>
      <c r="L35" s="45">
        <v>10</v>
      </c>
      <c r="M35" s="45">
        <v>10</v>
      </c>
      <c r="N35" s="45">
        <v>10</v>
      </c>
      <c r="O35" s="45">
        <v>10</v>
      </c>
      <c r="P35" s="45">
        <v>10</v>
      </c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45">
        <v>10</v>
      </c>
      <c r="Z35" s="45">
        <v>10</v>
      </c>
      <c r="AA35" s="45">
        <v>10</v>
      </c>
      <c r="AB35" s="45">
        <v>10</v>
      </c>
      <c r="AC35" s="45">
        <v>10</v>
      </c>
      <c r="AD35" s="45">
        <v>10</v>
      </c>
      <c r="AE35" s="45">
        <v>10</v>
      </c>
      <c r="AF35" s="45">
        <v>10</v>
      </c>
      <c r="AG35" s="50">
        <v>12</v>
      </c>
      <c r="AH35" s="47">
        <f t="shared" si="2"/>
        <v>10</v>
      </c>
      <c r="AI35" s="48">
        <f t="shared" si="3"/>
        <v>10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  <c r="AB40" s="45">
        <v>0</v>
      </c>
      <c r="AC40" s="45">
        <v>0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0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120</v>
      </c>
      <c r="C42" s="56">
        <v>120</v>
      </c>
      <c r="D42" s="56">
        <v>120</v>
      </c>
      <c r="E42" s="56">
        <v>120</v>
      </c>
      <c r="F42" s="56">
        <v>120</v>
      </c>
      <c r="G42" s="56">
        <v>120</v>
      </c>
      <c r="H42" s="56">
        <v>120</v>
      </c>
      <c r="I42" s="56">
        <v>120</v>
      </c>
      <c r="J42" s="56">
        <v>120</v>
      </c>
      <c r="K42" s="56">
        <v>120</v>
      </c>
      <c r="L42" s="56">
        <v>120</v>
      </c>
      <c r="M42" s="56">
        <v>120</v>
      </c>
      <c r="N42" s="56">
        <v>120</v>
      </c>
      <c r="O42" s="56">
        <v>120</v>
      </c>
      <c r="P42" s="56">
        <v>120</v>
      </c>
      <c r="Q42" s="56">
        <v>120</v>
      </c>
      <c r="R42" s="56">
        <v>120</v>
      </c>
      <c r="S42" s="56">
        <v>120</v>
      </c>
      <c r="T42" s="56">
        <v>120</v>
      </c>
      <c r="U42" s="56">
        <v>120</v>
      </c>
      <c r="V42" s="56">
        <v>120</v>
      </c>
      <c r="W42" s="56">
        <v>120</v>
      </c>
      <c r="X42" s="56">
        <v>120</v>
      </c>
      <c r="Y42" s="56">
        <v>120</v>
      </c>
      <c r="Z42" s="56">
        <v>120</v>
      </c>
      <c r="AA42" s="56">
        <v>120</v>
      </c>
      <c r="AB42" s="56">
        <v>120</v>
      </c>
      <c r="AC42" s="56">
        <v>120</v>
      </c>
      <c r="AD42" s="56">
        <v>120</v>
      </c>
      <c r="AE42" s="56">
        <v>120</v>
      </c>
      <c r="AF42" s="56">
        <v>120</v>
      </c>
      <c r="AG42" s="54">
        <v>85</v>
      </c>
      <c r="AH42" s="47">
        <f t="shared" si="2"/>
        <v>120</v>
      </c>
      <c r="AI42" s="48">
        <f t="shared" si="3"/>
        <v>120</v>
      </c>
      <c r="AK42" s="49"/>
    </row>
    <row r="43" spans="1:88" ht="15.75" thickBot="1" x14ac:dyDescent="0.3">
      <c r="A43" s="57" t="s">
        <v>51</v>
      </c>
      <c r="B43" s="56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>SUM(B11:B42)</f>
        <v>412.3</v>
      </c>
      <c r="C44" s="60">
        <f t="shared" ref="C44:AG44" si="4">SUM(C11:C42)</f>
        <v>411.40000000000003</v>
      </c>
      <c r="D44" s="60">
        <f t="shared" si="4"/>
        <v>410.59999999999997</v>
      </c>
      <c r="E44" s="60">
        <f t="shared" si="4"/>
        <v>410.49999999999994</v>
      </c>
      <c r="F44" s="60">
        <f t="shared" si="4"/>
        <v>407.09999999999997</v>
      </c>
      <c r="G44" s="60">
        <f t="shared" si="4"/>
        <v>413.8</v>
      </c>
      <c r="H44" s="60">
        <f t="shared" si="4"/>
        <v>410.4</v>
      </c>
      <c r="I44" s="60">
        <f t="shared" si="4"/>
        <v>410.09999999999997</v>
      </c>
      <c r="J44" s="60">
        <f t="shared" si="4"/>
        <v>414.99999999999994</v>
      </c>
      <c r="K44" s="60">
        <f t="shared" si="4"/>
        <v>411.59999999999997</v>
      </c>
      <c r="L44" s="60">
        <f t="shared" si="4"/>
        <v>408.9</v>
      </c>
      <c r="M44" s="60">
        <f t="shared" si="4"/>
        <v>406.8</v>
      </c>
      <c r="N44" s="60">
        <f t="shared" si="4"/>
        <v>406.8</v>
      </c>
      <c r="O44" s="60">
        <f>SUM(O11:O42)</f>
        <v>406.8</v>
      </c>
      <c r="P44" s="60">
        <f t="shared" si="4"/>
        <v>406.8</v>
      </c>
      <c r="Q44" s="60">
        <f t="shared" si="4"/>
        <v>406.8</v>
      </c>
      <c r="R44" s="60">
        <f t="shared" si="4"/>
        <v>406.8</v>
      </c>
      <c r="S44" s="60">
        <f t="shared" si="4"/>
        <v>406.8</v>
      </c>
      <c r="T44" s="60">
        <f t="shared" si="4"/>
        <v>406.8</v>
      </c>
      <c r="U44" s="60">
        <f t="shared" si="4"/>
        <v>406.8</v>
      </c>
      <c r="V44" s="60">
        <f t="shared" si="4"/>
        <v>406.8</v>
      </c>
      <c r="W44" s="60">
        <f t="shared" si="4"/>
        <v>406.8</v>
      </c>
      <c r="X44" s="60">
        <f t="shared" si="4"/>
        <v>406.8</v>
      </c>
      <c r="Y44" s="60">
        <f t="shared" si="4"/>
        <v>406.8</v>
      </c>
      <c r="Z44" s="60">
        <f t="shared" si="4"/>
        <v>406.8</v>
      </c>
      <c r="AA44" s="60">
        <f t="shared" si="4"/>
        <v>406.8</v>
      </c>
      <c r="AB44" s="60">
        <f t="shared" si="4"/>
        <v>406.8</v>
      </c>
      <c r="AC44" s="60">
        <f t="shared" si="4"/>
        <v>404.99999999999994</v>
      </c>
      <c r="AD44" s="60">
        <f t="shared" si="4"/>
        <v>409.2</v>
      </c>
      <c r="AE44" s="60">
        <f t="shared" si="4"/>
        <v>408.09999999999997</v>
      </c>
      <c r="AF44" s="60">
        <f t="shared" si="4"/>
        <v>411.40000000000003</v>
      </c>
      <c r="AG44" s="61">
        <f t="shared" si="4"/>
        <v>814.78000000000009</v>
      </c>
      <c r="AH44" s="47">
        <f t="shared" si="2"/>
        <v>414.99999999999994</v>
      </c>
      <c r="AI44" s="48">
        <f t="shared" si="3"/>
        <v>404.99999999999994</v>
      </c>
      <c r="AK44" s="49"/>
    </row>
    <row r="45" spans="1:88" x14ac:dyDescent="0.25">
      <c r="A45" s="62" t="s">
        <v>53</v>
      </c>
      <c r="B45" s="45">
        <v>55</v>
      </c>
      <c r="C45" s="45">
        <v>15</v>
      </c>
      <c r="D45" s="45">
        <v>30</v>
      </c>
      <c r="E45" s="45">
        <v>30</v>
      </c>
      <c r="F45" s="45">
        <v>15</v>
      </c>
      <c r="G45" s="45">
        <v>70</v>
      </c>
      <c r="H45" s="45">
        <v>50</v>
      </c>
      <c r="I45" s="45">
        <v>105</v>
      </c>
      <c r="J45" s="45">
        <v>110</v>
      </c>
      <c r="K45" s="45">
        <v>110</v>
      </c>
      <c r="L45" s="45">
        <v>145</v>
      </c>
      <c r="M45" s="63">
        <v>200</v>
      </c>
      <c r="N45" s="63">
        <v>175</v>
      </c>
      <c r="O45" s="63">
        <v>165</v>
      </c>
      <c r="P45" s="45">
        <v>110</v>
      </c>
      <c r="Q45" s="45">
        <v>40</v>
      </c>
      <c r="R45" s="45">
        <v>60</v>
      </c>
      <c r="S45" s="45">
        <v>60</v>
      </c>
      <c r="T45" s="45">
        <v>70</v>
      </c>
      <c r="U45" s="45">
        <v>70</v>
      </c>
      <c r="V45" s="45">
        <v>90</v>
      </c>
      <c r="W45" s="45">
        <v>75</v>
      </c>
      <c r="X45" s="45">
        <v>60</v>
      </c>
      <c r="Y45" s="45">
        <v>140</v>
      </c>
      <c r="Z45" s="45">
        <v>150</v>
      </c>
      <c r="AA45" s="45">
        <v>150</v>
      </c>
      <c r="AB45" s="45">
        <v>180</v>
      </c>
      <c r="AC45" s="45">
        <v>190</v>
      </c>
      <c r="AD45" s="45">
        <v>185</v>
      </c>
      <c r="AE45" s="45">
        <v>105</v>
      </c>
      <c r="AF45" s="45">
        <v>70</v>
      </c>
      <c r="AG45" s="51">
        <v>456</v>
      </c>
      <c r="AH45" s="47">
        <f t="shared" si="2"/>
        <v>200</v>
      </c>
      <c r="AI45" s="48">
        <f t="shared" si="3"/>
        <v>15</v>
      </c>
      <c r="AK45" s="49"/>
    </row>
    <row r="46" spans="1:88" x14ac:dyDescent="0.25">
      <c r="A46" s="64" t="s">
        <v>54</v>
      </c>
      <c r="B46" s="65">
        <v>35</v>
      </c>
      <c r="C46" s="65">
        <v>35</v>
      </c>
      <c r="D46" s="65">
        <v>35</v>
      </c>
      <c r="E46" s="65">
        <v>35</v>
      </c>
      <c r="F46" s="65">
        <v>35</v>
      </c>
      <c r="G46" s="65">
        <v>35</v>
      </c>
      <c r="H46" s="65">
        <v>35</v>
      </c>
      <c r="I46" s="65">
        <v>35</v>
      </c>
      <c r="J46" s="65">
        <v>35</v>
      </c>
      <c r="K46" s="65">
        <v>35</v>
      </c>
      <c r="L46" s="65">
        <v>35</v>
      </c>
      <c r="M46" s="65">
        <v>35</v>
      </c>
      <c r="N46" s="65">
        <v>35</v>
      </c>
      <c r="O46" s="65">
        <v>35</v>
      </c>
      <c r="P46" s="65">
        <v>35</v>
      </c>
      <c r="Q46" s="65">
        <v>35</v>
      </c>
      <c r="R46" s="65">
        <v>35</v>
      </c>
      <c r="S46" s="65">
        <v>35</v>
      </c>
      <c r="T46" s="65">
        <v>35</v>
      </c>
      <c r="U46" s="65">
        <v>35</v>
      </c>
      <c r="V46" s="65">
        <v>35</v>
      </c>
      <c r="W46" s="65">
        <v>35</v>
      </c>
      <c r="X46" s="65">
        <v>35</v>
      </c>
      <c r="Y46" s="65">
        <v>35</v>
      </c>
      <c r="Z46" s="65">
        <v>35</v>
      </c>
      <c r="AA46" s="65">
        <v>35</v>
      </c>
      <c r="AB46" s="65">
        <v>35</v>
      </c>
      <c r="AC46" s="65">
        <v>35</v>
      </c>
      <c r="AD46" s="65">
        <v>35</v>
      </c>
      <c r="AE46" s="65">
        <v>35</v>
      </c>
      <c r="AF46" s="65">
        <v>35</v>
      </c>
      <c r="AG46" s="54">
        <v>60</v>
      </c>
      <c r="AH46" s="47">
        <f t="shared" si="2"/>
        <v>35</v>
      </c>
      <c r="AI46" s="48">
        <f t="shared" si="3"/>
        <v>35</v>
      </c>
      <c r="AK46" s="49"/>
    </row>
    <row r="47" spans="1:88" ht="15.75" thickBot="1" x14ac:dyDescent="0.3">
      <c r="A47" s="66" t="s">
        <v>55</v>
      </c>
      <c r="B47" s="67">
        <v>11.1</v>
      </c>
      <c r="C47" s="67">
        <v>11.1</v>
      </c>
      <c r="D47" s="67">
        <v>11.2</v>
      </c>
      <c r="E47" s="67">
        <v>11.2</v>
      </c>
      <c r="F47" s="67">
        <v>11.2</v>
      </c>
      <c r="G47" s="67">
        <v>11.2</v>
      </c>
      <c r="H47" s="67">
        <v>11.2</v>
      </c>
      <c r="I47" s="67">
        <v>11.2</v>
      </c>
      <c r="J47" s="67">
        <v>11.2</v>
      </c>
      <c r="K47" s="67">
        <v>11.2</v>
      </c>
      <c r="L47" s="67">
        <v>11.2</v>
      </c>
      <c r="M47" s="67">
        <v>11.2</v>
      </c>
      <c r="N47" s="67">
        <v>11.2</v>
      </c>
      <c r="O47" s="67">
        <v>11.2</v>
      </c>
      <c r="P47" s="67">
        <v>11.2</v>
      </c>
      <c r="Q47" s="67">
        <v>11.2</v>
      </c>
      <c r="R47" s="67">
        <v>11.3</v>
      </c>
      <c r="S47" s="67">
        <v>11.2</v>
      </c>
      <c r="T47" s="67">
        <v>11.2</v>
      </c>
      <c r="U47" s="67">
        <v>11.2</v>
      </c>
      <c r="V47" s="67">
        <v>11.2</v>
      </c>
      <c r="W47" s="67">
        <v>11.2</v>
      </c>
      <c r="X47" s="67">
        <v>11.2</v>
      </c>
      <c r="Y47" s="67">
        <v>18.100000000000001</v>
      </c>
      <c r="Z47" s="67">
        <v>18.100000000000001</v>
      </c>
      <c r="AA47" s="67">
        <v>9</v>
      </c>
      <c r="AB47" s="67">
        <v>17.100000000000001</v>
      </c>
      <c r="AC47" s="67">
        <v>17.100000000000001</v>
      </c>
      <c r="AD47" s="67">
        <v>9</v>
      </c>
      <c r="AE47" s="67">
        <v>11.2</v>
      </c>
      <c r="AF47" s="67">
        <v>11.2</v>
      </c>
      <c r="AG47" s="68">
        <v>22.1</v>
      </c>
      <c r="AH47" s="47">
        <f t="shared" si="2"/>
        <v>18.100000000000001</v>
      </c>
      <c r="AI47" s="48">
        <f t="shared" si="3"/>
        <v>9</v>
      </c>
      <c r="AK47" s="49"/>
    </row>
    <row r="48" spans="1:88" ht="15.75" thickBot="1" x14ac:dyDescent="0.3">
      <c r="A48" s="69" t="s">
        <v>56</v>
      </c>
      <c r="B48" s="60">
        <f>SUM(B45:B47)</f>
        <v>101.1</v>
      </c>
      <c r="C48" s="60">
        <f t="shared" ref="C48:AG48" si="5">SUM(C45:C47)</f>
        <v>61.1</v>
      </c>
      <c r="D48" s="60">
        <f t="shared" si="5"/>
        <v>76.2</v>
      </c>
      <c r="E48" s="60">
        <f t="shared" si="5"/>
        <v>76.2</v>
      </c>
      <c r="F48" s="60">
        <f t="shared" si="5"/>
        <v>61.2</v>
      </c>
      <c r="G48" s="60">
        <f t="shared" si="5"/>
        <v>116.2</v>
      </c>
      <c r="H48" s="60">
        <f t="shared" si="5"/>
        <v>96.2</v>
      </c>
      <c r="I48" s="60">
        <f t="shared" si="5"/>
        <v>151.19999999999999</v>
      </c>
      <c r="J48" s="60">
        <f t="shared" si="5"/>
        <v>156.19999999999999</v>
      </c>
      <c r="K48" s="60">
        <f t="shared" si="5"/>
        <v>156.19999999999999</v>
      </c>
      <c r="L48" s="60">
        <f t="shared" si="5"/>
        <v>191.2</v>
      </c>
      <c r="M48" s="60">
        <f t="shared" si="5"/>
        <v>246.2</v>
      </c>
      <c r="N48" s="60">
        <f t="shared" si="5"/>
        <v>221.2</v>
      </c>
      <c r="O48" s="60">
        <f>SUM(O45:O47)</f>
        <v>211.2</v>
      </c>
      <c r="P48" s="60">
        <f t="shared" si="5"/>
        <v>156.19999999999999</v>
      </c>
      <c r="Q48" s="60">
        <f t="shared" si="5"/>
        <v>86.2</v>
      </c>
      <c r="R48" s="60">
        <f t="shared" si="5"/>
        <v>106.3</v>
      </c>
      <c r="S48" s="60">
        <f t="shared" si="5"/>
        <v>106.2</v>
      </c>
      <c r="T48" s="60">
        <f t="shared" si="5"/>
        <v>116.2</v>
      </c>
      <c r="U48" s="60">
        <f t="shared" si="5"/>
        <v>116.2</v>
      </c>
      <c r="V48" s="60">
        <f t="shared" si="5"/>
        <v>136.19999999999999</v>
      </c>
      <c r="W48" s="60">
        <f t="shared" si="5"/>
        <v>121.2</v>
      </c>
      <c r="X48" s="60">
        <f t="shared" si="5"/>
        <v>106.2</v>
      </c>
      <c r="Y48" s="60">
        <f t="shared" si="5"/>
        <v>193.1</v>
      </c>
      <c r="Z48" s="60">
        <f t="shared" si="5"/>
        <v>203.1</v>
      </c>
      <c r="AA48" s="60">
        <f t="shared" si="5"/>
        <v>194</v>
      </c>
      <c r="AB48" s="60">
        <f t="shared" si="5"/>
        <v>232.1</v>
      </c>
      <c r="AC48" s="60">
        <f t="shared" si="5"/>
        <v>242.1</v>
      </c>
      <c r="AD48" s="60">
        <f t="shared" si="5"/>
        <v>229</v>
      </c>
      <c r="AE48" s="60">
        <f t="shared" si="5"/>
        <v>151.19999999999999</v>
      </c>
      <c r="AF48" s="60">
        <f t="shared" si="5"/>
        <v>116.2</v>
      </c>
      <c r="AG48" s="61">
        <f t="shared" si="5"/>
        <v>538.1</v>
      </c>
      <c r="AH48" s="47">
        <f t="shared" si="2"/>
        <v>246.2</v>
      </c>
      <c r="AI48" s="48">
        <f t="shared" si="3"/>
        <v>61.1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49.1</v>
      </c>
      <c r="I49" s="45">
        <v>80</v>
      </c>
      <c r="J49" s="45">
        <v>112</v>
      </c>
      <c r="K49" s="45">
        <v>116.6</v>
      </c>
      <c r="L49" s="45">
        <v>91.7</v>
      </c>
      <c r="M49" s="45">
        <v>61.8</v>
      </c>
      <c r="N49" s="45">
        <v>63.2</v>
      </c>
      <c r="O49" s="45">
        <v>63.2</v>
      </c>
      <c r="P49" s="45">
        <v>71</v>
      </c>
      <c r="Q49" s="45">
        <v>92</v>
      </c>
      <c r="R49" s="45">
        <v>71</v>
      </c>
      <c r="S49" s="45">
        <v>80</v>
      </c>
      <c r="T49" s="45">
        <v>86.5</v>
      </c>
      <c r="U49" s="45">
        <v>76.2</v>
      </c>
      <c r="V49" s="45">
        <v>66.3</v>
      </c>
      <c r="W49" s="45">
        <v>66.2</v>
      </c>
      <c r="X49" s="45">
        <v>126</v>
      </c>
      <c r="Y49" s="45">
        <v>140</v>
      </c>
      <c r="Z49" s="45">
        <v>112.3</v>
      </c>
      <c r="AA49" s="45">
        <v>112.2</v>
      </c>
      <c r="AB49" s="45">
        <v>113.1</v>
      </c>
      <c r="AC49" s="45">
        <v>116.8</v>
      </c>
      <c r="AD49" s="45">
        <v>91.6</v>
      </c>
      <c r="AE49" s="45">
        <v>61.5</v>
      </c>
      <c r="AF49" s="45">
        <v>37</v>
      </c>
      <c r="AG49" s="51">
        <v>144</v>
      </c>
      <c r="AH49" s="47">
        <f t="shared" si="2"/>
        <v>140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36.5</v>
      </c>
      <c r="I50" s="65">
        <v>43.9</v>
      </c>
      <c r="J50" s="65">
        <v>60</v>
      </c>
      <c r="K50" s="65">
        <v>70</v>
      </c>
      <c r="L50" s="65">
        <v>58.6</v>
      </c>
      <c r="M50" s="65">
        <v>50</v>
      </c>
      <c r="N50" s="65">
        <v>45.1</v>
      </c>
      <c r="O50" s="65">
        <v>45.1</v>
      </c>
      <c r="P50" s="65">
        <v>35.299999999999997</v>
      </c>
      <c r="Q50" s="65">
        <v>45</v>
      </c>
      <c r="R50" s="45">
        <v>46</v>
      </c>
      <c r="S50" s="45">
        <v>47.9</v>
      </c>
      <c r="T50" s="45">
        <v>26.8</v>
      </c>
      <c r="U50" s="45">
        <v>34.700000000000003</v>
      </c>
      <c r="V50" s="45">
        <v>26.9</v>
      </c>
      <c r="W50" s="45">
        <v>26.8</v>
      </c>
      <c r="X50" s="45">
        <v>53.2</v>
      </c>
      <c r="Y50" s="45">
        <v>59.1</v>
      </c>
      <c r="Z50" s="45">
        <v>61</v>
      </c>
      <c r="AA50" s="45">
        <v>59.3</v>
      </c>
      <c r="AB50" s="65">
        <v>59.5</v>
      </c>
      <c r="AC50" s="65">
        <v>60.8</v>
      </c>
      <c r="AD50" s="65">
        <v>66.900000000000006</v>
      </c>
      <c r="AE50" s="65">
        <v>24.8</v>
      </c>
      <c r="AF50" s="65">
        <v>0</v>
      </c>
      <c r="AG50" s="54">
        <v>70</v>
      </c>
      <c r="AH50" s="47">
        <f t="shared" si="2"/>
        <v>70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15.6</v>
      </c>
      <c r="C51" s="65">
        <v>22.5</v>
      </c>
      <c r="D51" s="65">
        <v>22.6</v>
      </c>
      <c r="E51" s="65">
        <v>16</v>
      </c>
      <c r="F51" s="65">
        <v>15.6</v>
      </c>
      <c r="G51" s="65">
        <v>23.6</v>
      </c>
      <c r="H51" s="65">
        <v>44.5</v>
      </c>
      <c r="I51" s="65">
        <v>32.6</v>
      </c>
      <c r="J51" s="65">
        <v>44.9</v>
      </c>
      <c r="K51" s="65">
        <v>61</v>
      </c>
      <c r="L51" s="65">
        <v>59.5</v>
      </c>
      <c r="M51" s="65">
        <v>62.1</v>
      </c>
      <c r="N51" s="65">
        <v>45.3</v>
      </c>
      <c r="O51" s="65">
        <v>45.3</v>
      </c>
      <c r="P51" s="65">
        <v>33.200000000000003</v>
      </c>
      <c r="Q51" s="65">
        <v>33.200000000000003</v>
      </c>
      <c r="R51" s="45">
        <v>16.100000000000001</v>
      </c>
      <c r="S51" s="45">
        <v>23.1</v>
      </c>
      <c r="T51" s="45">
        <v>23.3</v>
      </c>
      <c r="U51" s="45">
        <v>23</v>
      </c>
      <c r="V51" s="45">
        <v>16.899999999999999</v>
      </c>
      <c r="W51" s="45">
        <v>17</v>
      </c>
      <c r="X51" s="45">
        <v>60</v>
      </c>
      <c r="Y51" s="45">
        <v>60.2</v>
      </c>
      <c r="Z51" s="45">
        <v>52.2</v>
      </c>
      <c r="AA51" s="45">
        <v>66</v>
      </c>
      <c r="AB51" s="65">
        <v>68.8</v>
      </c>
      <c r="AC51" s="65">
        <v>61.9</v>
      </c>
      <c r="AD51" s="65">
        <v>50</v>
      </c>
      <c r="AE51" s="65">
        <v>33.799999999999997</v>
      </c>
      <c r="AF51" s="65">
        <v>16.2</v>
      </c>
      <c r="AG51" s="54">
        <v>69</v>
      </c>
      <c r="AH51" s="47">
        <f t="shared" si="2"/>
        <v>68.8</v>
      </c>
      <c r="AI51" s="48">
        <f t="shared" si="3"/>
        <v>15.6</v>
      </c>
      <c r="AK51" s="49"/>
    </row>
    <row r="52" spans="1:41" x14ac:dyDescent="0.25">
      <c r="A52" s="53" t="s">
        <v>60</v>
      </c>
      <c r="B52" s="65">
        <v>47.4</v>
      </c>
      <c r="C52" s="56">
        <v>47.4</v>
      </c>
      <c r="D52" s="56">
        <v>47.4</v>
      </c>
      <c r="E52" s="56">
        <v>47.4</v>
      </c>
      <c r="F52" s="56">
        <v>47.4</v>
      </c>
      <c r="G52" s="56">
        <v>48.1</v>
      </c>
      <c r="H52" s="56">
        <v>48.1</v>
      </c>
      <c r="I52" s="56">
        <v>48.1</v>
      </c>
      <c r="J52" s="56">
        <v>49.4</v>
      </c>
      <c r="K52" s="56">
        <v>49.1</v>
      </c>
      <c r="L52" s="56">
        <v>49.1</v>
      </c>
      <c r="M52" s="65">
        <v>49.4</v>
      </c>
      <c r="N52" s="65">
        <v>49.4</v>
      </c>
      <c r="O52" s="65">
        <v>49.4</v>
      </c>
      <c r="P52" s="65">
        <v>49.4</v>
      </c>
      <c r="Q52" s="65">
        <v>46.5</v>
      </c>
      <c r="R52" s="45">
        <v>47.1</v>
      </c>
      <c r="S52" s="45">
        <v>47.1</v>
      </c>
      <c r="T52" s="45">
        <v>47.1</v>
      </c>
      <c r="U52" s="45">
        <v>47.1</v>
      </c>
      <c r="V52" s="45">
        <v>48.9</v>
      </c>
      <c r="W52" s="65">
        <v>47</v>
      </c>
      <c r="X52" s="65">
        <v>47</v>
      </c>
      <c r="Y52" s="65">
        <v>47</v>
      </c>
      <c r="Z52" s="65">
        <v>48.1</v>
      </c>
      <c r="AA52" s="65">
        <v>48</v>
      </c>
      <c r="AB52" s="65">
        <v>48.1</v>
      </c>
      <c r="AC52" s="65">
        <v>48.1</v>
      </c>
      <c r="AD52" s="65">
        <v>48.1</v>
      </c>
      <c r="AE52" s="65">
        <v>49.1</v>
      </c>
      <c r="AF52" s="65">
        <v>50.2</v>
      </c>
      <c r="AG52" s="54">
        <v>60</v>
      </c>
      <c r="AH52" s="47">
        <f t="shared" si="2"/>
        <v>50.2</v>
      </c>
      <c r="AI52" s="48">
        <f t="shared" si="3"/>
        <v>46.5</v>
      </c>
      <c r="AK52" s="49"/>
    </row>
    <row r="53" spans="1:41" x14ac:dyDescent="0.25">
      <c r="A53" s="53" t="s">
        <v>61</v>
      </c>
      <c r="B53" s="65">
        <v>0</v>
      </c>
      <c r="C53" s="56">
        <v>0</v>
      </c>
      <c r="D53" s="56">
        <v>0</v>
      </c>
      <c r="E53" s="56">
        <v>0</v>
      </c>
      <c r="F53" s="56">
        <v>7.9</v>
      </c>
      <c r="G53" s="56">
        <v>9.1</v>
      </c>
      <c r="H53" s="56">
        <v>15</v>
      </c>
      <c r="I53" s="56">
        <v>26</v>
      </c>
      <c r="J53" s="56">
        <v>25</v>
      </c>
      <c r="K53" s="56">
        <v>25</v>
      </c>
      <c r="L53" s="56">
        <v>24.6</v>
      </c>
      <c r="M53" s="65">
        <v>22.2</v>
      </c>
      <c r="N53" s="65">
        <v>22.2</v>
      </c>
      <c r="O53" s="65">
        <v>22.2</v>
      </c>
      <c r="P53" s="65">
        <v>15</v>
      </c>
      <c r="Q53" s="65">
        <v>9.3000000000000007</v>
      </c>
      <c r="R53" s="45">
        <v>0</v>
      </c>
      <c r="S53" s="45">
        <v>9</v>
      </c>
      <c r="T53" s="45">
        <v>9</v>
      </c>
      <c r="U53" s="45">
        <v>0</v>
      </c>
      <c r="V53" s="45">
        <v>0</v>
      </c>
      <c r="W53" s="45">
        <v>0</v>
      </c>
      <c r="X53" s="45">
        <v>10</v>
      </c>
      <c r="Y53" s="45">
        <v>20</v>
      </c>
      <c r="Z53" s="45">
        <v>25.5</v>
      </c>
      <c r="AA53" s="45">
        <v>0</v>
      </c>
      <c r="AB53" s="65">
        <v>26.2</v>
      </c>
      <c r="AC53" s="65">
        <v>29</v>
      </c>
      <c r="AD53" s="65">
        <v>28.6</v>
      </c>
      <c r="AE53" s="65">
        <v>10</v>
      </c>
      <c r="AF53" s="65">
        <v>0</v>
      </c>
      <c r="AG53" s="54">
        <v>30</v>
      </c>
      <c r="AH53" s="47">
        <f t="shared" si="2"/>
        <v>29</v>
      </c>
      <c r="AI53" s="48">
        <f t="shared" si="3"/>
        <v>0</v>
      </c>
      <c r="AK53" s="49"/>
    </row>
    <row r="54" spans="1:41" x14ac:dyDescent="0.25">
      <c r="A54" s="53" t="s">
        <v>62</v>
      </c>
      <c r="B54" s="6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65">
        <v>2</v>
      </c>
      <c r="N54" s="65">
        <v>3</v>
      </c>
      <c r="O54" s="65">
        <v>4</v>
      </c>
      <c r="P54" s="65">
        <v>4</v>
      </c>
      <c r="Q54" s="65">
        <v>4</v>
      </c>
      <c r="R54" s="45">
        <v>4</v>
      </c>
      <c r="S54" s="45">
        <v>4</v>
      </c>
      <c r="T54" s="45">
        <v>4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54">
        <v>25</v>
      </c>
      <c r="AH54" s="47">
        <f t="shared" si="2"/>
        <v>4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16</v>
      </c>
      <c r="C55" s="65">
        <v>16</v>
      </c>
      <c r="D55" s="65">
        <v>16</v>
      </c>
      <c r="E55" s="65">
        <v>16</v>
      </c>
      <c r="F55" s="65">
        <v>16</v>
      </c>
      <c r="G55" s="65">
        <v>16</v>
      </c>
      <c r="H55" s="65">
        <v>16</v>
      </c>
      <c r="I55" s="65">
        <v>16</v>
      </c>
      <c r="J55" s="65">
        <v>16</v>
      </c>
      <c r="K55" s="65">
        <v>16</v>
      </c>
      <c r="L55" s="65">
        <v>16</v>
      </c>
      <c r="M55" s="65">
        <v>16</v>
      </c>
      <c r="N55" s="65">
        <v>16</v>
      </c>
      <c r="O55" s="65">
        <v>16</v>
      </c>
      <c r="P55" s="65">
        <v>16</v>
      </c>
      <c r="Q55" s="65">
        <v>16</v>
      </c>
      <c r="R55" s="65">
        <v>16</v>
      </c>
      <c r="S55" s="45">
        <v>16</v>
      </c>
      <c r="T55" s="45">
        <v>16</v>
      </c>
      <c r="U55" s="45">
        <v>16</v>
      </c>
      <c r="V55" s="45">
        <v>16</v>
      </c>
      <c r="W55" s="45">
        <v>16</v>
      </c>
      <c r="X55" s="45">
        <v>16</v>
      </c>
      <c r="Y55" s="45">
        <v>16</v>
      </c>
      <c r="Z55" s="45">
        <v>16</v>
      </c>
      <c r="AA55" s="45">
        <v>16</v>
      </c>
      <c r="AB55" s="45">
        <v>16</v>
      </c>
      <c r="AC55" s="45">
        <v>16</v>
      </c>
      <c r="AD55" s="45">
        <v>16</v>
      </c>
      <c r="AE55" s="45">
        <v>16</v>
      </c>
      <c r="AF55" s="45">
        <v>16</v>
      </c>
      <c r="AG55" s="54">
        <v>24</v>
      </c>
      <c r="AH55" s="47">
        <f t="shared" si="2"/>
        <v>16</v>
      </c>
      <c r="AI55" s="48">
        <f t="shared" si="3"/>
        <v>16</v>
      </c>
      <c r="AK55" s="49"/>
    </row>
    <row r="56" spans="1:41" x14ac:dyDescent="0.25">
      <c r="A56" s="53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45">
        <v>3.2</v>
      </c>
      <c r="T56" s="45">
        <v>3.2</v>
      </c>
      <c r="U56" s="45">
        <v>3.2</v>
      </c>
      <c r="V56" s="45">
        <v>3.2</v>
      </c>
      <c r="W56" s="45">
        <v>3.2</v>
      </c>
      <c r="X56" s="45">
        <v>3.2</v>
      </c>
      <c r="Y56" s="45">
        <v>3.2</v>
      </c>
      <c r="Z56" s="45">
        <v>3.2</v>
      </c>
      <c r="AA56" s="45">
        <v>3.2</v>
      </c>
      <c r="AB56" s="45">
        <v>3.2</v>
      </c>
      <c r="AC56" s="45">
        <v>3.2</v>
      </c>
      <c r="AD56" s="45">
        <v>3.2</v>
      </c>
      <c r="AE56" s="45">
        <v>3.2</v>
      </c>
      <c r="AF56" s="45">
        <v>3.2</v>
      </c>
      <c r="AG56" s="54">
        <v>15</v>
      </c>
      <c r="AH56" s="47">
        <f t="shared" si="2"/>
        <v>3.2</v>
      </c>
      <c r="AI56" s="48">
        <f t="shared" si="3"/>
        <v>3.2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12.3</v>
      </c>
      <c r="C57" s="65">
        <v>12.3</v>
      </c>
      <c r="D57" s="65">
        <v>12.6</v>
      </c>
      <c r="E57" s="65">
        <v>12.6</v>
      </c>
      <c r="F57" s="65">
        <v>12.6</v>
      </c>
      <c r="G57" s="65">
        <v>12.6</v>
      </c>
      <c r="H57" s="65">
        <v>12.6</v>
      </c>
      <c r="I57" s="65">
        <v>12.6</v>
      </c>
      <c r="J57" s="65">
        <v>12.6</v>
      </c>
      <c r="K57" s="65">
        <v>12.6</v>
      </c>
      <c r="L57" s="65">
        <v>12.6</v>
      </c>
      <c r="M57" s="65">
        <v>12.6</v>
      </c>
      <c r="N57" s="65">
        <v>12.6</v>
      </c>
      <c r="O57" s="65">
        <v>12.6</v>
      </c>
      <c r="P57" s="65">
        <v>12.6</v>
      </c>
      <c r="Q57" s="65">
        <v>12.6</v>
      </c>
      <c r="R57" s="65">
        <v>12.6</v>
      </c>
      <c r="S57" s="65">
        <v>12.6</v>
      </c>
      <c r="T57" s="65">
        <v>12.6</v>
      </c>
      <c r="U57" s="65">
        <v>12.6</v>
      </c>
      <c r="V57" s="65">
        <v>12.6</v>
      </c>
      <c r="W57" s="65">
        <v>12.6</v>
      </c>
      <c r="X57" s="65">
        <v>12.6</v>
      </c>
      <c r="Y57" s="65">
        <v>12.6</v>
      </c>
      <c r="Z57" s="65">
        <v>12.6</v>
      </c>
      <c r="AA57" s="65">
        <v>12.6</v>
      </c>
      <c r="AB57" s="65">
        <v>12.6</v>
      </c>
      <c r="AC57" s="65">
        <v>12.6</v>
      </c>
      <c r="AD57" s="65">
        <v>12.6</v>
      </c>
      <c r="AE57" s="65">
        <v>12.6</v>
      </c>
      <c r="AF57" s="65">
        <v>12.6</v>
      </c>
      <c r="AG57" s="54">
        <v>14.1</v>
      </c>
      <c r="AH57" s="47">
        <f t="shared" si="2"/>
        <v>12.6</v>
      </c>
      <c r="AI57" s="48">
        <f t="shared" si="3"/>
        <v>12.3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5</v>
      </c>
      <c r="C58" s="65">
        <v>3</v>
      </c>
      <c r="D58" s="65">
        <v>3</v>
      </c>
      <c r="E58" s="65">
        <v>3</v>
      </c>
      <c r="F58" s="65">
        <v>3</v>
      </c>
      <c r="G58" s="65">
        <v>3</v>
      </c>
      <c r="H58" s="65">
        <v>3</v>
      </c>
      <c r="I58" s="65">
        <v>3</v>
      </c>
      <c r="J58" s="65">
        <v>3</v>
      </c>
      <c r="K58" s="65">
        <v>3</v>
      </c>
      <c r="L58" s="65">
        <v>3</v>
      </c>
      <c r="M58" s="65">
        <v>3</v>
      </c>
      <c r="N58" s="65">
        <v>3</v>
      </c>
      <c r="O58" s="65">
        <v>3</v>
      </c>
      <c r="P58" s="65">
        <v>3</v>
      </c>
      <c r="Q58" s="65">
        <v>3</v>
      </c>
      <c r="R58" s="65">
        <v>3</v>
      </c>
      <c r="S58" s="65">
        <v>4.5</v>
      </c>
      <c r="T58" s="65">
        <v>4.5</v>
      </c>
      <c r="U58" s="65">
        <v>4.5</v>
      </c>
      <c r="V58" s="65">
        <v>4.5</v>
      </c>
      <c r="W58" s="65">
        <v>4.5</v>
      </c>
      <c r="X58" s="65">
        <v>4.5</v>
      </c>
      <c r="Y58" s="65">
        <v>4.5</v>
      </c>
      <c r="Z58" s="65">
        <v>4.5</v>
      </c>
      <c r="AA58" s="65">
        <v>4.5</v>
      </c>
      <c r="AB58" s="65">
        <v>4.5</v>
      </c>
      <c r="AC58" s="65">
        <v>4.5</v>
      </c>
      <c r="AD58" s="65">
        <v>4.5</v>
      </c>
      <c r="AE58" s="65">
        <v>4.5</v>
      </c>
      <c r="AF58" s="65">
        <v>4.5</v>
      </c>
      <c r="AG58" s="54">
        <v>14</v>
      </c>
      <c r="AH58" s="47">
        <f t="shared" si="2"/>
        <v>5</v>
      </c>
      <c r="AI58" s="48">
        <f t="shared" si="3"/>
        <v>3</v>
      </c>
      <c r="AK58" s="49"/>
    </row>
    <row r="59" spans="1:41" x14ac:dyDescent="0.25">
      <c r="A59" s="53" t="s">
        <v>67</v>
      </c>
      <c r="B59" s="65">
        <v>5.2</v>
      </c>
      <c r="C59" s="65">
        <v>5.2</v>
      </c>
      <c r="D59" s="65">
        <v>5.2</v>
      </c>
      <c r="E59" s="65">
        <v>5.2</v>
      </c>
      <c r="F59" s="65">
        <v>5.2</v>
      </c>
      <c r="G59" s="65">
        <v>5.2</v>
      </c>
      <c r="H59" s="65">
        <v>5.2</v>
      </c>
      <c r="I59" s="65">
        <v>5.2</v>
      </c>
      <c r="J59" s="65">
        <v>5.2</v>
      </c>
      <c r="K59" s="65">
        <v>5.2</v>
      </c>
      <c r="L59" s="65">
        <v>5.2</v>
      </c>
      <c r="M59" s="65">
        <v>5.2</v>
      </c>
      <c r="N59" s="65">
        <v>5.2</v>
      </c>
      <c r="O59" s="65">
        <v>5.2</v>
      </c>
      <c r="P59" s="65">
        <v>5.2</v>
      </c>
      <c r="Q59" s="65">
        <v>5.2</v>
      </c>
      <c r="R59" s="65">
        <v>5.2</v>
      </c>
      <c r="S59" s="65">
        <v>5.2</v>
      </c>
      <c r="T59" s="65">
        <v>5.2</v>
      </c>
      <c r="U59" s="65">
        <v>5.2</v>
      </c>
      <c r="V59" s="65">
        <v>5.2</v>
      </c>
      <c r="W59" s="65">
        <v>5.2</v>
      </c>
      <c r="X59" s="65">
        <v>5.2</v>
      </c>
      <c r="Y59" s="65">
        <v>5.2</v>
      </c>
      <c r="Z59" s="65">
        <v>5.2</v>
      </c>
      <c r="AA59" s="65">
        <v>5.2</v>
      </c>
      <c r="AB59" s="65">
        <v>5.2</v>
      </c>
      <c r="AC59" s="65">
        <v>5.2</v>
      </c>
      <c r="AD59" s="65">
        <v>5.2</v>
      </c>
      <c r="AE59" s="65">
        <v>5.2</v>
      </c>
      <c r="AF59" s="65">
        <v>5.2</v>
      </c>
      <c r="AG59" s="54">
        <v>10.050000000000001</v>
      </c>
      <c r="AH59" s="47">
        <f t="shared" si="2"/>
        <v>5.2</v>
      </c>
      <c r="AI59" s="48">
        <f t="shared" si="3"/>
        <v>5.2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>SUM(B49:B61)</f>
        <v>111.44000000000001</v>
      </c>
      <c r="C62" s="60">
        <f t="shared" ref="C62:AG62" si="6">SUM(C49:C61)</f>
        <v>116.34000000000002</v>
      </c>
      <c r="D62" s="60">
        <f t="shared" si="6"/>
        <v>116.74000000000001</v>
      </c>
      <c r="E62" s="60">
        <f t="shared" si="6"/>
        <v>110.14000000000001</v>
      </c>
      <c r="F62" s="60">
        <f t="shared" si="6"/>
        <v>117.64000000000001</v>
      </c>
      <c r="G62" s="60">
        <f t="shared" si="6"/>
        <v>127.54</v>
      </c>
      <c r="H62" s="60">
        <f t="shared" si="6"/>
        <v>239.93999999999994</v>
      </c>
      <c r="I62" s="60">
        <f t="shared" si="6"/>
        <v>277.33999999999997</v>
      </c>
      <c r="J62" s="60">
        <f t="shared" si="6"/>
        <v>338.04</v>
      </c>
      <c r="K62" s="60">
        <f t="shared" si="6"/>
        <v>368.44</v>
      </c>
      <c r="L62" s="60">
        <f t="shared" si="6"/>
        <v>330.24000000000007</v>
      </c>
      <c r="M62" s="60">
        <f t="shared" si="6"/>
        <v>294.24</v>
      </c>
      <c r="N62" s="60">
        <f t="shared" si="6"/>
        <v>274.94</v>
      </c>
      <c r="O62" s="60">
        <f t="shared" si="6"/>
        <v>275.94</v>
      </c>
      <c r="P62" s="60">
        <f t="shared" si="6"/>
        <v>254.63999999999996</v>
      </c>
      <c r="Q62" s="60">
        <f t="shared" si="6"/>
        <v>276.74</v>
      </c>
      <c r="R62" s="60">
        <f t="shared" si="6"/>
        <v>230.93999999999994</v>
      </c>
      <c r="S62" s="60">
        <f t="shared" si="6"/>
        <v>259.33999999999997</v>
      </c>
      <c r="T62" s="60">
        <f t="shared" si="6"/>
        <v>244.93999999999994</v>
      </c>
      <c r="U62" s="60">
        <f t="shared" si="6"/>
        <v>229.23999999999995</v>
      </c>
      <c r="V62" s="60">
        <f t="shared" si="6"/>
        <v>207.23999999999995</v>
      </c>
      <c r="W62" s="60">
        <f t="shared" si="6"/>
        <v>205.23999999999995</v>
      </c>
      <c r="X62" s="60">
        <f t="shared" si="6"/>
        <v>344.44</v>
      </c>
      <c r="Y62" s="60">
        <f t="shared" si="6"/>
        <v>374.54</v>
      </c>
      <c r="Z62" s="60">
        <f t="shared" si="6"/>
        <v>347.34000000000003</v>
      </c>
      <c r="AA62" s="60">
        <f t="shared" si="6"/>
        <v>333.74</v>
      </c>
      <c r="AB62" s="60">
        <f t="shared" si="6"/>
        <v>363.94</v>
      </c>
      <c r="AC62" s="60">
        <f t="shared" si="6"/>
        <v>364.84000000000003</v>
      </c>
      <c r="AD62" s="60">
        <f t="shared" si="6"/>
        <v>333.44000000000005</v>
      </c>
      <c r="AE62" s="60">
        <f t="shared" si="6"/>
        <v>227.43999999999994</v>
      </c>
      <c r="AF62" s="60">
        <f t="shared" si="6"/>
        <v>151.63999999999999</v>
      </c>
      <c r="AG62" s="61">
        <f t="shared" si="6"/>
        <v>489.91</v>
      </c>
      <c r="AH62" s="47">
        <f t="shared" si="2"/>
        <v>374.54</v>
      </c>
      <c r="AI62" s="48">
        <f t="shared" si="3"/>
        <v>110.14000000000001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14</v>
      </c>
      <c r="M63" s="45">
        <v>10</v>
      </c>
      <c r="N63" s="45">
        <v>0</v>
      </c>
      <c r="O63" s="45">
        <v>0</v>
      </c>
      <c r="P63" s="45">
        <v>20</v>
      </c>
      <c r="Q63" s="45">
        <v>20</v>
      </c>
      <c r="R63" s="45">
        <v>20</v>
      </c>
      <c r="S63" s="45">
        <v>14</v>
      </c>
      <c r="T63" s="45">
        <v>30</v>
      </c>
      <c r="U63" s="45">
        <v>20</v>
      </c>
      <c r="V63" s="45">
        <v>14</v>
      </c>
      <c r="W63" s="45">
        <v>10</v>
      </c>
      <c r="X63" s="45">
        <v>30</v>
      </c>
      <c r="Y63" s="45">
        <v>40</v>
      </c>
      <c r="Z63" s="45">
        <v>14</v>
      </c>
      <c r="AA63" s="45">
        <v>14</v>
      </c>
      <c r="AB63" s="45">
        <v>14</v>
      </c>
      <c r="AC63" s="45">
        <v>0</v>
      </c>
      <c r="AD63" s="45">
        <v>0</v>
      </c>
      <c r="AE63" s="45">
        <v>0</v>
      </c>
      <c r="AF63" s="45">
        <v>0</v>
      </c>
      <c r="AG63" s="51">
        <v>60</v>
      </c>
      <c r="AH63" s="47">
        <f t="shared" si="2"/>
        <v>40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3.3</v>
      </c>
      <c r="M64" s="65">
        <v>4.5999999999999996</v>
      </c>
      <c r="N64" s="65">
        <v>0</v>
      </c>
      <c r="O64" s="65">
        <v>0</v>
      </c>
      <c r="P64" s="65">
        <v>7.7</v>
      </c>
      <c r="Q64" s="45">
        <v>14.1</v>
      </c>
      <c r="R64" s="45">
        <v>14.1</v>
      </c>
      <c r="S64" s="65">
        <v>13.9</v>
      </c>
      <c r="T64" s="65">
        <v>13.9</v>
      </c>
      <c r="U64" s="65">
        <v>8.3000000000000007</v>
      </c>
      <c r="V64" s="65">
        <v>12</v>
      </c>
      <c r="W64" s="65">
        <v>8</v>
      </c>
      <c r="X64" s="65">
        <v>12.3</v>
      </c>
      <c r="Y64" s="65">
        <v>15.4</v>
      </c>
      <c r="Z64" s="65">
        <v>8.1</v>
      </c>
      <c r="AA64" s="65">
        <v>11</v>
      </c>
      <c r="AB64" s="65">
        <v>8</v>
      </c>
      <c r="AC64" s="65">
        <v>0</v>
      </c>
      <c r="AD64" s="65">
        <v>0</v>
      </c>
      <c r="AE64" s="65">
        <v>0</v>
      </c>
      <c r="AF64" s="65">
        <v>0</v>
      </c>
      <c r="AG64" s="54">
        <v>32</v>
      </c>
      <c r="AH64" s="47">
        <f t="shared" si="2"/>
        <v>15.4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1.5</v>
      </c>
      <c r="M65" s="67">
        <v>1.7</v>
      </c>
      <c r="N65" s="67">
        <v>0</v>
      </c>
      <c r="O65" s="67">
        <v>0</v>
      </c>
      <c r="P65" s="67">
        <v>2.8</v>
      </c>
      <c r="Q65" s="45">
        <v>5.0999999999999996</v>
      </c>
      <c r="R65" s="45">
        <v>5.2</v>
      </c>
      <c r="S65" s="67">
        <v>5.0999999999999996</v>
      </c>
      <c r="T65" s="67">
        <v>5.0999999999999996</v>
      </c>
      <c r="U65" s="67">
        <v>3</v>
      </c>
      <c r="V65" s="67">
        <v>4</v>
      </c>
      <c r="W65" s="67">
        <v>3</v>
      </c>
      <c r="X65" s="67">
        <v>4.5</v>
      </c>
      <c r="Y65" s="67">
        <v>5.6</v>
      </c>
      <c r="Z65" s="67">
        <v>3</v>
      </c>
      <c r="AA65" s="67">
        <v>4</v>
      </c>
      <c r="AB65" s="67">
        <v>2.9</v>
      </c>
      <c r="AC65" s="67">
        <v>0</v>
      </c>
      <c r="AD65" s="67">
        <v>0</v>
      </c>
      <c r="AE65" s="67">
        <v>0</v>
      </c>
      <c r="AF65" s="67">
        <v>0</v>
      </c>
      <c r="AG65" s="68">
        <v>14</v>
      </c>
      <c r="AH65" s="47">
        <f t="shared" si="2"/>
        <v>5.6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f>B63+B64+B65</f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18.8</v>
      </c>
      <c r="M66" s="60">
        <f t="shared" ref="M66:AF66" si="7">M63+M64+M65</f>
        <v>16.3</v>
      </c>
      <c r="N66" s="60">
        <f t="shared" si="7"/>
        <v>0</v>
      </c>
      <c r="O66" s="60">
        <f t="shared" si="7"/>
        <v>0</v>
      </c>
      <c r="P66" s="60">
        <f t="shared" si="7"/>
        <v>30.5</v>
      </c>
      <c r="Q66" s="60">
        <f t="shared" si="7"/>
        <v>39.200000000000003</v>
      </c>
      <c r="R66" s="60">
        <f t="shared" si="7"/>
        <v>39.300000000000004</v>
      </c>
      <c r="S66" s="60">
        <f t="shared" si="7"/>
        <v>33</v>
      </c>
      <c r="T66" s="60">
        <f t="shared" si="7"/>
        <v>49</v>
      </c>
      <c r="U66" s="60">
        <f t="shared" si="7"/>
        <v>31.3</v>
      </c>
      <c r="V66" s="60">
        <f t="shared" si="7"/>
        <v>30</v>
      </c>
      <c r="W66" s="60">
        <f t="shared" si="7"/>
        <v>21</v>
      </c>
      <c r="X66" s="60">
        <f t="shared" si="7"/>
        <v>46.8</v>
      </c>
      <c r="Y66" s="60">
        <f t="shared" si="7"/>
        <v>61</v>
      </c>
      <c r="Z66" s="60">
        <f t="shared" si="7"/>
        <v>25.1</v>
      </c>
      <c r="AA66" s="60">
        <f t="shared" si="7"/>
        <v>29</v>
      </c>
      <c r="AB66" s="60">
        <f t="shared" si="7"/>
        <v>24.9</v>
      </c>
      <c r="AC66" s="60">
        <f t="shared" si="7"/>
        <v>0</v>
      </c>
      <c r="AD66" s="60">
        <f t="shared" si="7"/>
        <v>0</v>
      </c>
      <c r="AE66" s="60">
        <f t="shared" si="7"/>
        <v>0</v>
      </c>
      <c r="AF66" s="60">
        <f t="shared" si="7"/>
        <v>0</v>
      </c>
      <c r="AG66" s="61">
        <f>SUM(AG63:AG65)</f>
        <v>106</v>
      </c>
      <c r="AH66" s="47">
        <f t="shared" si="2"/>
        <v>61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62</v>
      </c>
      <c r="C67" s="45">
        <v>60.1</v>
      </c>
      <c r="D67" s="45">
        <v>61.7</v>
      </c>
      <c r="E67" s="45">
        <v>63.6</v>
      </c>
      <c r="F67" s="45">
        <v>61.2</v>
      </c>
      <c r="G67" s="45">
        <v>59.7</v>
      </c>
      <c r="H67" s="45">
        <v>74</v>
      </c>
      <c r="I67" s="45">
        <v>72</v>
      </c>
      <c r="J67" s="45">
        <v>72.8</v>
      </c>
      <c r="K67" s="45">
        <v>69.7</v>
      </c>
      <c r="L67" s="45">
        <v>67.8</v>
      </c>
      <c r="M67" s="45">
        <v>67.5</v>
      </c>
      <c r="N67" s="45">
        <v>54.4</v>
      </c>
      <c r="O67" s="45">
        <v>61.4</v>
      </c>
      <c r="P67" s="45">
        <v>66</v>
      </c>
      <c r="Q67" s="45">
        <v>55.9</v>
      </c>
      <c r="R67" s="45">
        <v>76.400000000000006</v>
      </c>
      <c r="S67" s="45">
        <v>67.7</v>
      </c>
      <c r="T67" s="45">
        <v>66</v>
      </c>
      <c r="U67" s="45">
        <v>70.400000000000006</v>
      </c>
      <c r="V67" s="45">
        <v>70</v>
      </c>
      <c r="W67" s="45">
        <v>67</v>
      </c>
      <c r="X67" s="45">
        <v>45</v>
      </c>
      <c r="Y67" s="45">
        <v>65.8</v>
      </c>
      <c r="Z67" s="45">
        <v>70.5</v>
      </c>
      <c r="AA67" s="45">
        <v>66</v>
      </c>
      <c r="AB67" s="45">
        <v>69.400000000000006</v>
      </c>
      <c r="AC67" s="45">
        <v>51.9</v>
      </c>
      <c r="AD67" s="45">
        <v>57.7</v>
      </c>
      <c r="AE67" s="45">
        <v>62</v>
      </c>
      <c r="AF67" s="45">
        <v>66.900000000000006</v>
      </c>
      <c r="AG67" s="51"/>
      <c r="AH67" s="47">
        <f t="shared" si="2"/>
        <v>76.400000000000006</v>
      </c>
      <c r="AI67" s="48">
        <f t="shared" si="3"/>
        <v>45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329</v>
      </c>
      <c r="C69" s="65">
        <v>332</v>
      </c>
      <c r="D69" s="65">
        <v>315.39999999999998</v>
      </c>
      <c r="E69" s="65">
        <v>310</v>
      </c>
      <c r="F69" s="65">
        <v>312</v>
      </c>
      <c r="G69" s="65" t="s">
        <v>691</v>
      </c>
      <c r="H69" s="65">
        <v>335</v>
      </c>
      <c r="I69" s="65">
        <v>335.7</v>
      </c>
      <c r="J69" s="65">
        <v>336.6</v>
      </c>
      <c r="K69" s="65">
        <v>330</v>
      </c>
      <c r="L69" s="65">
        <v>276.10000000000002</v>
      </c>
      <c r="M69" s="65">
        <v>268</v>
      </c>
      <c r="N69" s="65">
        <v>244</v>
      </c>
      <c r="O69" s="65">
        <v>243</v>
      </c>
      <c r="P69" s="65">
        <v>335</v>
      </c>
      <c r="Q69" s="65">
        <v>335</v>
      </c>
      <c r="R69" s="65">
        <v>329.5</v>
      </c>
      <c r="S69" s="65">
        <v>322.89999999999998</v>
      </c>
      <c r="T69" s="65">
        <v>348.5</v>
      </c>
      <c r="U69" s="65">
        <v>343.7</v>
      </c>
      <c r="V69" s="65">
        <v>300</v>
      </c>
      <c r="W69" s="65">
        <v>290</v>
      </c>
      <c r="X69" s="65">
        <v>277.3</v>
      </c>
      <c r="Y69" s="65">
        <v>266.2</v>
      </c>
      <c r="Z69" s="65">
        <v>305</v>
      </c>
      <c r="AA69" s="65">
        <v>307</v>
      </c>
      <c r="AB69" s="65">
        <v>250</v>
      </c>
      <c r="AC69" s="65">
        <v>264.8</v>
      </c>
      <c r="AD69" s="65">
        <v>268</v>
      </c>
      <c r="AE69" s="65">
        <v>281</v>
      </c>
      <c r="AF69" s="65">
        <v>315</v>
      </c>
      <c r="AG69" s="75"/>
      <c r="AH69" s="47">
        <f t="shared" si="2"/>
        <v>348.5</v>
      </c>
      <c r="AI69" s="48">
        <f t="shared" si="3"/>
        <v>243</v>
      </c>
      <c r="AK69" s="49"/>
    </row>
    <row r="70" spans="1:40" x14ac:dyDescent="0.25">
      <c r="A70" s="53" t="s">
        <v>78</v>
      </c>
      <c r="B70" s="65">
        <v>57.3</v>
      </c>
      <c r="C70" s="76">
        <v>61.5</v>
      </c>
      <c r="D70" s="76">
        <v>64.5</v>
      </c>
      <c r="E70" s="76">
        <v>60.1</v>
      </c>
      <c r="F70" s="76">
        <v>66.5</v>
      </c>
      <c r="G70" s="76">
        <v>65.7</v>
      </c>
      <c r="H70" s="76">
        <v>64</v>
      </c>
      <c r="I70" s="76">
        <v>68.5</v>
      </c>
      <c r="J70" s="76">
        <v>67.7</v>
      </c>
      <c r="K70" s="76">
        <v>46</v>
      </c>
      <c r="L70" s="76">
        <v>50</v>
      </c>
      <c r="M70" s="76">
        <v>50.1</v>
      </c>
      <c r="N70" s="76">
        <v>47.2</v>
      </c>
      <c r="O70" s="76">
        <v>62.4</v>
      </c>
      <c r="P70" s="76">
        <v>58.3</v>
      </c>
      <c r="Q70" s="76">
        <v>61.2</v>
      </c>
      <c r="R70" s="76">
        <v>61.7</v>
      </c>
      <c r="S70" s="76">
        <v>61.2</v>
      </c>
      <c r="T70" s="76">
        <v>58.9</v>
      </c>
      <c r="U70" s="76">
        <v>52.5</v>
      </c>
      <c r="V70" s="76">
        <v>40.200000000000003</v>
      </c>
      <c r="W70" s="76">
        <v>45</v>
      </c>
      <c r="X70" s="76">
        <v>45</v>
      </c>
      <c r="Y70" s="65">
        <v>53.3</v>
      </c>
      <c r="Z70" s="65">
        <v>56.5</v>
      </c>
      <c r="AA70" s="65">
        <v>57.2</v>
      </c>
      <c r="AB70" s="65">
        <v>58.2</v>
      </c>
      <c r="AC70" s="65">
        <v>55.1</v>
      </c>
      <c r="AD70" s="65">
        <v>50.9</v>
      </c>
      <c r="AE70" s="65">
        <v>53.2</v>
      </c>
      <c r="AF70" s="65">
        <v>63.8</v>
      </c>
      <c r="AG70" s="75"/>
      <c r="AH70" s="47">
        <f t="shared" si="2"/>
        <v>68.5</v>
      </c>
      <c r="AI70" s="48">
        <f t="shared" si="3"/>
        <v>40.200000000000003</v>
      </c>
      <c r="AK70" s="49"/>
    </row>
    <row r="71" spans="1:40" x14ac:dyDescent="0.25">
      <c r="A71" s="53" t="s">
        <v>79</v>
      </c>
      <c r="B71" s="45">
        <v>22.6</v>
      </c>
      <c r="C71" s="45">
        <v>25</v>
      </c>
      <c r="D71" s="45">
        <v>23.6</v>
      </c>
      <c r="E71" s="45">
        <v>24</v>
      </c>
      <c r="F71" s="45">
        <v>25</v>
      </c>
      <c r="G71" s="45">
        <v>24</v>
      </c>
      <c r="H71" s="45">
        <v>24</v>
      </c>
      <c r="I71" s="45">
        <v>26.8</v>
      </c>
      <c r="J71" s="45">
        <v>28</v>
      </c>
      <c r="K71" s="45">
        <v>29.3</v>
      </c>
      <c r="L71" s="45">
        <v>48.6</v>
      </c>
      <c r="M71" s="45">
        <v>49.9</v>
      </c>
      <c r="N71" s="45">
        <v>39.4</v>
      </c>
      <c r="O71" s="45">
        <v>35.200000000000003</v>
      </c>
      <c r="P71" s="45">
        <v>31.5</v>
      </c>
      <c r="Q71" s="45">
        <v>33.4</v>
      </c>
      <c r="R71" s="45">
        <v>32.9</v>
      </c>
      <c r="S71" s="45">
        <v>33.5</v>
      </c>
      <c r="T71" s="45">
        <v>31.1</v>
      </c>
      <c r="U71" s="45">
        <v>32</v>
      </c>
      <c r="V71" s="45">
        <v>28</v>
      </c>
      <c r="W71" s="45">
        <v>27.2</v>
      </c>
      <c r="X71" s="45">
        <v>26.7</v>
      </c>
      <c r="Y71" s="45">
        <v>25.1</v>
      </c>
      <c r="Z71" s="45">
        <v>20.2</v>
      </c>
      <c r="AA71" s="45">
        <v>25</v>
      </c>
      <c r="AB71" s="45">
        <v>23.8</v>
      </c>
      <c r="AC71" s="45">
        <v>23.6</v>
      </c>
      <c r="AD71" s="45">
        <v>22.4</v>
      </c>
      <c r="AE71" s="45">
        <v>21.9</v>
      </c>
      <c r="AF71" s="45">
        <v>22.7</v>
      </c>
      <c r="AG71" s="75"/>
      <c r="AH71" s="47">
        <f t="shared" si="2"/>
        <v>49.9</v>
      </c>
      <c r="AI71" s="48">
        <f t="shared" si="3"/>
        <v>20.2</v>
      </c>
      <c r="AK71" s="49"/>
    </row>
    <row r="72" spans="1:40" x14ac:dyDescent="0.25">
      <c r="A72" s="53" t="s">
        <v>80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0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8">MAX(B75:AF75)</f>
        <v>0</v>
      </c>
      <c r="AI75" s="48">
        <f t="shared" ref="AI75:AI113" si="9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8"/>
        <v>0</v>
      </c>
      <c r="AI76" s="48">
        <f t="shared" si="9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8"/>
        <v>0</v>
      </c>
      <c r="AI77" s="48">
        <f t="shared" si="9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>SUMIF(B67:B77,"&gt;0")</f>
        <v>470.90000000000003</v>
      </c>
      <c r="C78" s="60">
        <f t="shared" ref="C78:AF78" si="10">SUMIF(C67:C77,"&gt;0")</f>
        <v>478.6</v>
      </c>
      <c r="D78" s="60">
        <f t="shared" si="10"/>
        <v>465.2</v>
      </c>
      <c r="E78" s="60">
        <f t="shared" si="10"/>
        <v>457.70000000000005</v>
      </c>
      <c r="F78" s="60">
        <f t="shared" si="10"/>
        <v>464.7</v>
      </c>
      <c r="G78" s="60">
        <f t="shared" si="10"/>
        <v>149.4</v>
      </c>
      <c r="H78" s="60">
        <f t="shared" si="10"/>
        <v>497</v>
      </c>
      <c r="I78" s="60">
        <f t="shared" si="10"/>
        <v>503</v>
      </c>
      <c r="J78" s="60">
        <f t="shared" si="10"/>
        <v>505.1</v>
      </c>
      <c r="K78" s="60">
        <f t="shared" si="10"/>
        <v>475</v>
      </c>
      <c r="L78" s="60">
        <f t="shared" si="10"/>
        <v>442.50000000000006</v>
      </c>
      <c r="M78" s="60">
        <f t="shared" si="10"/>
        <v>435.5</v>
      </c>
      <c r="N78" s="60">
        <f t="shared" si="10"/>
        <v>384.99999999999994</v>
      </c>
      <c r="O78" s="60">
        <f t="shared" si="10"/>
        <v>401.99999999999994</v>
      </c>
      <c r="P78" s="60">
        <f t="shared" si="10"/>
        <v>490.8</v>
      </c>
      <c r="Q78" s="60">
        <f t="shared" si="10"/>
        <v>485.49999999999994</v>
      </c>
      <c r="R78" s="60">
        <f t="shared" si="10"/>
        <v>505.49999999999994</v>
      </c>
      <c r="S78" s="60">
        <f t="shared" si="10"/>
        <v>490.29999999999995</v>
      </c>
      <c r="T78" s="60">
        <f t="shared" si="10"/>
        <v>509.5</v>
      </c>
      <c r="U78" s="60">
        <f t="shared" si="10"/>
        <v>503.6</v>
      </c>
      <c r="V78" s="60">
        <f t="shared" si="10"/>
        <v>443.2</v>
      </c>
      <c r="W78" s="60">
        <f t="shared" si="10"/>
        <v>434.2</v>
      </c>
      <c r="X78" s="60">
        <f t="shared" si="10"/>
        <v>399</v>
      </c>
      <c r="Y78" s="60">
        <f t="shared" si="10"/>
        <v>415.40000000000003</v>
      </c>
      <c r="Z78" s="60">
        <f t="shared" si="10"/>
        <v>457.2</v>
      </c>
      <c r="AA78" s="60">
        <f t="shared" si="10"/>
        <v>460.2</v>
      </c>
      <c r="AB78" s="60">
        <f t="shared" si="10"/>
        <v>406.4</v>
      </c>
      <c r="AC78" s="60">
        <f t="shared" si="10"/>
        <v>400.40000000000003</v>
      </c>
      <c r="AD78" s="60">
        <f t="shared" si="10"/>
        <v>403.99999999999994</v>
      </c>
      <c r="AE78" s="60">
        <f t="shared" si="10"/>
        <v>423.09999999999997</v>
      </c>
      <c r="AF78" s="60">
        <f t="shared" si="10"/>
        <v>473.4</v>
      </c>
      <c r="AG78" s="88">
        <f>SUM(AG67:AG77)</f>
        <v>0</v>
      </c>
      <c r="AH78" s="47">
        <f t="shared" si="8"/>
        <v>509.5</v>
      </c>
      <c r="AI78" s="48">
        <f t="shared" si="9"/>
        <v>149.4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8"/>
        <v>0</v>
      </c>
      <c r="AI79" s="48">
        <f t="shared" si="9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8"/>
        <v>0</v>
      </c>
      <c r="AI80" s="48">
        <f t="shared" si="9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8"/>
        <v>0</v>
      </c>
      <c r="AI81" s="48">
        <f t="shared" si="9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/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8"/>
        <v>0</v>
      </c>
      <c r="AI82" s="48">
        <f t="shared" si="9"/>
        <v>0</v>
      </c>
    </row>
    <row r="83" spans="1:37" ht="15.75" thickBot="1" x14ac:dyDescent="0.3">
      <c r="A83" s="74" t="s">
        <v>94</v>
      </c>
      <c r="B83" s="95">
        <f>B44+B48+B66+B62+B78+B82</f>
        <v>1095.74</v>
      </c>
      <c r="C83" s="95">
        <f t="shared" ref="C83:AG83" si="11">C44+C48+C66+C62+C78+C82</f>
        <v>1067.44</v>
      </c>
      <c r="D83" s="95">
        <f t="shared" si="11"/>
        <v>1068.74</v>
      </c>
      <c r="E83" s="95">
        <f t="shared" si="11"/>
        <v>1054.54</v>
      </c>
      <c r="F83" s="95">
        <f t="shared" si="11"/>
        <v>1050.6399999999999</v>
      </c>
      <c r="G83" s="95">
        <f t="shared" si="11"/>
        <v>806.93999999999994</v>
      </c>
      <c r="H83" s="95">
        <f t="shared" si="11"/>
        <v>1243.54</v>
      </c>
      <c r="I83" s="95">
        <f t="shared" si="11"/>
        <v>1341.6399999999999</v>
      </c>
      <c r="J83" s="95">
        <f t="shared" si="11"/>
        <v>1414.3400000000001</v>
      </c>
      <c r="K83" s="95">
        <f t="shared" si="11"/>
        <v>1411.24</v>
      </c>
      <c r="L83" s="95">
        <f t="shared" si="11"/>
        <v>1391.6399999999999</v>
      </c>
      <c r="M83" s="95">
        <f t="shared" si="11"/>
        <v>1399.04</v>
      </c>
      <c r="N83" s="95">
        <f t="shared" si="11"/>
        <v>1287.94</v>
      </c>
      <c r="O83" s="95">
        <f t="shared" si="11"/>
        <v>1295.94</v>
      </c>
      <c r="P83" s="95">
        <f t="shared" si="11"/>
        <v>1338.94</v>
      </c>
      <c r="Q83" s="95">
        <f t="shared" si="11"/>
        <v>1294.44</v>
      </c>
      <c r="R83" s="95">
        <f t="shared" si="11"/>
        <v>1288.8399999999999</v>
      </c>
      <c r="S83" s="95">
        <f t="shared" si="11"/>
        <v>1295.6399999999999</v>
      </c>
      <c r="T83" s="95">
        <f t="shared" si="11"/>
        <v>1326.44</v>
      </c>
      <c r="U83" s="95">
        <f t="shared" si="11"/>
        <v>1287.1399999999999</v>
      </c>
      <c r="V83" s="95">
        <f t="shared" si="11"/>
        <v>1223.44</v>
      </c>
      <c r="W83" s="95">
        <f t="shared" si="11"/>
        <v>1188.44</v>
      </c>
      <c r="X83" s="95">
        <f t="shared" si="11"/>
        <v>1303.24</v>
      </c>
      <c r="Y83" s="95">
        <f t="shared" si="11"/>
        <v>1450.8400000000001</v>
      </c>
      <c r="Z83" s="95">
        <f t="shared" si="11"/>
        <v>1439.54</v>
      </c>
      <c r="AA83" s="95">
        <f t="shared" si="11"/>
        <v>1423.74</v>
      </c>
      <c r="AB83" s="95">
        <f t="shared" si="11"/>
        <v>1434.1399999999999</v>
      </c>
      <c r="AC83" s="95">
        <f t="shared" si="11"/>
        <v>1412.34</v>
      </c>
      <c r="AD83" s="95">
        <f t="shared" si="11"/>
        <v>1375.64</v>
      </c>
      <c r="AE83" s="95">
        <f t="shared" si="11"/>
        <v>1209.8399999999999</v>
      </c>
      <c r="AF83" s="95">
        <f t="shared" si="11"/>
        <v>1152.6399999999999</v>
      </c>
      <c r="AG83" s="61">
        <f t="shared" si="11"/>
        <v>2004.1900000000003</v>
      </c>
      <c r="AH83" s="47">
        <f>MAX(B83:AF83)</f>
        <v>1450.8400000000001</v>
      </c>
      <c r="AI83" s="48">
        <f>MIN(B83:AF83)</f>
        <v>806.93999999999994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>
        <v>200</v>
      </c>
      <c r="M84" s="97">
        <v>200</v>
      </c>
      <c r="N84" s="97">
        <v>200</v>
      </c>
      <c r="O84" s="97">
        <v>200</v>
      </c>
      <c r="P84" s="97"/>
      <c r="Q84" s="97"/>
      <c r="R84" s="97"/>
      <c r="S84" s="97"/>
      <c r="T84" s="97"/>
      <c r="U84" s="97"/>
      <c r="V84" s="97"/>
      <c r="W84" s="97"/>
      <c r="X84" s="97">
        <v>180</v>
      </c>
      <c r="Y84" s="97">
        <v>170</v>
      </c>
      <c r="Z84" s="97">
        <v>150</v>
      </c>
      <c r="AA84" s="97">
        <v>0</v>
      </c>
      <c r="AB84" s="97">
        <v>0</v>
      </c>
      <c r="AC84" s="97"/>
      <c r="AD84" s="97"/>
      <c r="AE84" s="97"/>
      <c r="AF84" s="97"/>
      <c r="AG84" s="88"/>
      <c r="AH84" s="47">
        <f t="shared" si="8"/>
        <v>200</v>
      </c>
      <c r="AI84" s="48">
        <f t="shared" si="9"/>
        <v>0</v>
      </c>
    </row>
    <row r="85" spans="1:37" ht="15.75" thickBot="1" x14ac:dyDescent="0.3">
      <c r="A85" s="74" t="s">
        <v>96</v>
      </c>
      <c r="B85" s="95">
        <f>B83+B84</f>
        <v>1095.74</v>
      </c>
      <c r="C85" s="95">
        <f t="shared" ref="C85:AF85" si="12">C83+C84</f>
        <v>1067.44</v>
      </c>
      <c r="D85" s="95">
        <f t="shared" si="12"/>
        <v>1068.74</v>
      </c>
      <c r="E85" s="95">
        <f t="shared" si="12"/>
        <v>1054.54</v>
      </c>
      <c r="F85" s="95">
        <f t="shared" si="12"/>
        <v>1050.6399999999999</v>
      </c>
      <c r="G85" s="95">
        <f t="shared" si="12"/>
        <v>806.93999999999994</v>
      </c>
      <c r="H85" s="95">
        <f t="shared" si="12"/>
        <v>1243.54</v>
      </c>
      <c r="I85" s="95">
        <f t="shared" si="12"/>
        <v>1341.6399999999999</v>
      </c>
      <c r="J85" s="95">
        <f t="shared" si="12"/>
        <v>1414.3400000000001</v>
      </c>
      <c r="K85" s="95">
        <f t="shared" si="12"/>
        <v>1411.24</v>
      </c>
      <c r="L85" s="95">
        <f t="shared" si="12"/>
        <v>1591.6399999999999</v>
      </c>
      <c r="M85" s="95">
        <f t="shared" si="12"/>
        <v>1599.04</v>
      </c>
      <c r="N85" s="95">
        <f t="shared" si="12"/>
        <v>1487.94</v>
      </c>
      <c r="O85" s="95">
        <f t="shared" si="12"/>
        <v>1495.94</v>
      </c>
      <c r="P85" s="95">
        <f t="shared" si="12"/>
        <v>1338.94</v>
      </c>
      <c r="Q85" s="95">
        <f t="shared" si="12"/>
        <v>1294.44</v>
      </c>
      <c r="R85" s="95">
        <f t="shared" si="12"/>
        <v>1288.8399999999999</v>
      </c>
      <c r="S85" s="95">
        <f t="shared" si="12"/>
        <v>1295.6399999999999</v>
      </c>
      <c r="T85" s="95">
        <f t="shared" si="12"/>
        <v>1326.44</v>
      </c>
      <c r="U85" s="95">
        <f t="shared" si="12"/>
        <v>1287.1399999999999</v>
      </c>
      <c r="V85" s="95">
        <f t="shared" si="12"/>
        <v>1223.44</v>
      </c>
      <c r="W85" s="95">
        <f t="shared" si="12"/>
        <v>1188.44</v>
      </c>
      <c r="X85" s="95">
        <f t="shared" si="12"/>
        <v>1483.24</v>
      </c>
      <c r="Y85" s="95">
        <f t="shared" si="12"/>
        <v>1620.8400000000001</v>
      </c>
      <c r="Z85" s="95">
        <f t="shared" si="12"/>
        <v>1589.54</v>
      </c>
      <c r="AA85" s="95">
        <f t="shared" si="12"/>
        <v>1423.74</v>
      </c>
      <c r="AB85" s="95">
        <f t="shared" si="12"/>
        <v>1434.1399999999999</v>
      </c>
      <c r="AC85" s="95">
        <f t="shared" si="12"/>
        <v>1412.34</v>
      </c>
      <c r="AD85" s="95">
        <f t="shared" si="12"/>
        <v>1375.64</v>
      </c>
      <c r="AE85" s="95">
        <f t="shared" si="12"/>
        <v>1209.8399999999999</v>
      </c>
      <c r="AF85" s="95">
        <f t="shared" si="12"/>
        <v>1152.6399999999999</v>
      </c>
      <c r="AG85" s="88">
        <f>AG82+AG78+AG66+AG62+AG44+AG84</f>
        <v>1466.0900000000001</v>
      </c>
      <c r="AH85" s="47">
        <f t="shared" si="8"/>
        <v>1620.8400000000001</v>
      </c>
      <c r="AI85" s="48">
        <f t="shared" si="9"/>
        <v>806.93999999999994</v>
      </c>
    </row>
    <row r="86" spans="1:37" ht="15.75" thickBot="1" x14ac:dyDescent="0.3">
      <c r="A86" s="74" t="s">
        <v>97</v>
      </c>
      <c r="B86" s="95">
        <f>B85-B93</f>
        <v>1095.74</v>
      </c>
      <c r="C86" s="95">
        <f t="shared" ref="C86:AF86" si="13">C85-C93</f>
        <v>1067.44</v>
      </c>
      <c r="D86" s="95">
        <f t="shared" si="13"/>
        <v>1068.74</v>
      </c>
      <c r="E86" s="95">
        <f t="shared" si="13"/>
        <v>1054.54</v>
      </c>
      <c r="F86" s="95">
        <f t="shared" si="13"/>
        <v>1050.6399999999999</v>
      </c>
      <c r="G86" s="95">
        <f t="shared" si="13"/>
        <v>806.93999999999994</v>
      </c>
      <c r="H86" s="95">
        <f t="shared" si="13"/>
        <v>1243.54</v>
      </c>
      <c r="I86" s="95">
        <f t="shared" si="13"/>
        <v>1341.6399999999999</v>
      </c>
      <c r="J86" s="95">
        <f t="shared" si="13"/>
        <v>1414.3400000000001</v>
      </c>
      <c r="K86" s="95">
        <f t="shared" si="13"/>
        <v>1411.24</v>
      </c>
      <c r="L86" s="95">
        <f t="shared" si="13"/>
        <v>1591.6399999999999</v>
      </c>
      <c r="M86" s="95">
        <f t="shared" si="13"/>
        <v>1599.04</v>
      </c>
      <c r="N86" s="95">
        <f t="shared" si="13"/>
        <v>1487.94</v>
      </c>
      <c r="O86" s="95">
        <f t="shared" si="13"/>
        <v>1495.94</v>
      </c>
      <c r="P86" s="95">
        <f t="shared" si="13"/>
        <v>1338.94</v>
      </c>
      <c r="Q86" s="95">
        <f t="shared" si="13"/>
        <v>1294.44</v>
      </c>
      <c r="R86" s="95">
        <f t="shared" si="13"/>
        <v>1288.8399999999999</v>
      </c>
      <c r="S86" s="95">
        <f t="shared" si="13"/>
        <v>1295.6399999999999</v>
      </c>
      <c r="T86" s="95">
        <f t="shared" si="13"/>
        <v>1326.44</v>
      </c>
      <c r="U86" s="95">
        <f t="shared" si="13"/>
        <v>1287.1399999999999</v>
      </c>
      <c r="V86" s="95">
        <f t="shared" si="13"/>
        <v>1223.44</v>
      </c>
      <c r="W86" s="95">
        <f t="shared" si="13"/>
        <v>1188.44</v>
      </c>
      <c r="X86" s="95">
        <f t="shared" si="13"/>
        <v>1483.24</v>
      </c>
      <c r="Y86" s="95">
        <f t="shared" si="13"/>
        <v>1620.8400000000001</v>
      </c>
      <c r="Z86" s="95">
        <f t="shared" si="13"/>
        <v>1589.54</v>
      </c>
      <c r="AA86" s="95">
        <f t="shared" si="13"/>
        <v>1423.74</v>
      </c>
      <c r="AB86" s="95">
        <f t="shared" si="13"/>
        <v>1434.1399999999999</v>
      </c>
      <c r="AC86" s="95">
        <f t="shared" si="13"/>
        <v>1412.34</v>
      </c>
      <c r="AD86" s="95">
        <f t="shared" si="13"/>
        <v>1375.64</v>
      </c>
      <c r="AE86" s="95">
        <f t="shared" si="13"/>
        <v>1209.8399999999999</v>
      </c>
      <c r="AF86" s="95">
        <f t="shared" si="13"/>
        <v>1152.6399999999999</v>
      </c>
      <c r="AG86" s="88"/>
      <c r="AH86" s="47">
        <f t="shared" si="8"/>
        <v>1620.8400000000001</v>
      </c>
      <c r="AI86" s="48">
        <f t="shared" si="9"/>
        <v>806.93999999999994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8"/>
        <v>0</v>
      </c>
      <c r="AI87" s="48">
        <f t="shared" si="9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8"/>
        <v>0</v>
      </c>
      <c r="AI88" s="48">
        <f t="shared" si="9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8"/>
        <v>0</v>
      </c>
      <c r="AI89" s="48">
        <f t="shared" si="9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8"/>
        <v>0</v>
      </c>
      <c r="AI90" s="48">
        <f t="shared" si="9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8"/>
        <v>0</v>
      </c>
      <c r="AI91" s="48">
        <f t="shared" si="9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8"/>
        <v>0</v>
      </c>
      <c r="AI92" s="48">
        <f t="shared" si="9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88"/>
      <c r="AH93" s="47">
        <f t="shared" si="8"/>
        <v>0</v>
      </c>
      <c r="AI93" s="48">
        <f t="shared" si="9"/>
        <v>0</v>
      </c>
      <c r="AK93" s="49"/>
    </row>
    <row r="94" spans="1:37" ht="15.75" thickBot="1" x14ac:dyDescent="0.3">
      <c r="A94" s="74" t="s">
        <v>102</v>
      </c>
      <c r="B94" s="60">
        <f>B78-B93</f>
        <v>470.90000000000003</v>
      </c>
      <c r="C94" s="60">
        <f t="shared" ref="C94:AF94" si="14">C78-C93</f>
        <v>478.6</v>
      </c>
      <c r="D94" s="60">
        <f t="shared" si="14"/>
        <v>465.2</v>
      </c>
      <c r="E94" s="60">
        <f t="shared" si="14"/>
        <v>457.70000000000005</v>
      </c>
      <c r="F94" s="60">
        <f t="shared" si="14"/>
        <v>464.7</v>
      </c>
      <c r="G94" s="60">
        <f t="shared" si="14"/>
        <v>149.4</v>
      </c>
      <c r="H94" s="60">
        <f t="shared" si="14"/>
        <v>497</v>
      </c>
      <c r="I94" s="60">
        <f t="shared" si="14"/>
        <v>503</v>
      </c>
      <c r="J94" s="60">
        <f t="shared" si="14"/>
        <v>505.1</v>
      </c>
      <c r="K94" s="60">
        <f t="shared" si="14"/>
        <v>475</v>
      </c>
      <c r="L94" s="60">
        <f t="shared" si="14"/>
        <v>442.50000000000006</v>
      </c>
      <c r="M94" s="60">
        <f t="shared" si="14"/>
        <v>435.5</v>
      </c>
      <c r="N94" s="60">
        <f t="shared" si="14"/>
        <v>384.99999999999994</v>
      </c>
      <c r="O94" s="60">
        <f t="shared" si="14"/>
        <v>401.99999999999994</v>
      </c>
      <c r="P94" s="60">
        <f t="shared" si="14"/>
        <v>490.8</v>
      </c>
      <c r="Q94" s="60">
        <f t="shared" si="14"/>
        <v>485.49999999999994</v>
      </c>
      <c r="R94" s="60">
        <f t="shared" si="14"/>
        <v>505.49999999999994</v>
      </c>
      <c r="S94" s="60">
        <f t="shared" si="14"/>
        <v>490.29999999999995</v>
      </c>
      <c r="T94" s="60">
        <f t="shared" si="14"/>
        <v>509.5</v>
      </c>
      <c r="U94" s="60">
        <f t="shared" si="14"/>
        <v>503.6</v>
      </c>
      <c r="V94" s="60">
        <f t="shared" si="14"/>
        <v>443.2</v>
      </c>
      <c r="W94" s="60">
        <f t="shared" si="14"/>
        <v>434.2</v>
      </c>
      <c r="X94" s="60">
        <f t="shared" si="14"/>
        <v>399</v>
      </c>
      <c r="Y94" s="60">
        <f t="shared" si="14"/>
        <v>415.40000000000003</v>
      </c>
      <c r="Z94" s="60">
        <f t="shared" si="14"/>
        <v>457.2</v>
      </c>
      <c r="AA94" s="60">
        <f t="shared" si="14"/>
        <v>460.2</v>
      </c>
      <c r="AB94" s="60">
        <f t="shared" si="14"/>
        <v>406.4</v>
      </c>
      <c r="AC94" s="60">
        <f t="shared" si="14"/>
        <v>400.40000000000003</v>
      </c>
      <c r="AD94" s="60">
        <f t="shared" si="14"/>
        <v>403.99999999999994</v>
      </c>
      <c r="AE94" s="60">
        <f t="shared" si="14"/>
        <v>423.09999999999997</v>
      </c>
      <c r="AF94" s="60">
        <f t="shared" si="14"/>
        <v>473.4</v>
      </c>
      <c r="AG94" s="88"/>
      <c r="AH94" s="47">
        <f t="shared" si="8"/>
        <v>509.5</v>
      </c>
      <c r="AI94" s="48">
        <f t="shared" si="9"/>
        <v>149.4</v>
      </c>
    </row>
    <row r="95" spans="1:37" x14ac:dyDescent="0.25">
      <c r="A95" s="100" t="s">
        <v>103</v>
      </c>
      <c r="B95" s="101">
        <v>50.02</v>
      </c>
      <c r="C95" s="101">
        <v>49.92</v>
      </c>
      <c r="D95" s="101">
        <v>49.94</v>
      </c>
      <c r="E95" s="101">
        <v>49.875999999999998</v>
      </c>
      <c r="F95" s="101">
        <v>49.926000000000002</v>
      </c>
      <c r="G95" s="101">
        <v>49.98</v>
      </c>
      <c r="H95" s="101">
        <v>49.941000000000003</v>
      </c>
      <c r="I95" s="101">
        <v>50.137999999999998</v>
      </c>
      <c r="J95" s="101">
        <v>49.881999999999998</v>
      </c>
      <c r="K95" s="101">
        <v>50.106000000000002</v>
      </c>
      <c r="L95" s="101">
        <v>50.005000000000003</v>
      </c>
      <c r="M95" s="101">
        <v>50.170999999999999</v>
      </c>
      <c r="N95" s="101">
        <v>50.079000000000001</v>
      </c>
      <c r="O95" s="101">
        <v>49.993000000000002</v>
      </c>
      <c r="P95" s="101">
        <v>49.976999999999997</v>
      </c>
      <c r="Q95" s="101">
        <v>49.960999999999999</v>
      </c>
      <c r="R95" s="101">
        <v>49.975999999999999</v>
      </c>
      <c r="S95" s="101">
        <v>50.094000000000001</v>
      </c>
      <c r="T95" s="101">
        <v>50.02</v>
      </c>
      <c r="U95" s="101">
        <v>50.021000000000001</v>
      </c>
      <c r="V95" s="101">
        <v>50.061999999999998</v>
      </c>
      <c r="W95" s="101">
        <v>49.98</v>
      </c>
      <c r="X95" s="101">
        <v>49.957000000000001</v>
      </c>
      <c r="Y95" s="101">
        <v>50.036999999999999</v>
      </c>
      <c r="Z95" s="101">
        <v>49.848999999999997</v>
      </c>
      <c r="AA95" s="101">
        <v>49.963360000000002</v>
      </c>
      <c r="AB95" s="101">
        <v>50.06</v>
      </c>
      <c r="AC95" s="101">
        <v>50.017000000000003</v>
      </c>
      <c r="AD95" s="101">
        <v>49.905999999999999</v>
      </c>
      <c r="AE95" s="101">
        <v>50.281999999999996</v>
      </c>
      <c r="AF95" s="101">
        <v>50.11</v>
      </c>
      <c r="AG95" s="102"/>
      <c r="AH95" s="47">
        <f t="shared" si="8"/>
        <v>50.281999999999996</v>
      </c>
      <c r="AI95" s="48">
        <f t="shared" si="9"/>
        <v>49.848999999999997</v>
      </c>
    </row>
    <row r="96" spans="1:37" x14ac:dyDescent="0.25">
      <c r="A96" s="103" t="s">
        <v>104</v>
      </c>
      <c r="B96" s="65">
        <v>127</v>
      </c>
      <c r="C96" s="65">
        <v>127.1</v>
      </c>
      <c r="D96" s="65">
        <v>127.3</v>
      </c>
      <c r="E96" s="65">
        <v>127.1</v>
      </c>
      <c r="F96" s="65">
        <v>128.80000000000001</v>
      </c>
      <c r="G96" s="65">
        <v>126.5</v>
      </c>
      <c r="H96" s="65">
        <v>125.5</v>
      </c>
      <c r="I96" s="65">
        <v>125.4</v>
      </c>
      <c r="J96" s="65">
        <v>124.1</v>
      </c>
      <c r="K96" s="65">
        <v>126.9</v>
      </c>
      <c r="L96" s="65">
        <v>128.5</v>
      </c>
      <c r="M96" s="65">
        <v>127</v>
      </c>
      <c r="N96" s="65">
        <v>127.8</v>
      </c>
      <c r="O96" s="65">
        <v>128.5</v>
      </c>
      <c r="P96" s="65">
        <v>125.4</v>
      </c>
      <c r="Q96" s="65">
        <v>127.4</v>
      </c>
      <c r="R96" s="65">
        <v>127.6</v>
      </c>
      <c r="S96" s="65">
        <v>127.3</v>
      </c>
      <c r="T96" s="65">
        <v>126</v>
      </c>
      <c r="U96" s="65">
        <v>125.8</v>
      </c>
      <c r="V96" s="65">
        <v>128</v>
      </c>
      <c r="W96" s="65">
        <v>129.9</v>
      </c>
      <c r="X96" s="65">
        <v>129.69999999999999</v>
      </c>
      <c r="Y96" s="65">
        <v>129.69999999999999</v>
      </c>
      <c r="Z96" s="65">
        <v>129.69999999999999</v>
      </c>
      <c r="AA96" s="65">
        <v>126</v>
      </c>
      <c r="AB96" s="65">
        <v>127.7</v>
      </c>
      <c r="AC96" s="65">
        <v>126.1</v>
      </c>
      <c r="AD96" s="65">
        <v>125.9</v>
      </c>
      <c r="AE96" s="65">
        <v>128.6</v>
      </c>
      <c r="AF96" s="65">
        <v>129.6</v>
      </c>
      <c r="AG96" s="104"/>
      <c r="AH96" s="47">
        <f t="shared" si="8"/>
        <v>129.9</v>
      </c>
      <c r="AI96" s="48">
        <f t="shared" si="9"/>
        <v>124.1</v>
      </c>
    </row>
    <row r="97" spans="1:35" x14ac:dyDescent="0.25">
      <c r="A97" s="103" t="s">
        <v>105</v>
      </c>
      <c r="B97" s="65">
        <v>131.19999999999999</v>
      </c>
      <c r="C97" s="65">
        <v>131.30000000000001</v>
      </c>
      <c r="D97" s="65">
        <v>131.6</v>
      </c>
      <c r="E97" s="65">
        <v>131.6</v>
      </c>
      <c r="F97" s="65">
        <v>132.6</v>
      </c>
      <c r="G97" s="65">
        <v>130.6</v>
      </c>
      <c r="H97" s="65">
        <v>129.80000000000001</v>
      </c>
      <c r="I97" s="65">
        <v>128.5</v>
      </c>
      <c r="J97" s="65">
        <v>127.4</v>
      </c>
      <c r="K97" s="65">
        <v>128.5</v>
      </c>
      <c r="L97" s="65">
        <v>130.1</v>
      </c>
      <c r="M97" s="65">
        <v>129</v>
      </c>
      <c r="N97" s="65">
        <v>129.80000000000001</v>
      </c>
      <c r="O97" s="65">
        <v>130.6</v>
      </c>
      <c r="P97" s="65">
        <v>128.5</v>
      </c>
      <c r="Q97" s="65">
        <v>130.4</v>
      </c>
      <c r="R97" s="65">
        <v>130</v>
      </c>
      <c r="S97" s="65">
        <v>129.9</v>
      </c>
      <c r="T97" s="65">
        <v>129</v>
      </c>
      <c r="U97" s="65">
        <v>129</v>
      </c>
      <c r="V97" s="65">
        <v>130.6</v>
      </c>
      <c r="W97" s="65">
        <v>131</v>
      </c>
      <c r="X97" s="65">
        <v>131.19999999999999</v>
      </c>
      <c r="Y97" s="65">
        <v>131.19999999999999</v>
      </c>
      <c r="Z97" s="65">
        <v>131.19999999999999</v>
      </c>
      <c r="AA97" s="65">
        <v>128</v>
      </c>
      <c r="AB97" s="65">
        <v>129.9</v>
      </c>
      <c r="AC97" s="65">
        <v>128.80000000000001</v>
      </c>
      <c r="AD97" s="65">
        <v>129</v>
      </c>
      <c r="AE97" s="65">
        <v>132</v>
      </c>
      <c r="AF97" s="65">
        <v>132.5</v>
      </c>
      <c r="AG97" s="104"/>
      <c r="AH97" s="47">
        <f t="shared" si="8"/>
        <v>132.6</v>
      </c>
      <c r="AI97" s="48">
        <f t="shared" si="9"/>
        <v>127.4</v>
      </c>
    </row>
    <row r="98" spans="1:35" x14ac:dyDescent="0.25">
      <c r="A98" s="103" t="s">
        <v>106</v>
      </c>
      <c r="B98" s="65">
        <v>130.69999999999999</v>
      </c>
      <c r="C98" s="65">
        <v>132.5</v>
      </c>
      <c r="D98" s="65">
        <v>133.30000000000001</v>
      </c>
      <c r="E98" s="65">
        <v>132.69999999999999</v>
      </c>
      <c r="F98" s="65">
        <v>132.30000000000001</v>
      </c>
      <c r="G98" s="65">
        <v>131.9</v>
      </c>
      <c r="H98" s="65">
        <v>129.69999999999999</v>
      </c>
      <c r="I98" s="65">
        <v>128.69999999999999</v>
      </c>
      <c r="J98" s="65">
        <v>127.8</v>
      </c>
      <c r="K98" s="65">
        <v>128.1</v>
      </c>
      <c r="L98" s="65">
        <v>129.19999999999999</v>
      </c>
      <c r="M98" s="65">
        <v>127.6</v>
      </c>
      <c r="N98" s="65">
        <v>130.30000000000001</v>
      </c>
      <c r="O98" s="65">
        <v>131</v>
      </c>
      <c r="P98" s="65">
        <v>129.30000000000001</v>
      </c>
      <c r="Q98" s="65">
        <v>131.19999999999999</v>
      </c>
      <c r="R98" s="65">
        <v>129.9</v>
      </c>
      <c r="S98" s="65">
        <v>130.6</v>
      </c>
      <c r="T98" s="65">
        <v>129</v>
      </c>
      <c r="U98" s="65">
        <v>128.80000000000001</v>
      </c>
      <c r="V98" s="65">
        <v>130.69999999999999</v>
      </c>
      <c r="W98" s="65">
        <v>132</v>
      </c>
      <c r="X98" s="65">
        <v>127.2</v>
      </c>
      <c r="Y98" s="65">
        <v>129.30000000000001</v>
      </c>
      <c r="Z98" s="65">
        <v>129.30000000000001</v>
      </c>
      <c r="AA98" s="65">
        <v>130.80000000000001</v>
      </c>
      <c r="AB98" s="65">
        <v>132.30000000000001</v>
      </c>
      <c r="AC98" s="65">
        <v>129.30000000000001</v>
      </c>
      <c r="AD98" s="65">
        <v>129.6</v>
      </c>
      <c r="AE98" s="65">
        <v>132.6</v>
      </c>
      <c r="AF98" s="65">
        <v>128.6</v>
      </c>
      <c r="AG98" s="104"/>
      <c r="AH98" s="47">
        <f t="shared" si="8"/>
        <v>133.30000000000001</v>
      </c>
      <c r="AI98" s="48">
        <f t="shared" si="9"/>
        <v>127.2</v>
      </c>
    </row>
    <row r="99" spans="1:35" x14ac:dyDescent="0.25">
      <c r="A99" s="105" t="s">
        <v>107</v>
      </c>
      <c r="B99" s="65">
        <v>133.30000000000001</v>
      </c>
      <c r="C99" s="65">
        <v>134.80000000000001</v>
      </c>
      <c r="D99" s="65">
        <v>135.5</v>
      </c>
      <c r="E99" s="65">
        <v>135.1</v>
      </c>
      <c r="F99" s="65">
        <v>133.5</v>
      </c>
      <c r="G99" s="65">
        <v>132.80000000000001</v>
      </c>
      <c r="H99" s="65">
        <v>132.19999999999999</v>
      </c>
      <c r="I99" s="65">
        <v>131.9</v>
      </c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104"/>
      <c r="AH99" s="47">
        <f t="shared" si="8"/>
        <v>135.5</v>
      </c>
      <c r="AI99" s="48">
        <f t="shared" si="9"/>
        <v>131.9</v>
      </c>
    </row>
    <row r="100" spans="1:35" x14ac:dyDescent="0.25">
      <c r="A100" s="105" t="s">
        <v>108</v>
      </c>
      <c r="B100" s="106">
        <v>132.69999999999999</v>
      </c>
      <c r="C100" s="106">
        <v>133.30000000000001</v>
      </c>
      <c r="D100" s="106">
        <v>132.9</v>
      </c>
      <c r="E100" s="106">
        <v>132.9</v>
      </c>
      <c r="F100" s="106">
        <v>133.5</v>
      </c>
      <c r="G100" s="106">
        <v>132.1</v>
      </c>
      <c r="H100" s="106">
        <v>134</v>
      </c>
      <c r="I100" s="106">
        <v>132.69999999999999</v>
      </c>
      <c r="J100" s="106">
        <v>132.69999999999999</v>
      </c>
      <c r="K100" s="106">
        <v>133.9</v>
      </c>
      <c r="L100" s="106">
        <v>134</v>
      </c>
      <c r="M100" s="106">
        <v>133.4</v>
      </c>
      <c r="N100" s="106">
        <v>134.1</v>
      </c>
      <c r="O100" s="106">
        <v>134.6</v>
      </c>
      <c r="P100" s="106">
        <v>129.9</v>
      </c>
      <c r="Q100" s="106">
        <v>135.80000000000001</v>
      </c>
      <c r="R100" s="106">
        <v>135.5</v>
      </c>
      <c r="S100" s="106">
        <v>134.9</v>
      </c>
      <c r="T100" s="106">
        <v>133.6</v>
      </c>
      <c r="U100" s="106">
        <v>133.80000000000001</v>
      </c>
      <c r="V100" s="106">
        <v>134</v>
      </c>
      <c r="W100" s="106">
        <v>136</v>
      </c>
      <c r="X100" s="106">
        <v>133.69999999999999</v>
      </c>
      <c r="Y100" s="106">
        <v>134</v>
      </c>
      <c r="Z100" s="106">
        <v>134</v>
      </c>
      <c r="AA100" s="106">
        <v>131.9</v>
      </c>
      <c r="AB100" s="106">
        <v>135.19999999999999</v>
      </c>
      <c r="AC100" s="106">
        <v>135.30000000000001</v>
      </c>
      <c r="AD100" s="106">
        <v>133.69999999999999</v>
      </c>
      <c r="AE100" s="106">
        <v>134.6</v>
      </c>
      <c r="AF100" s="106">
        <v>133.1</v>
      </c>
      <c r="AG100" s="107"/>
      <c r="AH100" s="47">
        <f t="shared" si="8"/>
        <v>136</v>
      </c>
      <c r="AI100" s="48">
        <f t="shared" si="9"/>
        <v>129.9</v>
      </c>
    </row>
    <row r="101" spans="1:35" x14ac:dyDescent="0.25">
      <c r="A101" s="103" t="s">
        <v>109</v>
      </c>
      <c r="B101" s="65">
        <v>135.4</v>
      </c>
      <c r="C101" s="65">
        <v>133.80000000000001</v>
      </c>
      <c r="D101" s="65">
        <v>133.19999999999999</v>
      </c>
      <c r="E101" s="65">
        <v>134.30000000000001</v>
      </c>
      <c r="F101" s="65">
        <v>131.1</v>
      </c>
      <c r="G101" s="65">
        <v>135.69999999999999</v>
      </c>
      <c r="H101" s="65">
        <v>128</v>
      </c>
      <c r="I101" s="65">
        <v>128.5</v>
      </c>
      <c r="J101" s="65">
        <v>123.8</v>
      </c>
      <c r="K101" s="65">
        <v>129.1</v>
      </c>
      <c r="L101" s="65">
        <v>128.80000000000001</v>
      </c>
      <c r="M101" s="65">
        <v>127.4</v>
      </c>
      <c r="N101" s="65">
        <v>129.69999999999999</v>
      </c>
      <c r="O101" s="65">
        <v>129.6</v>
      </c>
      <c r="P101" s="65">
        <v>129.80000000000001</v>
      </c>
      <c r="Q101" s="65">
        <v>132.5</v>
      </c>
      <c r="R101" s="65">
        <v>123.9</v>
      </c>
      <c r="S101" s="65">
        <v>129.19999999999999</v>
      </c>
      <c r="T101" s="65">
        <v>132.9</v>
      </c>
      <c r="U101" s="65">
        <v>129.30000000000001</v>
      </c>
      <c r="V101" s="65">
        <v>130.69999999999999</v>
      </c>
      <c r="W101" s="65">
        <v>132</v>
      </c>
      <c r="X101" s="65">
        <v>133.30000000000001</v>
      </c>
      <c r="Y101" s="65">
        <v>128.9</v>
      </c>
      <c r="Z101" s="65">
        <v>128.9</v>
      </c>
      <c r="AA101" s="65">
        <v>133</v>
      </c>
      <c r="AB101" s="65">
        <v>133.1</v>
      </c>
      <c r="AC101" s="65">
        <v>135.5</v>
      </c>
      <c r="AD101" s="65">
        <v>131.4</v>
      </c>
      <c r="AE101" s="65">
        <v>132.5</v>
      </c>
      <c r="AF101" s="65">
        <v>133</v>
      </c>
      <c r="AG101" s="104"/>
      <c r="AH101" s="47">
        <f t="shared" si="8"/>
        <v>135.69999999999999</v>
      </c>
      <c r="AI101" s="48">
        <f t="shared" si="9"/>
        <v>123.8</v>
      </c>
    </row>
    <row r="102" spans="1:35" ht="15.75" thickBot="1" x14ac:dyDescent="0.3">
      <c r="A102" s="103" t="s">
        <v>110</v>
      </c>
      <c r="B102" s="92">
        <v>65.900000000000006</v>
      </c>
      <c r="C102" s="92">
        <v>66</v>
      </c>
      <c r="D102" s="92">
        <v>66.2</v>
      </c>
      <c r="E102" s="92">
        <v>66.099999999999994</v>
      </c>
      <c r="F102" s="92">
        <v>66.599999999999994</v>
      </c>
      <c r="G102" s="92">
        <v>65.599999999999994</v>
      </c>
      <c r="H102" s="92">
        <v>65.2</v>
      </c>
      <c r="I102" s="92">
        <v>64.3</v>
      </c>
      <c r="J102" s="92">
        <v>63.9</v>
      </c>
      <c r="K102" s="92">
        <v>64.3</v>
      </c>
      <c r="L102" s="92">
        <v>64.7</v>
      </c>
      <c r="M102" s="92">
        <v>64.3</v>
      </c>
      <c r="N102" s="92">
        <v>64.900000000000006</v>
      </c>
      <c r="O102" s="92">
        <v>65.2</v>
      </c>
      <c r="P102" s="92">
        <v>64.2</v>
      </c>
      <c r="Q102" s="92">
        <v>65.2</v>
      </c>
      <c r="R102" s="92">
        <v>65.099999999999994</v>
      </c>
      <c r="S102" s="92">
        <v>64.7</v>
      </c>
      <c r="T102" s="92">
        <v>64.7</v>
      </c>
      <c r="U102" s="92">
        <v>64.8</v>
      </c>
      <c r="V102" s="92">
        <v>65.599999999999994</v>
      </c>
      <c r="W102" s="92">
        <v>65.8</v>
      </c>
      <c r="X102" s="92">
        <v>66</v>
      </c>
      <c r="Y102" s="92">
        <v>66</v>
      </c>
      <c r="Z102" s="92">
        <v>66</v>
      </c>
      <c r="AA102" s="92">
        <v>64.400000000000006</v>
      </c>
      <c r="AB102" s="92">
        <v>65.099999999999994</v>
      </c>
      <c r="AC102" s="92">
        <v>64.8</v>
      </c>
      <c r="AD102" s="92">
        <v>65</v>
      </c>
      <c r="AE102" s="92">
        <v>66.400000000000006</v>
      </c>
      <c r="AF102" s="92">
        <v>66.2</v>
      </c>
      <c r="AG102" s="108"/>
      <c r="AH102" s="47">
        <f t="shared" si="8"/>
        <v>66.599999999999994</v>
      </c>
      <c r="AI102" s="48">
        <f t="shared" si="9"/>
        <v>63.9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8"/>
        <v>0</v>
      </c>
      <c r="AI103" s="48">
        <f t="shared" si="9"/>
        <v>0</v>
      </c>
    </row>
    <row r="104" spans="1:35" ht="15.75" thickBot="1" x14ac:dyDescent="0.3">
      <c r="A104" s="110" t="s">
        <v>112</v>
      </c>
      <c r="B104" s="111">
        <f>SUM(B16,B22,B25:B26,B52,B54:B55,B57,B59,B105:B109,B131,B137,B143,B152,B154,B166,B173,B176:B177,B184,B186,B188,B192:B194,B196:B198,B203,B209:B210,B212:B214,B222,B227)</f>
        <v>150.60000000000002</v>
      </c>
      <c r="C104" s="111">
        <f t="shared" ref="C104:AF104" si="15">SUM(C16,C22,C25:C26,C52,C54:C55,C57,C59,C105:C109,C131,C137,C143,C152,C154,C166,C173,C176:C177,C184,C186,C188,C192:C194,C196:C198,C203,C209:C210,C212:C214,C222,C227)</f>
        <v>133.63999999999999</v>
      </c>
      <c r="D104" s="111">
        <f t="shared" si="15"/>
        <v>131.74</v>
      </c>
      <c r="E104" s="111">
        <f t="shared" si="15"/>
        <v>124.73999999999998</v>
      </c>
      <c r="F104" s="111">
        <f t="shared" si="15"/>
        <v>135.54</v>
      </c>
      <c r="G104" s="111">
        <f t="shared" si="15"/>
        <v>169.34</v>
      </c>
      <c r="H104" s="111">
        <f t="shared" si="15"/>
        <v>220.94</v>
      </c>
      <c r="I104" s="111">
        <f t="shared" si="15"/>
        <v>259.23999999999995</v>
      </c>
      <c r="J104" s="111">
        <f t="shared" si="15"/>
        <v>307.74</v>
      </c>
      <c r="K104" s="111">
        <f t="shared" si="15"/>
        <v>369.73999999999995</v>
      </c>
      <c r="L104" s="111">
        <f t="shared" si="15"/>
        <v>393.64000000000004</v>
      </c>
      <c r="M104" s="111">
        <f t="shared" si="15"/>
        <v>392.23999999999995</v>
      </c>
      <c r="N104" s="111">
        <f t="shared" si="15"/>
        <v>362.03999999999996</v>
      </c>
      <c r="O104" s="111">
        <f t="shared" si="15"/>
        <v>359.44</v>
      </c>
      <c r="P104" s="111">
        <v>42</v>
      </c>
      <c r="Q104" s="111">
        <f t="shared" si="15"/>
        <v>317.3</v>
      </c>
      <c r="R104" s="111">
        <f t="shared" si="15"/>
        <v>270.60000000000002</v>
      </c>
      <c r="S104" s="111">
        <f t="shared" si="15"/>
        <v>264.39999999999998</v>
      </c>
      <c r="T104" s="111">
        <f t="shared" si="15"/>
        <v>273.7</v>
      </c>
      <c r="U104" s="111">
        <f t="shared" si="15"/>
        <v>269.70000000000005</v>
      </c>
      <c r="V104" s="111">
        <f t="shared" si="15"/>
        <v>291.60000000000002</v>
      </c>
      <c r="W104" s="111">
        <f t="shared" si="15"/>
        <v>318.60000000000002</v>
      </c>
      <c r="X104" s="111">
        <f t="shared" si="15"/>
        <v>361.7</v>
      </c>
      <c r="Y104" s="111">
        <f t="shared" si="15"/>
        <v>383.09999999999991</v>
      </c>
      <c r="Z104" s="111">
        <f t="shared" si="15"/>
        <v>388.7</v>
      </c>
      <c r="AA104" s="111">
        <f t="shared" si="15"/>
        <v>397.2</v>
      </c>
      <c r="AB104" s="111">
        <f t="shared" si="15"/>
        <v>368.50000000000006</v>
      </c>
      <c r="AC104" s="111">
        <f t="shared" si="15"/>
        <v>353.9</v>
      </c>
      <c r="AD104" s="111">
        <f t="shared" si="15"/>
        <v>329.30000000000007</v>
      </c>
      <c r="AE104" s="111">
        <f t="shared" si="15"/>
        <v>245.39999999999998</v>
      </c>
      <c r="AF104" s="111">
        <f t="shared" si="15"/>
        <v>184.7</v>
      </c>
      <c r="AG104" s="112"/>
      <c r="AH104" s="47">
        <f t="shared" si="8"/>
        <v>397.2</v>
      </c>
      <c r="AI104" s="48">
        <f t="shared" si="9"/>
        <v>42</v>
      </c>
    </row>
    <row r="105" spans="1:35" x14ac:dyDescent="0.25">
      <c r="A105" s="100" t="s">
        <v>113</v>
      </c>
      <c r="B105" s="113">
        <v>-17</v>
      </c>
      <c r="C105" s="113">
        <v>-13</v>
      </c>
      <c r="D105" s="113">
        <v>-15</v>
      </c>
      <c r="E105" s="113">
        <v>-10.9</v>
      </c>
      <c r="F105" s="113">
        <v>-13.3</v>
      </c>
      <c r="G105" s="113">
        <v>-9.1</v>
      </c>
      <c r="H105" s="113">
        <v>14.1</v>
      </c>
      <c r="I105" s="113">
        <v>11.1</v>
      </c>
      <c r="J105" s="113">
        <v>26.2</v>
      </c>
      <c r="K105" s="113">
        <v>38.700000000000003</v>
      </c>
      <c r="L105" s="113">
        <v>28.9</v>
      </c>
      <c r="M105" s="113">
        <v>21.8</v>
      </c>
      <c r="N105" s="113">
        <v>22.2</v>
      </c>
      <c r="O105" s="113">
        <v>18.2</v>
      </c>
      <c r="P105" s="113">
        <v>20.6</v>
      </c>
      <c r="Q105" s="113">
        <v>27.4</v>
      </c>
      <c r="R105" s="113">
        <v>12.7</v>
      </c>
      <c r="S105" s="113">
        <v>9.3000000000000007</v>
      </c>
      <c r="T105" s="113">
        <v>10.6</v>
      </c>
      <c r="U105" s="113">
        <v>12.5</v>
      </c>
      <c r="V105" s="113">
        <v>15.8</v>
      </c>
      <c r="W105" s="113">
        <v>17.8</v>
      </c>
      <c r="X105" s="113">
        <v>42.5</v>
      </c>
      <c r="Y105" s="113">
        <v>42.1</v>
      </c>
      <c r="Z105" s="113">
        <v>40.200000000000003</v>
      </c>
      <c r="AA105" s="113">
        <v>43.4</v>
      </c>
      <c r="AB105" s="113">
        <v>38.299999999999997</v>
      </c>
      <c r="AC105" s="113">
        <v>43.4</v>
      </c>
      <c r="AD105" s="113">
        <v>35.5</v>
      </c>
      <c r="AE105" s="113">
        <v>15.1</v>
      </c>
      <c r="AF105" s="113">
        <v>-6</v>
      </c>
      <c r="AG105" s="114">
        <v>75</v>
      </c>
      <c r="AH105" s="47">
        <f t="shared" si="8"/>
        <v>43.4</v>
      </c>
      <c r="AI105" s="48">
        <f t="shared" si="9"/>
        <v>-17</v>
      </c>
    </row>
    <row r="106" spans="1:35" x14ac:dyDescent="0.25">
      <c r="A106" s="103" t="s">
        <v>114</v>
      </c>
      <c r="B106" s="115">
        <v>-18.8</v>
      </c>
      <c r="C106" s="115">
        <v>-13.5</v>
      </c>
      <c r="D106" s="115">
        <v>-14.6</v>
      </c>
      <c r="E106" s="115">
        <v>-12.2</v>
      </c>
      <c r="F106" s="115">
        <v>-13.4</v>
      </c>
      <c r="G106" s="115">
        <v>-9.1</v>
      </c>
      <c r="H106" s="115">
        <v>23.1</v>
      </c>
      <c r="I106" s="115">
        <v>19.7</v>
      </c>
      <c r="J106" s="115">
        <v>40.9</v>
      </c>
      <c r="K106" s="115">
        <v>49.7</v>
      </c>
      <c r="L106" s="115">
        <v>36</v>
      </c>
      <c r="M106" s="115">
        <v>23.4</v>
      </c>
      <c r="N106" s="115">
        <v>25.5</v>
      </c>
      <c r="O106" s="115">
        <v>19.399999999999999</v>
      </c>
      <c r="P106" s="115">
        <v>29.8</v>
      </c>
      <c r="Q106" s="115">
        <v>41.2</v>
      </c>
      <c r="R106" s="115">
        <v>22.2</v>
      </c>
      <c r="S106" s="115">
        <v>16.5</v>
      </c>
      <c r="T106" s="115">
        <v>19</v>
      </c>
      <c r="U106" s="115">
        <v>22</v>
      </c>
      <c r="V106" s="115">
        <v>19.899999999999999</v>
      </c>
      <c r="W106" s="115">
        <v>20</v>
      </c>
      <c r="X106" s="115">
        <v>54.5</v>
      </c>
      <c r="Y106" s="115">
        <v>53.3</v>
      </c>
      <c r="Z106" s="115">
        <v>49.7</v>
      </c>
      <c r="AA106" s="115">
        <v>53.3</v>
      </c>
      <c r="AB106" s="115">
        <v>47.5</v>
      </c>
      <c r="AC106" s="115">
        <v>54.9</v>
      </c>
      <c r="AD106" s="115">
        <v>49.9</v>
      </c>
      <c r="AE106" s="115">
        <v>21</v>
      </c>
      <c r="AF106" s="115">
        <v>-3.4</v>
      </c>
      <c r="AG106" s="114">
        <v>240</v>
      </c>
      <c r="AH106" s="47">
        <f t="shared" si="8"/>
        <v>54.9</v>
      </c>
      <c r="AI106" s="48">
        <f t="shared" si="9"/>
        <v>-18.8</v>
      </c>
    </row>
    <row r="107" spans="1:35" x14ac:dyDescent="0.25">
      <c r="A107" s="103" t="s">
        <v>115</v>
      </c>
      <c r="B107" s="115">
        <f>-12.6-13.8</f>
        <v>-26.4</v>
      </c>
      <c r="C107" s="115">
        <f>-18.3-19.8</f>
        <v>-38.1</v>
      </c>
      <c r="D107" s="115">
        <f>-19-20</f>
        <v>-39</v>
      </c>
      <c r="E107" s="115">
        <v>-43</v>
      </c>
      <c r="F107" s="115">
        <f>-16-17</f>
        <v>-33</v>
      </c>
      <c r="G107" s="115">
        <v>-25.4</v>
      </c>
      <c r="H107" s="115">
        <v>-32.299999999999997</v>
      </c>
      <c r="I107" s="115">
        <v>-4.0999999999999996</v>
      </c>
      <c r="J107" s="115">
        <v>0</v>
      </c>
      <c r="K107" s="115">
        <v>32</v>
      </c>
      <c r="L107" s="115">
        <v>52.3</v>
      </c>
      <c r="M107" s="115">
        <f>36+37.5</f>
        <v>73.5</v>
      </c>
      <c r="N107" s="115">
        <v>64</v>
      </c>
      <c r="O107" s="115">
        <v>62.4</v>
      </c>
      <c r="P107" s="115">
        <f>19+18</f>
        <v>37</v>
      </c>
      <c r="Q107" s="115">
        <v>16.5</v>
      </c>
      <c r="R107" s="115">
        <v>-13</v>
      </c>
      <c r="S107" s="115">
        <v>-14.4</v>
      </c>
      <c r="T107" s="115">
        <v>-13</v>
      </c>
      <c r="U107" s="115">
        <v>-7.5</v>
      </c>
      <c r="V107" s="115">
        <v>11.5</v>
      </c>
      <c r="W107" s="115">
        <v>36.9</v>
      </c>
      <c r="X107" s="115">
        <v>11.6</v>
      </c>
      <c r="Y107" s="115">
        <v>20.2</v>
      </c>
      <c r="Z107" s="115">
        <v>50</v>
      </c>
      <c r="AA107" s="115">
        <v>60</v>
      </c>
      <c r="AB107" s="115">
        <f>25.1+25.1</f>
        <v>50.2</v>
      </c>
      <c r="AC107" s="115">
        <v>40</v>
      </c>
      <c r="AD107" s="115">
        <v>0</v>
      </c>
      <c r="AE107" s="115">
        <f>-5.2-6.1</f>
        <v>-11.3</v>
      </c>
      <c r="AF107" s="115">
        <v>-22</v>
      </c>
      <c r="AG107" s="114">
        <v>240</v>
      </c>
      <c r="AH107" s="47">
        <f t="shared" si="8"/>
        <v>73.5</v>
      </c>
      <c r="AI107" s="48">
        <f t="shared" si="9"/>
        <v>-43</v>
      </c>
    </row>
    <row r="108" spans="1:35" x14ac:dyDescent="0.25">
      <c r="A108" s="103" t="s">
        <v>116</v>
      </c>
      <c r="B108" s="115">
        <v>-1.3</v>
      </c>
      <c r="C108" s="115">
        <v>-6.6</v>
      </c>
      <c r="D108" s="115">
        <v>-4.7</v>
      </c>
      <c r="E108" s="115">
        <v>-4.7</v>
      </c>
      <c r="F108" s="115">
        <v>-3.8</v>
      </c>
      <c r="G108" s="115">
        <v>-2</v>
      </c>
      <c r="H108" s="115">
        <v>0.6</v>
      </c>
      <c r="I108" s="115">
        <v>4.0999999999999996</v>
      </c>
      <c r="J108" s="115">
        <v>12</v>
      </c>
      <c r="K108" s="115">
        <v>24</v>
      </c>
      <c r="L108" s="115">
        <v>35.6</v>
      </c>
      <c r="M108" s="115">
        <v>29.6</v>
      </c>
      <c r="N108" s="115">
        <v>27.8</v>
      </c>
      <c r="O108" s="115">
        <v>26.1</v>
      </c>
      <c r="P108" s="115">
        <v>30.4</v>
      </c>
      <c r="Q108" s="115">
        <v>28.7</v>
      </c>
      <c r="R108" s="115">
        <v>26.6</v>
      </c>
      <c r="S108" s="115">
        <v>25</v>
      </c>
      <c r="T108" s="115">
        <v>27.2</v>
      </c>
      <c r="U108" s="115">
        <v>20</v>
      </c>
      <c r="V108" s="115">
        <v>22.3</v>
      </c>
      <c r="W108" s="115">
        <v>28.4</v>
      </c>
      <c r="X108" s="115">
        <v>51.3</v>
      </c>
      <c r="Y108" s="115">
        <v>53.4</v>
      </c>
      <c r="Z108" s="115">
        <v>38.200000000000003</v>
      </c>
      <c r="AA108" s="115">
        <v>34.200000000000003</v>
      </c>
      <c r="AB108" s="115">
        <v>33.6</v>
      </c>
      <c r="AC108" s="115">
        <v>21.8</v>
      </c>
      <c r="AD108" s="115">
        <v>12.3</v>
      </c>
      <c r="AE108" s="115">
        <v>5.2</v>
      </c>
      <c r="AF108" s="115">
        <v>0.7</v>
      </c>
      <c r="AG108" s="114">
        <v>60</v>
      </c>
      <c r="AH108" s="47">
        <f t="shared" si="8"/>
        <v>53.4</v>
      </c>
      <c r="AI108" s="48">
        <f t="shared" si="9"/>
        <v>-6.6</v>
      </c>
    </row>
    <row r="109" spans="1:35" x14ac:dyDescent="0.25">
      <c r="A109" s="116" t="s">
        <v>117</v>
      </c>
      <c r="B109" s="117">
        <v>99.7</v>
      </c>
      <c r="C109" s="117">
        <v>89.7</v>
      </c>
      <c r="D109" s="117">
        <v>89.5</v>
      </c>
      <c r="E109" s="117">
        <v>79.8</v>
      </c>
      <c r="F109" s="117">
        <v>83.3</v>
      </c>
      <c r="G109" s="117">
        <v>98.5</v>
      </c>
      <c r="H109" s="117">
        <v>99</v>
      </c>
      <c r="I109" s="117">
        <v>112</v>
      </c>
      <c r="J109" s="117">
        <v>110.9</v>
      </c>
      <c r="K109" s="117">
        <v>107.9</v>
      </c>
      <c r="L109" s="117">
        <v>123.4</v>
      </c>
      <c r="M109" s="117">
        <v>124.6</v>
      </c>
      <c r="N109" s="117">
        <v>102.2</v>
      </c>
      <c r="O109" s="117">
        <v>112</v>
      </c>
      <c r="P109" s="117">
        <v>98.9</v>
      </c>
      <c r="Q109" s="117">
        <v>86</v>
      </c>
      <c r="R109" s="117">
        <v>104</v>
      </c>
      <c r="S109" s="117">
        <v>109.9</v>
      </c>
      <c r="T109" s="117">
        <v>111.8</v>
      </c>
      <c r="U109" s="117">
        <v>108.6</v>
      </c>
      <c r="V109" s="117">
        <v>106.2</v>
      </c>
      <c r="W109" s="117">
        <v>101.5</v>
      </c>
      <c r="X109" s="117">
        <v>87.8</v>
      </c>
      <c r="Y109" s="117">
        <v>100.1</v>
      </c>
      <c r="Z109" s="117">
        <v>95.5</v>
      </c>
      <c r="AA109" s="117">
        <v>91.3</v>
      </c>
      <c r="AB109" s="117">
        <v>83.8</v>
      </c>
      <c r="AC109" s="117">
        <v>78.7</v>
      </c>
      <c r="AD109" s="117">
        <v>116.5</v>
      </c>
      <c r="AE109" s="117">
        <v>99.3</v>
      </c>
      <c r="AF109" s="117">
        <v>98.2</v>
      </c>
      <c r="AG109" s="118">
        <v>120</v>
      </c>
      <c r="AH109" s="47">
        <f t="shared" si="8"/>
        <v>124.6</v>
      </c>
      <c r="AI109" s="48">
        <f t="shared" si="9"/>
        <v>78.7</v>
      </c>
    </row>
    <row r="110" spans="1:35" x14ac:dyDescent="0.25">
      <c r="A110" s="116" t="s">
        <v>118</v>
      </c>
      <c r="B110" s="117">
        <v>100</v>
      </c>
      <c r="C110" s="117">
        <v>95.9</v>
      </c>
      <c r="D110" s="117">
        <v>93.4</v>
      </c>
      <c r="E110" s="117">
        <v>87.3</v>
      </c>
      <c r="F110" s="117">
        <v>88.8</v>
      </c>
      <c r="G110" s="117">
        <v>95.9</v>
      </c>
      <c r="H110" s="117">
        <v>102.5</v>
      </c>
      <c r="I110" s="117">
        <v>100.2</v>
      </c>
      <c r="J110" s="117">
        <v>88.9</v>
      </c>
      <c r="K110" s="117">
        <v>89</v>
      </c>
      <c r="L110" s="117">
        <v>64.5</v>
      </c>
      <c r="M110" s="117">
        <v>95.3</v>
      </c>
      <c r="N110" s="117">
        <v>88</v>
      </c>
      <c r="O110" s="117">
        <v>85.5</v>
      </c>
      <c r="P110" s="117">
        <v>107</v>
      </c>
      <c r="Q110" s="117">
        <v>91.2</v>
      </c>
      <c r="R110" s="117">
        <v>87.8</v>
      </c>
      <c r="S110" s="117">
        <v>100.4</v>
      </c>
      <c r="T110" s="117">
        <v>101.1</v>
      </c>
      <c r="U110" s="117">
        <v>94.6</v>
      </c>
      <c r="V110" s="117">
        <v>87.2</v>
      </c>
      <c r="W110" s="117">
        <v>70.959999999999994</v>
      </c>
      <c r="X110" s="117">
        <v>49</v>
      </c>
      <c r="Y110" s="117">
        <v>60.7</v>
      </c>
      <c r="Z110" s="117">
        <v>92.2</v>
      </c>
      <c r="AA110" s="117">
        <v>100</v>
      </c>
      <c r="AB110" s="117">
        <v>98.2</v>
      </c>
      <c r="AC110" s="117">
        <v>94.1</v>
      </c>
      <c r="AD110" s="117">
        <v>92.8</v>
      </c>
      <c r="AE110" s="117">
        <v>89</v>
      </c>
      <c r="AF110" s="117">
        <v>99.2</v>
      </c>
      <c r="AG110" s="118"/>
      <c r="AH110" s="47">
        <f t="shared" si="8"/>
        <v>107</v>
      </c>
      <c r="AI110" s="48">
        <f t="shared" si="9"/>
        <v>49</v>
      </c>
    </row>
    <row r="111" spans="1:35" x14ac:dyDescent="0.25">
      <c r="A111" s="116" t="s">
        <v>119</v>
      </c>
      <c r="B111" s="117">
        <v>42.3</v>
      </c>
      <c r="C111" s="117">
        <v>93.1</v>
      </c>
      <c r="D111" s="117">
        <v>39.5</v>
      </c>
      <c r="E111" s="117">
        <v>38.799999999999997</v>
      </c>
      <c r="F111" s="117">
        <v>40.200000000000003</v>
      </c>
      <c r="G111" s="117">
        <v>33.1</v>
      </c>
      <c r="H111" s="117">
        <v>17.600000000000001</v>
      </c>
      <c r="I111" s="117">
        <v>20.7</v>
      </c>
      <c r="J111" s="117">
        <v>14</v>
      </c>
      <c r="K111" s="117">
        <v>8</v>
      </c>
      <c r="L111" s="117">
        <v>16.8</v>
      </c>
      <c r="M111" s="117">
        <v>25.1</v>
      </c>
      <c r="N111" s="117">
        <v>22.4</v>
      </c>
      <c r="O111" s="117">
        <v>20.399999999999999</v>
      </c>
      <c r="P111" s="117">
        <v>16.100000000000001</v>
      </c>
      <c r="Q111" s="117">
        <v>9.1</v>
      </c>
      <c r="R111" s="117">
        <v>22.3</v>
      </c>
      <c r="S111" s="117">
        <v>18.5</v>
      </c>
      <c r="T111" s="117">
        <v>18.399999999999999</v>
      </c>
      <c r="U111" s="117">
        <v>16.399999999999999</v>
      </c>
      <c r="V111" s="117">
        <v>10.9</v>
      </c>
      <c r="W111" s="117">
        <v>10.7</v>
      </c>
      <c r="X111" s="117"/>
      <c r="Y111" s="117">
        <v>-2.5</v>
      </c>
      <c r="Z111" s="117">
        <v>8.1999999999999993</v>
      </c>
      <c r="AA111" s="117"/>
      <c r="AB111" s="117">
        <v>14.4</v>
      </c>
      <c r="AC111" s="117">
        <v>13</v>
      </c>
      <c r="AD111" s="117">
        <v>15.3</v>
      </c>
      <c r="AE111" s="117">
        <v>22.5</v>
      </c>
      <c r="AF111" s="117">
        <v>30.6</v>
      </c>
      <c r="AG111" s="119"/>
      <c r="AH111" s="47">
        <f t="shared" si="8"/>
        <v>93.1</v>
      </c>
      <c r="AI111" s="48">
        <f t="shared" si="9"/>
        <v>-2.5</v>
      </c>
    </row>
    <row r="112" spans="1:35" x14ac:dyDescent="0.25">
      <c r="A112" s="120" t="s">
        <v>120</v>
      </c>
      <c r="B112" s="106">
        <v>18.899999999999999</v>
      </c>
      <c r="C112" s="106">
        <v>22.8</v>
      </c>
      <c r="D112" s="106">
        <v>26.8</v>
      </c>
      <c r="E112" s="106">
        <v>29.4</v>
      </c>
      <c r="F112" s="106">
        <v>30</v>
      </c>
      <c r="G112" s="106">
        <v>21.9</v>
      </c>
      <c r="H112" s="106">
        <v>3.1</v>
      </c>
      <c r="I112" s="106">
        <v>-14.9</v>
      </c>
      <c r="J112" s="106">
        <v>-29.6</v>
      </c>
      <c r="K112" s="106">
        <v>-38</v>
      </c>
      <c r="L112" s="106">
        <v>-36.1</v>
      </c>
      <c r="M112" s="106">
        <v>-29.6</v>
      </c>
      <c r="N112" s="106">
        <v>-21.5</v>
      </c>
      <c r="O112" s="106">
        <v>-11.5</v>
      </c>
      <c r="P112" s="106">
        <v>-1.3</v>
      </c>
      <c r="Q112" s="106">
        <v>4</v>
      </c>
      <c r="R112" s="106">
        <v>1.5</v>
      </c>
      <c r="S112" s="106">
        <v>0</v>
      </c>
      <c r="T112" s="106">
        <v>-3.2</v>
      </c>
      <c r="U112" s="106">
        <v>-12.6</v>
      </c>
      <c r="V112" s="106">
        <v>-10.6</v>
      </c>
      <c r="W112" s="106">
        <v>-34.9</v>
      </c>
      <c r="X112" s="106">
        <v>-62.3</v>
      </c>
      <c r="Y112" s="106">
        <v>51.2</v>
      </c>
      <c r="Z112" s="106">
        <v>-34.700000000000003</v>
      </c>
      <c r="AA112" s="106">
        <v>-25.41</v>
      </c>
      <c r="AB112" s="106">
        <v>-15.1</v>
      </c>
      <c r="AC112" s="106">
        <v>-8.3000000000000007</v>
      </c>
      <c r="AD112" s="106">
        <v>0</v>
      </c>
      <c r="AE112" s="106">
        <v>22.4</v>
      </c>
      <c r="AF112" s="106">
        <v>24.5</v>
      </c>
      <c r="AG112" s="119"/>
      <c r="AH112" s="47">
        <f t="shared" si="8"/>
        <v>51.2</v>
      </c>
      <c r="AI112" s="48">
        <f t="shared" si="9"/>
        <v>-62.3</v>
      </c>
    </row>
    <row r="113" spans="1:37" ht="15.75" thickBot="1" x14ac:dyDescent="0.3">
      <c r="A113" s="120" t="s">
        <v>121</v>
      </c>
      <c r="B113" s="106">
        <v>0</v>
      </c>
      <c r="C113" s="106">
        <v>11</v>
      </c>
      <c r="D113" s="106">
        <v>10.199999999999999</v>
      </c>
      <c r="E113" s="106">
        <v>14</v>
      </c>
      <c r="F113" s="106">
        <v>7.5</v>
      </c>
      <c r="G113" s="106">
        <v>2.9</v>
      </c>
      <c r="H113" s="106">
        <v>20.5</v>
      </c>
      <c r="I113" s="106">
        <v>-2.9</v>
      </c>
      <c r="J113" s="106">
        <v>0</v>
      </c>
      <c r="K113" s="106">
        <v>-21.7</v>
      </c>
      <c r="L113" s="106">
        <v>-25.3</v>
      </c>
      <c r="M113" s="106">
        <v>-55.5</v>
      </c>
      <c r="N113" s="106">
        <v>-53.2</v>
      </c>
      <c r="O113" s="106">
        <v>-51</v>
      </c>
      <c r="P113" s="106">
        <v>-21.3</v>
      </c>
      <c r="Q113" s="106">
        <v>1.4</v>
      </c>
      <c r="R113" s="106">
        <v>-2.4</v>
      </c>
      <c r="S113" s="106">
        <v>1.4</v>
      </c>
      <c r="T113" s="106">
        <v>3</v>
      </c>
      <c r="U113" s="106">
        <v>0</v>
      </c>
      <c r="V113" s="106">
        <v>-0.7</v>
      </c>
      <c r="W113" s="106">
        <v>-23.9</v>
      </c>
      <c r="X113" s="106">
        <v>-2.8</v>
      </c>
      <c r="Y113" s="106">
        <v>-11.9</v>
      </c>
      <c r="Z113" s="106">
        <v>-31.3</v>
      </c>
      <c r="AA113" s="106">
        <v>-29</v>
      </c>
      <c r="AB113" s="106">
        <v>-23.4</v>
      </c>
      <c r="AC113" s="106">
        <v>-15.8</v>
      </c>
      <c r="AD113" s="106">
        <v>2.5</v>
      </c>
      <c r="AE113" s="106">
        <v>3.7</v>
      </c>
      <c r="AF113" s="106">
        <v>2.4</v>
      </c>
      <c r="AG113" s="119"/>
      <c r="AH113" s="47">
        <f t="shared" si="8"/>
        <v>20.5</v>
      </c>
      <c r="AI113" s="48">
        <f t="shared" si="9"/>
        <v>-55.5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6">SUM(B115:B219)</f>
        <v>0</v>
      </c>
      <c r="C220" s="136">
        <f t="shared" si="16"/>
        <v>0</v>
      </c>
      <c r="D220" s="136">
        <f t="shared" si="16"/>
        <v>0</v>
      </c>
      <c r="E220" s="136">
        <f t="shared" si="16"/>
        <v>0</v>
      </c>
      <c r="F220" s="136">
        <f t="shared" si="16"/>
        <v>0</v>
      </c>
      <c r="G220" s="136">
        <f t="shared" si="16"/>
        <v>0</v>
      </c>
      <c r="H220" s="136">
        <f t="shared" si="16"/>
        <v>0</v>
      </c>
      <c r="I220" s="136">
        <f t="shared" si="16"/>
        <v>0</v>
      </c>
      <c r="J220" s="136">
        <f t="shared" si="16"/>
        <v>0</v>
      </c>
      <c r="K220" s="136">
        <f t="shared" si="16"/>
        <v>0</v>
      </c>
      <c r="L220" s="136">
        <f t="shared" si="16"/>
        <v>0</v>
      </c>
      <c r="M220" s="136">
        <f t="shared" si="16"/>
        <v>0</v>
      </c>
      <c r="N220" s="136">
        <f t="shared" si="16"/>
        <v>0</v>
      </c>
      <c r="O220" s="136">
        <f t="shared" si="16"/>
        <v>0</v>
      </c>
      <c r="P220" s="136">
        <f t="shared" si="16"/>
        <v>0</v>
      </c>
      <c r="Q220" s="136">
        <f t="shared" si="16"/>
        <v>0</v>
      </c>
      <c r="R220" s="136">
        <f t="shared" si="16"/>
        <v>0</v>
      </c>
      <c r="S220" s="136">
        <f t="shared" si="16"/>
        <v>0</v>
      </c>
      <c r="T220" s="136">
        <f t="shared" si="16"/>
        <v>0</v>
      </c>
      <c r="U220" s="136">
        <f t="shared" si="16"/>
        <v>0</v>
      </c>
      <c r="V220" s="136">
        <f t="shared" si="16"/>
        <v>0</v>
      </c>
      <c r="W220" s="136">
        <f t="shared" si="16"/>
        <v>0</v>
      </c>
      <c r="X220" s="136">
        <f t="shared" si="16"/>
        <v>0</v>
      </c>
      <c r="Y220" s="136">
        <f t="shared" si="16"/>
        <v>0</v>
      </c>
      <c r="Z220" s="136">
        <f t="shared" si="16"/>
        <v>0</v>
      </c>
      <c r="AA220" s="136">
        <f t="shared" si="16"/>
        <v>0</v>
      </c>
      <c r="AB220" s="136">
        <f t="shared" si="16"/>
        <v>0</v>
      </c>
      <c r="AC220" s="136">
        <f t="shared" si="16"/>
        <v>0</v>
      </c>
      <c r="AD220" s="136">
        <f t="shared" si="16"/>
        <v>0</v>
      </c>
      <c r="AE220" s="136">
        <f t="shared" si="16"/>
        <v>0</v>
      </c>
      <c r="AF220" s="137">
        <f t="shared" si="16"/>
        <v>0</v>
      </c>
      <c r="AG220" s="138">
        <f t="shared" si="16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7">AF222</f>
        <v>0</v>
      </c>
      <c r="C222" s="140">
        <v>0.3</v>
      </c>
      <c r="D222" s="140">
        <f t="shared" ref="D222:P227" si="18">C222</f>
        <v>0.3</v>
      </c>
      <c r="E222" s="140">
        <f t="shared" si="18"/>
        <v>0.3</v>
      </c>
      <c r="F222" s="140">
        <f t="shared" si="18"/>
        <v>0.3</v>
      </c>
      <c r="G222" s="140">
        <f t="shared" si="18"/>
        <v>0.3</v>
      </c>
      <c r="H222" s="140">
        <f t="shared" si="18"/>
        <v>0.3</v>
      </c>
      <c r="I222" s="140">
        <f t="shared" si="18"/>
        <v>0.3</v>
      </c>
      <c r="J222" s="140">
        <f t="shared" si="18"/>
        <v>0.3</v>
      </c>
      <c r="K222" s="140">
        <f t="shared" si="18"/>
        <v>0.3</v>
      </c>
      <c r="L222" s="140">
        <f t="shared" si="18"/>
        <v>0.3</v>
      </c>
      <c r="M222" s="140">
        <f t="shared" si="18"/>
        <v>0.3</v>
      </c>
      <c r="N222" s="140">
        <f t="shared" si="18"/>
        <v>0.3</v>
      </c>
      <c r="O222" s="140">
        <f t="shared" si="18"/>
        <v>0.3</v>
      </c>
      <c r="P222" s="140">
        <f t="shared" si="18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7"/>
        <v>0</v>
      </c>
      <c r="C223" s="128">
        <v>0.4</v>
      </c>
      <c r="D223" s="128">
        <f t="shared" si="18"/>
        <v>0.4</v>
      </c>
      <c r="E223" s="128">
        <f t="shared" si="18"/>
        <v>0.4</v>
      </c>
      <c r="F223" s="128">
        <f t="shared" si="18"/>
        <v>0.4</v>
      </c>
      <c r="G223" s="128">
        <f t="shared" si="18"/>
        <v>0.4</v>
      </c>
      <c r="H223" s="128">
        <f t="shared" si="18"/>
        <v>0.4</v>
      </c>
      <c r="I223" s="128">
        <f t="shared" si="18"/>
        <v>0.4</v>
      </c>
      <c r="J223" s="128">
        <f t="shared" si="18"/>
        <v>0.4</v>
      </c>
      <c r="K223" s="128">
        <f t="shared" si="18"/>
        <v>0.4</v>
      </c>
      <c r="L223" s="128">
        <f t="shared" si="18"/>
        <v>0.4</v>
      </c>
      <c r="M223" s="128">
        <f t="shared" si="18"/>
        <v>0.4</v>
      </c>
      <c r="N223" s="128">
        <f t="shared" si="18"/>
        <v>0.4</v>
      </c>
      <c r="O223" s="128">
        <f t="shared" si="18"/>
        <v>0.4</v>
      </c>
      <c r="P223" s="128">
        <f t="shared" si="18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7"/>
        <v>0</v>
      </c>
      <c r="C224" s="128">
        <v>1.5</v>
      </c>
      <c r="D224" s="128">
        <f t="shared" si="18"/>
        <v>1.5</v>
      </c>
      <c r="E224" s="128">
        <f t="shared" si="18"/>
        <v>1.5</v>
      </c>
      <c r="F224" s="128">
        <f t="shared" si="18"/>
        <v>1.5</v>
      </c>
      <c r="G224" s="128">
        <f t="shared" si="18"/>
        <v>1.5</v>
      </c>
      <c r="H224" s="128">
        <f t="shared" si="18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18"/>
        <v>1.5</v>
      </c>
      <c r="K224" s="128">
        <f t="shared" ca="1" si="18"/>
        <v>1.5</v>
      </c>
      <c r="L224" s="128">
        <f t="shared" ca="1" si="18"/>
        <v>1.5</v>
      </c>
      <c r="M224" s="128">
        <f t="shared" ca="1" si="18"/>
        <v>1.5</v>
      </c>
      <c r="N224" s="128">
        <f t="shared" ca="1" si="18"/>
        <v>1.5</v>
      </c>
      <c r="O224" s="128">
        <f t="shared" ca="1" si="18"/>
        <v>1.5</v>
      </c>
      <c r="P224" s="128">
        <f t="shared" ca="1" si="18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7"/>
        <v>0</v>
      </c>
      <c r="C225" s="128">
        <v>0.3</v>
      </c>
      <c r="D225" s="128">
        <f t="shared" si="18"/>
        <v>0.3</v>
      </c>
      <c r="E225" s="128">
        <f t="shared" si="18"/>
        <v>0.3</v>
      </c>
      <c r="F225" s="128">
        <f t="shared" si="18"/>
        <v>0.3</v>
      </c>
      <c r="G225" s="128">
        <f t="shared" si="18"/>
        <v>0.3</v>
      </c>
      <c r="H225" s="128">
        <f t="shared" si="18"/>
        <v>0.3</v>
      </c>
      <c r="I225" s="128">
        <f t="shared" si="18"/>
        <v>0.3</v>
      </c>
      <c r="J225" s="128">
        <f t="shared" si="18"/>
        <v>0.3</v>
      </c>
      <c r="K225" s="128">
        <f t="shared" si="18"/>
        <v>0.3</v>
      </c>
      <c r="L225" s="128">
        <f t="shared" si="18"/>
        <v>0.3</v>
      </c>
      <c r="M225" s="128">
        <f t="shared" si="18"/>
        <v>0.3</v>
      </c>
      <c r="N225" s="128">
        <f t="shared" si="18"/>
        <v>0.3</v>
      </c>
      <c r="O225" s="128">
        <f t="shared" si="18"/>
        <v>0.3</v>
      </c>
      <c r="P225" s="128">
        <f t="shared" si="18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7"/>
        <v>0</v>
      </c>
      <c r="C226" s="128">
        <v>0.4</v>
      </c>
      <c r="D226" s="128">
        <f t="shared" si="18"/>
        <v>0.4</v>
      </c>
      <c r="E226" s="128">
        <f t="shared" si="18"/>
        <v>0.4</v>
      </c>
      <c r="F226" s="128">
        <f t="shared" si="18"/>
        <v>0.4</v>
      </c>
      <c r="G226" s="128">
        <f t="shared" si="18"/>
        <v>0.4</v>
      </c>
      <c r="H226" s="128">
        <f t="shared" si="18"/>
        <v>0.4</v>
      </c>
      <c r="I226" s="128">
        <f t="shared" si="18"/>
        <v>0.4</v>
      </c>
      <c r="J226" s="128">
        <f t="shared" si="18"/>
        <v>0.4</v>
      </c>
      <c r="K226" s="128">
        <f t="shared" si="18"/>
        <v>0.4</v>
      </c>
      <c r="L226" s="128">
        <f t="shared" si="18"/>
        <v>0.4</v>
      </c>
      <c r="M226" s="128">
        <f t="shared" si="18"/>
        <v>0.4</v>
      </c>
      <c r="N226" s="128">
        <f t="shared" si="18"/>
        <v>0.4</v>
      </c>
      <c r="O226" s="128">
        <f t="shared" si="18"/>
        <v>0.4</v>
      </c>
      <c r="P226" s="128">
        <f t="shared" si="18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7"/>
        <v>0</v>
      </c>
      <c r="C227" s="132">
        <v>0.64</v>
      </c>
      <c r="D227" s="132">
        <f t="shared" si="18"/>
        <v>0.64</v>
      </c>
      <c r="E227" s="132">
        <f t="shared" si="18"/>
        <v>0.64</v>
      </c>
      <c r="F227" s="132">
        <f t="shared" si="18"/>
        <v>0.64</v>
      </c>
      <c r="G227" s="132">
        <f t="shared" si="18"/>
        <v>0.64</v>
      </c>
      <c r="H227" s="132">
        <f t="shared" si="18"/>
        <v>0.64</v>
      </c>
      <c r="I227" s="132">
        <f t="shared" si="18"/>
        <v>0.64</v>
      </c>
      <c r="J227" s="132">
        <f t="shared" si="18"/>
        <v>0.64</v>
      </c>
      <c r="K227" s="132">
        <f t="shared" si="18"/>
        <v>0.64</v>
      </c>
      <c r="L227" s="132">
        <f t="shared" si="18"/>
        <v>0.64</v>
      </c>
      <c r="M227" s="132">
        <f t="shared" si="18"/>
        <v>0.64</v>
      </c>
      <c r="N227" s="132">
        <f t="shared" si="18"/>
        <v>0.64</v>
      </c>
      <c r="O227" s="132">
        <f t="shared" si="18"/>
        <v>0.64</v>
      </c>
      <c r="P227" s="132">
        <f t="shared" si="18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19">SUM(B222:B227)</f>
        <v>0</v>
      </c>
      <c r="C228" s="136">
        <f t="shared" si="19"/>
        <v>3.54</v>
      </c>
      <c r="D228" s="136">
        <f t="shared" si="19"/>
        <v>3.54</v>
      </c>
      <c r="E228" s="136">
        <f t="shared" si="19"/>
        <v>3.54</v>
      </c>
      <c r="F228" s="136">
        <f t="shared" si="19"/>
        <v>3.54</v>
      </c>
      <c r="G228" s="136">
        <f t="shared" si="19"/>
        <v>3.54</v>
      </c>
      <c r="H228" s="136">
        <f t="shared" si="19"/>
        <v>3.54</v>
      </c>
      <c r="I228" s="136">
        <f t="shared" ca="1" si="19"/>
        <v>3.54</v>
      </c>
      <c r="J228" s="136">
        <f t="shared" ca="1" si="19"/>
        <v>3.54</v>
      </c>
      <c r="K228" s="136">
        <f t="shared" ca="1" si="19"/>
        <v>3.54</v>
      </c>
      <c r="L228" s="136">
        <f t="shared" ca="1" si="19"/>
        <v>3.54</v>
      </c>
      <c r="M228" s="136">
        <f t="shared" ca="1" si="19"/>
        <v>3.54</v>
      </c>
      <c r="N228" s="136">
        <f t="shared" ca="1" si="19"/>
        <v>3.54</v>
      </c>
      <c r="O228" s="136">
        <f t="shared" ca="1" si="19"/>
        <v>3.54</v>
      </c>
      <c r="P228" s="136">
        <f t="shared" ca="1" si="19"/>
        <v>3.54</v>
      </c>
      <c r="Q228" s="136">
        <f t="shared" si="19"/>
        <v>0</v>
      </c>
      <c r="R228" s="136">
        <f t="shared" si="19"/>
        <v>0</v>
      </c>
      <c r="S228" s="136">
        <f t="shared" si="19"/>
        <v>0</v>
      </c>
      <c r="T228" s="136">
        <f t="shared" si="19"/>
        <v>0</v>
      </c>
      <c r="U228" s="136">
        <f t="shared" si="19"/>
        <v>0</v>
      </c>
      <c r="V228" s="136">
        <f t="shared" si="19"/>
        <v>0</v>
      </c>
      <c r="W228" s="136">
        <f t="shared" si="19"/>
        <v>0</v>
      </c>
      <c r="X228" s="136">
        <f t="shared" si="19"/>
        <v>0</v>
      </c>
      <c r="Y228" s="136">
        <f t="shared" si="19"/>
        <v>0</v>
      </c>
      <c r="Z228" s="136">
        <f t="shared" si="19"/>
        <v>0</v>
      </c>
      <c r="AA228" s="136">
        <f t="shared" si="19"/>
        <v>0</v>
      </c>
      <c r="AB228" s="136">
        <f t="shared" si="19"/>
        <v>0</v>
      </c>
      <c r="AC228" s="136">
        <f t="shared" si="19"/>
        <v>0</v>
      </c>
      <c r="AD228" s="136">
        <f t="shared" si="19"/>
        <v>0</v>
      </c>
      <c r="AE228" s="136">
        <f t="shared" si="19"/>
        <v>0</v>
      </c>
      <c r="AF228" s="136">
        <f t="shared" si="19"/>
        <v>0</v>
      </c>
      <c r="AG228" s="145">
        <f t="shared" si="19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1599.04</v>
      </c>
      <c r="C237" s="161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12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str">
        <f ca="1">"Pie Chart of Daily Peak Demand(Inclusive of Export) of Nepal ("&amp;A4&amp;" "&amp;B4&amp;")"</f>
        <v>Pie Chart of Daily Peak Demand(Inclusive of Export) of Nepal (Nepali Date: 2079/09/12)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2079/09/12)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0">B85</f>
        <v>1095.74</v>
      </c>
      <c r="U242" s="170">
        <f t="shared" si="20"/>
        <v>1067.44</v>
      </c>
      <c r="V242" s="170">
        <f t="shared" si="20"/>
        <v>1068.74</v>
      </c>
      <c r="W242" s="170">
        <f t="shared" si="20"/>
        <v>1054.54</v>
      </c>
      <c r="X242" s="170">
        <f t="shared" si="20"/>
        <v>1050.6399999999999</v>
      </c>
      <c r="Y242" s="170">
        <f t="shared" si="20"/>
        <v>806.93999999999994</v>
      </c>
      <c r="Z242" s="170">
        <f t="shared" si="20"/>
        <v>1243.54</v>
      </c>
      <c r="AA242" s="170">
        <f t="shared" si="20"/>
        <v>1341.6399999999999</v>
      </c>
      <c r="AB242" s="170">
        <f t="shared" si="20"/>
        <v>1414.3400000000001</v>
      </c>
      <c r="AC242" s="170">
        <f t="shared" si="20"/>
        <v>1411.24</v>
      </c>
      <c r="AD242" s="170">
        <f t="shared" si="20"/>
        <v>1591.6399999999999</v>
      </c>
      <c r="AE242" s="170">
        <f t="shared" si="20"/>
        <v>1599.04</v>
      </c>
      <c r="AF242" s="170">
        <f t="shared" si="20"/>
        <v>1487.94</v>
      </c>
      <c r="AG242" s="170">
        <f t="shared" si="20"/>
        <v>1495.94</v>
      </c>
      <c r="AH242" s="170">
        <f t="shared" si="20"/>
        <v>1338.94</v>
      </c>
      <c r="AI242" s="170">
        <f t="shared" si="20"/>
        <v>1294.44</v>
      </c>
      <c r="AJ242" s="170">
        <f t="shared" si="20"/>
        <v>1288.8399999999999</v>
      </c>
      <c r="AK242" s="170">
        <f t="shared" si="20"/>
        <v>1295.6399999999999</v>
      </c>
      <c r="AL242" s="170">
        <f t="shared" si="20"/>
        <v>1326.44</v>
      </c>
      <c r="AM242" s="170">
        <f t="shared" si="20"/>
        <v>1287.1399999999999</v>
      </c>
      <c r="AN242" s="170">
        <f t="shared" si="20"/>
        <v>1223.44</v>
      </c>
      <c r="AO242" s="170">
        <f t="shared" si="20"/>
        <v>1188.44</v>
      </c>
      <c r="AP242" s="170">
        <f t="shared" si="20"/>
        <v>1483.24</v>
      </c>
      <c r="AQ242" s="170">
        <f t="shared" si="20"/>
        <v>1620.8400000000001</v>
      </c>
      <c r="AR242" s="170">
        <f t="shared" si="20"/>
        <v>1589.54</v>
      </c>
      <c r="AS242" s="170">
        <f t="shared" si="20"/>
        <v>1423.74</v>
      </c>
      <c r="AT242" s="170">
        <f t="shared" si="20"/>
        <v>1434.1399999999999</v>
      </c>
      <c r="AU242" s="170">
        <f t="shared" si="20"/>
        <v>1412.34</v>
      </c>
      <c r="AV242" s="170">
        <f t="shared" si="20"/>
        <v>1375.64</v>
      </c>
      <c r="AW242" s="170">
        <f t="shared" si="20"/>
        <v>1209.8399999999999</v>
      </c>
      <c r="AX242" s="170">
        <f t="shared" si="20"/>
        <v>1152.6399999999999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1">C227</f>
        <v>0.64</v>
      </c>
      <c r="C263" s="173">
        <f t="shared" si="21"/>
        <v>0.64</v>
      </c>
      <c r="D263" s="173">
        <f t="shared" si="21"/>
        <v>0.64</v>
      </c>
      <c r="E263" s="173">
        <f t="shared" si="21"/>
        <v>0.64</v>
      </c>
      <c r="F263" s="173">
        <f t="shared" si="21"/>
        <v>0.64</v>
      </c>
      <c r="G263" s="173">
        <f t="shared" si="21"/>
        <v>0.64</v>
      </c>
      <c r="H263" s="173">
        <f t="shared" si="21"/>
        <v>0.64</v>
      </c>
      <c r="I263" s="173">
        <f t="shared" si="21"/>
        <v>0.64</v>
      </c>
      <c r="J263" s="173">
        <f t="shared" si="21"/>
        <v>0.64</v>
      </c>
      <c r="K263" s="173">
        <f t="shared" si="21"/>
        <v>0.64</v>
      </c>
      <c r="L263" s="173">
        <f t="shared" si="21"/>
        <v>0.64</v>
      </c>
      <c r="M263" s="173">
        <f t="shared" si="21"/>
        <v>0.64</v>
      </c>
      <c r="N263" s="173">
        <f t="shared" si="21"/>
        <v>0.64</v>
      </c>
      <c r="O263" s="173">
        <f t="shared" si="21"/>
        <v>0.64</v>
      </c>
      <c r="P263" s="173">
        <f t="shared" si="21"/>
        <v>0</v>
      </c>
      <c r="Q263" s="173">
        <f t="shared" si="21"/>
        <v>0</v>
      </c>
      <c r="R263" s="173">
        <f t="shared" si="21"/>
        <v>0</v>
      </c>
      <c r="S263" s="173">
        <f t="shared" si="21"/>
        <v>0</v>
      </c>
      <c r="T263" s="173">
        <f t="shared" si="21"/>
        <v>0</v>
      </c>
      <c r="U263" s="173">
        <f t="shared" si="21"/>
        <v>0</v>
      </c>
      <c r="V263" s="173">
        <f t="shared" si="21"/>
        <v>0</v>
      </c>
      <c r="W263" s="173">
        <f t="shared" si="21"/>
        <v>0</v>
      </c>
      <c r="X263" s="173">
        <f t="shared" si="21"/>
        <v>0</v>
      </c>
      <c r="Y263" s="173">
        <f t="shared" si="21"/>
        <v>0</v>
      </c>
      <c r="Z263" s="173">
        <f t="shared" si="21"/>
        <v>0</v>
      </c>
      <c r="AA263" s="173">
        <f t="shared" si="21"/>
        <v>0</v>
      </c>
      <c r="AB263" s="173">
        <f t="shared" si="21"/>
        <v>0</v>
      </c>
      <c r="AC263" s="173">
        <f t="shared" si="21"/>
        <v>0</v>
      </c>
      <c r="AD263" s="173">
        <f t="shared" si="21"/>
        <v>0</v>
      </c>
      <c r="AE263" s="173">
        <f t="shared" si="21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2">IF(B231&lt;100,"",B231-520)</f>
        <v/>
      </c>
      <c r="C264" s="174" t="str">
        <f t="shared" si="22"/>
        <v/>
      </c>
      <c r="D264" s="174" t="str">
        <f t="shared" si="22"/>
        <v/>
      </c>
      <c r="E264" s="174" t="str">
        <f t="shared" si="22"/>
        <v/>
      </c>
      <c r="F264" s="174" t="str">
        <f t="shared" si="22"/>
        <v/>
      </c>
      <c r="G264" s="174" t="str">
        <f t="shared" si="22"/>
        <v/>
      </c>
      <c r="H264" s="174" t="str">
        <f t="shared" si="22"/>
        <v/>
      </c>
      <c r="I264" s="174" t="str">
        <f t="shared" si="22"/>
        <v/>
      </c>
      <c r="J264" s="174" t="str">
        <f t="shared" si="22"/>
        <v/>
      </c>
      <c r="K264" s="174" t="str">
        <f t="shared" si="22"/>
        <v/>
      </c>
      <c r="L264" s="174" t="str">
        <f t="shared" si="22"/>
        <v/>
      </c>
      <c r="M264" s="174" t="str">
        <f t="shared" si="22"/>
        <v/>
      </c>
      <c r="N264" s="174" t="str">
        <f t="shared" si="22"/>
        <v/>
      </c>
      <c r="O264" s="174" t="str">
        <f t="shared" si="22"/>
        <v/>
      </c>
      <c r="P264" s="174" t="str">
        <f t="shared" si="22"/>
        <v/>
      </c>
      <c r="Q264" s="174" t="str">
        <f t="shared" si="22"/>
        <v/>
      </c>
      <c r="R264" s="174" t="str">
        <f t="shared" si="22"/>
        <v/>
      </c>
      <c r="S264" s="174" t="str">
        <f t="shared" si="22"/>
        <v/>
      </c>
      <c r="T264" s="174" t="str">
        <f t="shared" si="22"/>
        <v/>
      </c>
      <c r="U264" s="174" t="str">
        <f t="shared" si="22"/>
        <v/>
      </c>
      <c r="V264" s="174" t="str">
        <f t="shared" si="22"/>
        <v/>
      </c>
      <c r="W264" s="174" t="str">
        <f t="shared" si="22"/>
        <v/>
      </c>
      <c r="X264" s="174" t="str">
        <f t="shared" si="22"/>
        <v/>
      </c>
      <c r="Y264" s="174" t="str">
        <f t="shared" si="22"/>
        <v/>
      </c>
      <c r="Z264" s="174" t="str">
        <f t="shared" si="22"/>
        <v/>
      </c>
      <c r="AA264" s="174" t="str">
        <f t="shared" si="22"/>
        <v/>
      </c>
      <c r="AB264" s="174" t="str">
        <f t="shared" si="22"/>
        <v/>
      </c>
      <c r="AC264" s="174" t="str">
        <f t="shared" si="22"/>
        <v/>
      </c>
      <c r="AD264" s="174" t="str">
        <f t="shared" si="22"/>
        <v/>
      </c>
      <c r="AE264" s="174" t="str">
        <f t="shared" si="22"/>
        <v/>
      </c>
      <c r="AF264" s="174" t="str">
        <f t="shared" si="22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3">IF(B232&lt;100,"",B232-620)</f>
        <v/>
      </c>
      <c r="C265" s="174" t="str">
        <f t="shared" si="23"/>
        <v/>
      </c>
      <c r="D265" s="174" t="str">
        <f t="shared" si="23"/>
        <v/>
      </c>
      <c r="E265" s="174" t="str">
        <f t="shared" si="23"/>
        <v/>
      </c>
      <c r="F265" s="174" t="str">
        <f t="shared" si="23"/>
        <v/>
      </c>
      <c r="G265" s="174" t="str">
        <f t="shared" si="23"/>
        <v/>
      </c>
      <c r="H265" s="174" t="str">
        <f t="shared" si="23"/>
        <v/>
      </c>
      <c r="I265" s="174" t="str">
        <f t="shared" si="23"/>
        <v/>
      </c>
      <c r="J265" s="174" t="str">
        <f t="shared" si="23"/>
        <v/>
      </c>
      <c r="K265" s="174" t="str">
        <f t="shared" si="23"/>
        <v/>
      </c>
      <c r="L265" s="174" t="str">
        <f t="shared" si="23"/>
        <v/>
      </c>
      <c r="M265" s="174" t="str">
        <f t="shared" si="23"/>
        <v/>
      </c>
      <c r="N265" s="174" t="str">
        <f t="shared" si="23"/>
        <v/>
      </c>
      <c r="O265" s="174" t="str">
        <f t="shared" si="23"/>
        <v/>
      </c>
      <c r="P265" s="174" t="str">
        <f t="shared" si="23"/>
        <v/>
      </c>
      <c r="Q265" s="174" t="str">
        <f t="shared" si="23"/>
        <v/>
      </c>
      <c r="R265" s="174" t="str">
        <f t="shared" si="23"/>
        <v/>
      </c>
      <c r="S265" s="174" t="str">
        <f t="shared" si="23"/>
        <v/>
      </c>
      <c r="T265" s="174" t="str">
        <f t="shared" si="23"/>
        <v/>
      </c>
      <c r="U265" s="174" t="str">
        <f t="shared" si="23"/>
        <v/>
      </c>
      <c r="V265" s="174" t="str">
        <f t="shared" si="23"/>
        <v/>
      </c>
      <c r="W265" s="174" t="str">
        <f t="shared" si="23"/>
        <v/>
      </c>
      <c r="X265" s="174" t="str">
        <f t="shared" si="23"/>
        <v/>
      </c>
      <c r="Y265" s="174" t="str">
        <f t="shared" si="23"/>
        <v/>
      </c>
      <c r="Z265" s="174" t="str">
        <f t="shared" si="23"/>
        <v/>
      </c>
      <c r="AA265" s="174" t="str">
        <f t="shared" si="23"/>
        <v/>
      </c>
      <c r="AB265" s="174" t="str">
        <f t="shared" si="23"/>
        <v/>
      </c>
      <c r="AC265" s="174" t="str">
        <f t="shared" si="23"/>
        <v/>
      </c>
      <c r="AD265" s="174" t="str">
        <f t="shared" si="23"/>
        <v/>
      </c>
      <c r="AE265" s="174" t="str">
        <f t="shared" si="23"/>
        <v/>
      </c>
      <c r="AF265" s="174" t="str">
        <f t="shared" si="23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4">IF(B233&lt;100,"",B233-330)</f>
        <v/>
      </c>
      <c r="C266" s="174" t="str">
        <f t="shared" si="24"/>
        <v/>
      </c>
      <c r="D266" s="174" t="str">
        <f t="shared" si="24"/>
        <v/>
      </c>
      <c r="E266" s="174" t="str">
        <f t="shared" si="24"/>
        <v/>
      </c>
      <c r="F266" s="174" t="str">
        <f t="shared" si="24"/>
        <v/>
      </c>
      <c r="G266" s="174" t="str">
        <f t="shared" si="24"/>
        <v/>
      </c>
      <c r="H266" s="174" t="str">
        <f t="shared" si="24"/>
        <v/>
      </c>
      <c r="I266" s="174" t="str">
        <f t="shared" si="24"/>
        <v/>
      </c>
      <c r="J266" s="174" t="str">
        <f t="shared" si="24"/>
        <v/>
      </c>
      <c r="K266" s="174" t="str">
        <f t="shared" si="24"/>
        <v/>
      </c>
      <c r="L266" s="174" t="str">
        <f t="shared" si="24"/>
        <v/>
      </c>
      <c r="M266" s="174" t="str">
        <f t="shared" si="24"/>
        <v/>
      </c>
      <c r="N266" s="174" t="str">
        <f t="shared" si="24"/>
        <v/>
      </c>
      <c r="O266" s="174" t="str">
        <f t="shared" si="24"/>
        <v/>
      </c>
      <c r="P266" s="174" t="str">
        <f t="shared" si="24"/>
        <v/>
      </c>
      <c r="Q266" s="174" t="str">
        <f t="shared" si="24"/>
        <v/>
      </c>
      <c r="R266" s="174" t="str">
        <f t="shared" si="24"/>
        <v/>
      </c>
      <c r="S266" s="174" t="str">
        <f t="shared" si="24"/>
        <v/>
      </c>
      <c r="T266" s="174" t="str">
        <f t="shared" si="24"/>
        <v/>
      </c>
      <c r="U266" s="174" t="str">
        <f t="shared" si="24"/>
        <v/>
      </c>
      <c r="V266" s="174" t="str">
        <f t="shared" si="24"/>
        <v/>
      </c>
      <c r="W266" s="174" t="str">
        <f t="shared" si="24"/>
        <v/>
      </c>
      <c r="X266" s="174" t="str">
        <f t="shared" si="24"/>
        <v/>
      </c>
      <c r="Y266" s="174" t="str">
        <f t="shared" si="24"/>
        <v/>
      </c>
      <c r="Z266" s="174" t="str">
        <f t="shared" si="24"/>
        <v/>
      </c>
      <c r="AA266" s="174" t="str">
        <f t="shared" si="24"/>
        <v/>
      </c>
      <c r="AB266" s="174" t="str">
        <f t="shared" si="24"/>
        <v/>
      </c>
      <c r="AC266" s="174" t="str">
        <f t="shared" si="24"/>
        <v/>
      </c>
      <c r="AD266" s="174" t="str">
        <f t="shared" si="24"/>
        <v/>
      </c>
      <c r="AE266" s="174" t="str">
        <f t="shared" si="24"/>
        <v/>
      </c>
      <c r="AF266" s="174" t="str">
        <f t="shared" si="24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5">IF(B234&lt;100,"",B234-1500)</f>
        <v/>
      </c>
      <c r="C267" s="174" t="str">
        <f t="shared" si="25"/>
        <v/>
      </c>
      <c r="D267" s="174" t="str">
        <f t="shared" si="25"/>
        <v/>
      </c>
      <c r="E267" s="174" t="str">
        <f t="shared" si="25"/>
        <v/>
      </c>
      <c r="F267" s="174" t="str">
        <f t="shared" si="25"/>
        <v/>
      </c>
      <c r="G267" s="174" t="str">
        <f t="shared" si="25"/>
        <v/>
      </c>
      <c r="H267" s="174" t="str">
        <f t="shared" si="25"/>
        <v/>
      </c>
      <c r="I267" s="174" t="str">
        <f t="shared" si="25"/>
        <v/>
      </c>
      <c r="J267" s="174" t="str">
        <f t="shared" si="25"/>
        <v/>
      </c>
      <c r="K267" s="174" t="str">
        <f t="shared" si="25"/>
        <v/>
      </c>
      <c r="L267" s="174" t="str">
        <f t="shared" si="25"/>
        <v/>
      </c>
      <c r="M267" s="174" t="str">
        <f t="shared" si="25"/>
        <v/>
      </c>
      <c r="N267" s="174" t="str">
        <f t="shared" si="25"/>
        <v/>
      </c>
      <c r="O267" s="174" t="str">
        <f t="shared" si="25"/>
        <v/>
      </c>
      <c r="P267" s="174" t="str">
        <f t="shared" si="25"/>
        <v/>
      </c>
      <c r="Q267" s="174" t="str">
        <f t="shared" si="25"/>
        <v/>
      </c>
      <c r="R267" s="174" t="str">
        <f t="shared" si="25"/>
        <v/>
      </c>
      <c r="S267" s="174" t="str">
        <f t="shared" si="25"/>
        <v/>
      </c>
      <c r="T267" s="174" t="str">
        <f t="shared" si="25"/>
        <v/>
      </c>
      <c r="U267" s="174" t="str">
        <f t="shared" si="25"/>
        <v/>
      </c>
      <c r="V267" s="174" t="str">
        <f t="shared" si="25"/>
        <v/>
      </c>
      <c r="W267" s="174" t="str">
        <f t="shared" si="25"/>
        <v/>
      </c>
      <c r="X267" s="174" t="str">
        <f t="shared" si="25"/>
        <v/>
      </c>
      <c r="Y267" s="174" t="str">
        <f t="shared" si="25"/>
        <v/>
      </c>
      <c r="Z267" s="174" t="str">
        <f t="shared" si="25"/>
        <v/>
      </c>
      <c r="AA267" s="174" t="str">
        <f t="shared" si="25"/>
        <v/>
      </c>
      <c r="AB267" s="174" t="str">
        <f t="shared" si="25"/>
        <v/>
      </c>
      <c r="AC267" s="174" t="str">
        <f t="shared" si="25"/>
        <v/>
      </c>
      <c r="AD267" s="174" t="str">
        <f t="shared" si="25"/>
        <v/>
      </c>
      <c r="AE267" s="174" t="str">
        <f t="shared" si="25"/>
        <v/>
      </c>
      <c r="AF267" s="174" t="str">
        <f t="shared" si="25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32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23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5:AF105 D107:AF112 AC11:AF14">
    <cfRule type="expression" dxfId="6482" priority="319">
      <formula>B$9&gt;=20/24</formula>
    </cfRule>
    <cfRule type="expression" dxfId="6481" priority="320">
      <formula>AND(B$9&gt;=14/24,B$9&lt;20/24)</formula>
    </cfRule>
    <cfRule type="expression" dxfId="6480" priority="321">
      <formula>AND(B$9&gt;=8/24,B$9&lt;14/24)</formula>
    </cfRule>
    <cfRule type="expression" dxfId="6479" priority="322">
      <formula>B$9&lt;8/24</formula>
    </cfRule>
  </conditionalFormatting>
  <conditionalFormatting sqref="AL4:AL6">
    <cfRule type="iconSet" priority="318">
      <iconSet iconSet="3TrafficLights2" reverse="1">
        <cfvo type="percent" val="0"/>
        <cfvo type="num" val="1"/>
        <cfvo type="num" val="1"/>
      </iconSet>
    </cfRule>
  </conditionalFormatting>
  <conditionalFormatting sqref="AG61 AC11:AF14">
    <cfRule type="expression" dxfId="6478" priority="317">
      <formula>AC11&gt;$AG11</formula>
    </cfRule>
  </conditionalFormatting>
  <conditionalFormatting sqref="A95:A105 A55:A82 A91:A93 A198:A228 A42:A53 A114:A185 A38:A39 A87:A89 A84:A85 A107:A109 A35:A36 A17:A18 A11:A15 A20:A33">
    <cfRule type="expression" dxfId="6477" priority="316">
      <formula>$AH11=0</formula>
    </cfRule>
  </conditionalFormatting>
  <conditionalFormatting sqref="A110">
    <cfRule type="expression" dxfId="6476" priority="315">
      <formula>$AH110=0</formula>
    </cfRule>
  </conditionalFormatting>
  <conditionalFormatting sqref="AL39">
    <cfRule type="iconSet" priority="314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6475" priority="313">
      <formula>$AH41=0</formula>
    </cfRule>
  </conditionalFormatting>
  <conditionalFormatting sqref="A94">
    <cfRule type="expression" dxfId="6474" priority="312">
      <formula>$AH94=0</formula>
    </cfRule>
  </conditionalFormatting>
  <conditionalFormatting sqref="A16">
    <cfRule type="expression" dxfId="6473" priority="311">
      <formula>$AH16=0</formula>
    </cfRule>
  </conditionalFormatting>
  <conditionalFormatting sqref="A192:A197">
    <cfRule type="expression" dxfId="6472" priority="310">
      <formula>$AH192=0</formula>
    </cfRule>
  </conditionalFormatting>
  <conditionalFormatting sqref="A186:A191">
    <cfRule type="expression" dxfId="6471" priority="309">
      <formula>$AH186=0</formula>
    </cfRule>
  </conditionalFormatting>
  <conditionalFormatting sqref="A54">
    <cfRule type="expression" dxfId="6470" priority="308">
      <formula>$AH54=0</formula>
    </cfRule>
  </conditionalFormatting>
  <conditionalFormatting sqref="A90">
    <cfRule type="expression" dxfId="6469" priority="307">
      <formula>$AH90=0</formula>
    </cfRule>
  </conditionalFormatting>
  <conditionalFormatting sqref="E95:X95 AD95:AF95">
    <cfRule type="expression" dxfId="6468" priority="303">
      <formula>E$9&gt;=20/24</formula>
    </cfRule>
    <cfRule type="expression" dxfId="6467" priority="304">
      <formula>AND(E$9&gt;=14/24,E$9&lt;20/24)</formula>
    </cfRule>
    <cfRule type="expression" dxfId="6466" priority="305">
      <formula>AND(E$9&gt;=8/24,E$9&lt;14/24)</formula>
    </cfRule>
    <cfRule type="expression" dxfId="6465" priority="306">
      <formula>E$9&lt;8/24</formula>
    </cfRule>
  </conditionalFormatting>
  <conditionalFormatting sqref="AL40">
    <cfRule type="iconSet" priority="30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464" priority="325">
      <formula>C$9&gt;=20/24</formula>
    </cfRule>
    <cfRule type="expression" dxfId="6463" priority="326">
      <formula>AND(C$9&gt;=14/24,C$9&lt;20/24)</formula>
    </cfRule>
    <cfRule type="expression" dxfId="6462" priority="327">
      <formula>AND(C$9&gt;=8/24,C$9&lt;14/24)</formula>
    </cfRule>
    <cfRule type="expression" dxfId="6461" priority="328">
      <formula>C$9&lt;8/24</formula>
    </cfRule>
  </conditionalFormatting>
  <conditionalFormatting sqref="A229">
    <cfRule type="expression" dxfId="6460" priority="329">
      <formula>$AH229=0</formula>
    </cfRule>
  </conditionalFormatting>
  <conditionalFormatting sqref="AG241">
    <cfRule type="expression" dxfId="6459" priority="330">
      <formula>B$9&gt;=20/24</formula>
    </cfRule>
    <cfRule type="expression" dxfId="6458" priority="331">
      <formula>AND(B$9&gt;=14/24,B$9&lt;20/24)</formula>
    </cfRule>
    <cfRule type="expression" dxfId="6457" priority="332">
      <formula>AND(B$9&gt;=8/24,B$9&lt;14/24)</formula>
    </cfRule>
    <cfRule type="expression" dxfId="6456" priority="333">
      <formula>B$9&lt;8/24</formula>
    </cfRule>
  </conditionalFormatting>
  <conditionalFormatting sqref="S8">
    <cfRule type="expression" dxfId="6455" priority="298">
      <formula>U$9&gt;=20/24</formula>
    </cfRule>
    <cfRule type="expression" dxfId="6454" priority="299">
      <formula>AND(U$9&gt;=14/24,U$9&lt;20/24)</formula>
    </cfRule>
    <cfRule type="expression" dxfId="6453" priority="300">
      <formula>AND(U$9&gt;=8/24,U$9&lt;14/24)</formula>
    </cfRule>
    <cfRule type="expression" dxfId="6452" priority="301">
      <formula>U$9&lt;8/24</formula>
    </cfRule>
  </conditionalFormatting>
  <conditionalFormatting sqref="AB8">
    <cfRule type="expression" dxfId="6451" priority="294">
      <formula>AD$9&gt;=20/24</formula>
    </cfRule>
    <cfRule type="expression" dxfId="6450" priority="295">
      <formula>AND(AD$9&gt;=14/24,AD$9&lt;20/24)</formula>
    </cfRule>
    <cfRule type="expression" dxfId="6449" priority="296">
      <formula>AND(AD$9&gt;=8/24,AD$9&lt;14/24)</formula>
    </cfRule>
    <cfRule type="expression" dxfId="6448" priority="297">
      <formula>AD$9&lt;8/24</formula>
    </cfRule>
  </conditionalFormatting>
  <conditionalFormatting sqref="AH241:AX241">
    <cfRule type="expression" dxfId="6447" priority="334">
      <formula>AG$9&gt;=20/24</formula>
    </cfRule>
    <cfRule type="expression" dxfId="6446" priority="335">
      <formula>AND(AG$9&gt;=14/24,AG$9&lt;20/24)</formula>
    </cfRule>
    <cfRule type="expression" dxfId="6445" priority="336">
      <formula>AND(AG$9&gt;=8/24,AG$9&lt;14/24)</formula>
    </cfRule>
    <cfRule type="expression" dxfId="6444" priority="337">
      <formula>AG$9&lt;8/24</formula>
    </cfRule>
  </conditionalFormatting>
  <conditionalFormatting sqref="T241">
    <cfRule type="expression" dxfId="6443" priority="338">
      <formula>AX$9&gt;=20/24</formula>
    </cfRule>
    <cfRule type="expression" dxfId="6442" priority="339">
      <formula>AND(AX$9&gt;=14/24,AX$9&lt;20/24)</formula>
    </cfRule>
    <cfRule type="expression" dxfId="6441" priority="340">
      <formula>AND(AX$9&gt;=8/24,AX$9&lt;14/24)</formula>
    </cfRule>
    <cfRule type="expression" dxfId="6440" priority="341">
      <formula>AX$9&lt;8/24</formula>
    </cfRule>
  </conditionalFormatting>
  <conditionalFormatting sqref="A111:A112">
    <cfRule type="expression" dxfId="6439" priority="293">
      <formula>$AH111=0</formula>
    </cfRule>
  </conditionalFormatting>
  <conditionalFormatting sqref="AB50:AE51 AF50:AF53 M50:Q54 AB53:AE53 W52:AE52 E67:AF67">
    <cfRule type="expression" dxfId="6438" priority="289">
      <formula>E$9&gt;=20/24</formula>
    </cfRule>
    <cfRule type="expression" dxfId="6437" priority="290">
      <formula>AND(E$9&gt;=14/24,E$9&lt;20/24)</formula>
    </cfRule>
    <cfRule type="expression" dxfId="6436" priority="291">
      <formula>AND(E$9&gt;=8/24,E$9&lt;14/24)</formula>
    </cfRule>
    <cfRule type="expression" dxfId="6435" priority="292">
      <formula>E$9&lt;8/24</formula>
    </cfRule>
  </conditionalFormatting>
  <conditionalFormatting sqref="AB49:AF49 M49:Q49">
    <cfRule type="expression" dxfId="6434" priority="285">
      <formula>M$9&gt;=20/24</formula>
    </cfRule>
    <cfRule type="expression" dxfId="6433" priority="286">
      <formula>AND(M$9&gt;=14/24,M$9&lt;20/24)</formula>
    </cfRule>
    <cfRule type="expression" dxfId="6432" priority="287">
      <formula>AND(M$9&gt;=8/24,M$9&lt;14/24)</formula>
    </cfRule>
    <cfRule type="expression" dxfId="6431" priority="288">
      <formula>M$9&lt;8/24</formula>
    </cfRule>
  </conditionalFormatting>
  <conditionalFormatting sqref="AB49:AE51 AF49:AF53 M49:Q54 AB53:AE53 W52:AE52">
    <cfRule type="expression" dxfId="6430" priority="284">
      <formula>M49&gt;$AG49</formula>
    </cfRule>
  </conditionalFormatting>
  <conditionalFormatting sqref="D82:AF82 M96:X102 X43:AF43 X92:AF92 AD96:AF102 Y68:AF70 E68:X69 Y63:AF65">
    <cfRule type="expression" dxfId="6429" priority="280">
      <formula>D$9&gt;=20/24</formula>
    </cfRule>
    <cfRule type="expression" dxfId="6428" priority="281">
      <formula>AND(D$9&gt;=14/24,D$9&lt;20/24)</formula>
    </cfRule>
    <cfRule type="expression" dxfId="6427" priority="282">
      <formula>AND(D$9&gt;=8/24,D$9&lt;14/24)</formula>
    </cfRule>
    <cfRule type="expression" dxfId="6426" priority="283">
      <formula>D$9&lt;8/24</formula>
    </cfRule>
  </conditionalFormatting>
  <conditionalFormatting sqref="X43:AF43 Y63:AF65">
    <cfRule type="expression" dxfId="6425" priority="279">
      <formula>X43&gt;$AG43</formula>
    </cfRule>
  </conditionalFormatting>
  <conditionalFormatting sqref="R49:T51 R52:S54 S55:S56 T52:T56 U49:U56 V52:V56 W53:AA56 V49:AA51 AB54:AF56">
    <cfRule type="expression" dxfId="6424" priority="275">
      <formula>R$9&gt;=20/24</formula>
    </cfRule>
    <cfRule type="expression" dxfId="6423" priority="276">
      <formula>AND(R$9&gt;=14/24,R$9&lt;20/24)</formula>
    </cfRule>
    <cfRule type="expression" dxfId="6422" priority="277">
      <formula>AND(R$9&gt;=8/24,R$9&lt;14/24)</formula>
    </cfRule>
    <cfRule type="expression" dxfId="6421" priority="278">
      <formula>R$9&lt;8/24</formula>
    </cfRule>
  </conditionalFormatting>
  <conditionalFormatting sqref="R49:T51 R52:S54 S55:S56 T52:T56 U49:U56 V52:V56 W53:AA56 V49:AA51 AB54:AF56">
    <cfRule type="expression" dxfId="6420" priority="274">
      <formula>R49&gt;$AG49</formula>
    </cfRule>
  </conditionalFormatting>
  <conditionalFormatting sqref="C84:AF84 C93:AF93">
    <cfRule type="expression" dxfId="6419" priority="270">
      <formula>C$9&gt;=20/24</formula>
    </cfRule>
    <cfRule type="expression" dxfId="6418" priority="271">
      <formula>AND(C$9&gt;=14/24,C$9&lt;20/24)</formula>
    </cfRule>
    <cfRule type="expression" dxfId="6417" priority="272">
      <formula>AND(C$9&gt;=8/24,C$9&lt;14/24)</formula>
    </cfRule>
    <cfRule type="expression" dxfId="6416" priority="273">
      <formula>C$9&lt;8/24</formula>
    </cfRule>
  </conditionalFormatting>
  <conditionalFormatting sqref="T43:W43">
    <cfRule type="expression" dxfId="6415" priority="266">
      <formula>T$9&gt;=20/24</formula>
    </cfRule>
    <cfRule type="expression" dxfId="6414" priority="267">
      <formula>AND(T$9&gt;=14/24,T$9&lt;20/24)</formula>
    </cfRule>
    <cfRule type="expression" dxfId="6413" priority="268">
      <formula>AND(T$9&gt;=8/24,T$9&lt;14/24)</formula>
    </cfRule>
    <cfRule type="expression" dxfId="6412" priority="269">
      <formula>T$9&lt;8/24</formula>
    </cfRule>
  </conditionalFormatting>
  <conditionalFormatting sqref="T43:W43">
    <cfRule type="expression" dxfId="6411" priority="265">
      <formula>T43&gt;$AG43</formula>
    </cfRule>
  </conditionalFormatting>
  <conditionalFormatting sqref="E50:L51">
    <cfRule type="expression" dxfId="6410" priority="261">
      <formula>E$9&gt;=20/24</formula>
    </cfRule>
    <cfRule type="expression" dxfId="6409" priority="262">
      <formula>AND(E$9&gt;=14/24,E$9&lt;20/24)</formula>
    </cfRule>
    <cfRule type="expression" dxfId="6408" priority="263">
      <formula>AND(E$9&gt;=8/24,E$9&lt;14/24)</formula>
    </cfRule>
    <cfRule type="expression" dxfId="6407" priority="264">
      <formula>E$9&lt;8/24</formula>
    </cfRule>
  </conditionalFormatting>
  <conditionalFormatting sqref="E49:L49">
    <cfRule type="expression" dxfId="6406" priority="257">
      <formula>E$9&gt;=20/24</formula>
    </cfRule>
    <cfRule type="expression" dxfId="6405" priority="258">
      <formula>AND(E$9&gt;=14/24,E$9&lt;20/24)</formula>
    </cfRule>
    <cfRule type="expression" dxfId="6404" priority="259">
      <formula>AND(E$9&gt;=8/24,E$9&lt;14/24)</formula>
    </cfRule>
    <cfRule type="expression" dxfId="6403" priority="260">
      <formula>E$9&lt;8/24</formula>
    </cfRule>
  </conditionalFormatting>
  <conditionalFormatting sqref="E49:L51">
    <cfRule type="expression" dxfId="6402" priority="256">
      <formula>E49&gt;$AG49</formula>
    </cfRule>
  </conditionalFormatting>
  <conditionalFormatting sqref="AG66 AG83 E96:L102 Q63:X65">
    <cfRule type="expression" dxfId="6401" priority="252">
      <formula>E$9&gt;=20/24</formula>
    </cfRule>
    <cfRule type="expression" dxfId="6400" priority="253">
      <formula>AND(E$9&gt;=14/24,E$9&lt;20/24)</formula>
    </cfRule>
    <cfRule type="expression" dxfId="6399" priority="254">
      <formula>AND(E$9&gt;=8/24,E$9&lt;14/24)</formula>
    </cfRule>
    <cfRule type="expression" dxfId="6398" priority="255">
      <formula>E$9&lt;8/24</formula>
    </cfRule>
  </conditionalFormatting>
  <conditionalFormatting sqref="AG44 AG62 AG66 Q63:X65">
    <cfRule type="expression" dxfId="6397" priority="251">
      <formula>Q44&gt;$AG44</formula>
    </cfRule>
  </conditionalFormatting>
  <conditionalFormatting sqref="A40">
    <cfRule type="expression" dxfId="6396" priority="245">
      <formula>$AH40=0</formula>
    </cfRule>
  </conditionalFormatting>
  <conditionalFormatting sqref="X87:AF91">
    <cfRule type="expression" dxfId="6395" priority="241">
      <formula>X$9&gt;=20/24</formula>
    </cfRule>
    <cfRule type="expression" dxfId="6394" priority="242">
      <formula>AND(X$9&gt;=14/24,X$9&lt;20/24)</formula>
    </cfRule>
    <cfRule type="expression" dxfId="6393" priority="243">
      <formula>AND(X$9&gt;=8/24,X$9&lt;14/24)</formula>
    </cfRule>
    <cfRule type="expression" dxfId="6392" priority="244">
      <formula>X$9&lt;8/24</formula>
    </cfRule>
  </conditionalFormatting>
  <conditionalFormatting sqref="AL41 AL38 AL20:AL33 AL35:AL36 AL7:AL18">
    <cfRule type="iconSet" priority="342">
      <iconSet iconSet="3TrafficLights2" reverse="1">
        <cfvo type="percent" val="0"/>
        <cfvo type="num" val="1"/>
        <cfvo type="num" val="1"/>
      </iconSet>
    </cfRule>
  </conditionalFormatting>
  <conditionalFormatting sqref="E45:AF47">
    <cfRule type="expression" dxfId="6391" priority="237">
      <formula>E$9&gt;=20/24</formula>
    </cfRule>
    <cfRule type="expression" dxfId="6390" priority="238">
      <formula>AND(E$9&gt;=14/24,E$9&lt;20/24)</formula>
    </cfRule>
    <cfRule type="expression" dxfId="6389" priority="239">
      <formula>AND(E$9&gt;=8/24,E$9&lt;14/24)</formula>
    </cfRule>
    <cfRule type="expression" dxfId="6388" priority="240">
      <formula>E$9&lt;8/24</formula>
    </cfRule>
  </conditionalFormatting>
  <conditionalFormatting sqref="E45:AF47">
    <cfRule type="expression" dxfId="6387" priority="236">
      <formula>E45&gt;$AG45</formula>
    </cfRule>
  </conditionalFormatting>
  <conditionalFormatting sqref="AG48">
    <cfRule type="expression" dxfId="6386" priority="232">
      <formula>AG$9&gt;=20/24</formula>
    </cfRule>
    <cfRule type="expression" dxfId="6385" priority="233">
      <formula>AND(AG$9&gt;=14/24,AG$9&lt;20/24)</formula>
    </cfRule>
    <cfRule type="expression" dxfId="6384" priority="234">
      <formula>AND(AG$9&gt;=8/24,AG$9&lt;14/24)</formula>
    </cfRule>
    <cfRule type="expression" dxfId="6383" priority="235">
      <formula>AG$9&lt;8/24</formula>
    </cfRule>
  </conditionalFormatting>
  <conditionalFormatting sqref="AG48">
    <cfRule type="expression" dxfId="6382" priority="231">
      <formula>AG48&gt;$AG48</formula>
    </cfRule>
  </conditionalFormatting>
  <conditionalFormatting sqref="C103:AF103">
    <cfRule type="expression" dxfId="6381" priority="227">
      <formula>C$9&gt;=20/24</formula>
    </cfRule>
    <cfRule type="expression" dxfId="6380" priority="228">
      <formula>AND(C$9&gt;=14/24,C$9&lt;20/24)</formula>
    </cfRule>
    <cfRule type="expression" dxfId="6379" priority="229">
      <formula>AND(C$9&gt;=8/24,C$9&lt;14/24)</formula>
    </cfRule>
    <cfRule type="expression" dxfId="6378" priority="230">
      <formula>C$9&lt;8/24</formula>
    </cfRule>
  </conditionalFormatting>
  <conditionalFormatting sqref="AL37">
    <cfRule type="iconSet" priority="226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6377" priority="225">
      <formula>$AH37=0</formula>
    </cfRule>
  </conditionalFormatting>
  <conditionalFormatting sqref="A86">
    <cfRule type="expression" dxfId="6376" priority="223">
      <formula>$AH86=0</formula>
    </cfRule>
  </conditionalFormatting>
  <conditionalFormatting sqref="A83">
    <cfRule type="expression" dxfId="6375" priority="224">
      <formula>$AH83=0</formula>
    </cfRule>
  </conditionalFormatting>
  <conditionalFormatting sqref="A113">
    <cfRule type="expression" dxfId="6374" priority="214">
      <formula>$AH113=0</formula>
    </cfRule>
  </conditionalFormatting>
  <conditionalFormatting sqref="D106:AF106">
    <cfRule type="expression" dxfId="6373" priority="210">
      <formula>D$9&gt;=20/24</formula>
    </cfRule>
    <cfRule type="expression" dxfId="6372" priority="211">
      <formula>AND(D$9&gt;=14/24,D$9&lt;20/24)</formula>
    </cfRule>
    <cfRule type="expression" dxfId="6371" priority="212">
      <formula>AND(D$9&gt;=8/24,D$9&lt;14/24)</formula>
    </cfRule>
    <cfRule type="expression" dxfId="6370" priority="213">
      <formula>D$9&lt;8/24</formula>
    </cfRule>
  </conditionalFormatting>
  <conditionalFormatting sqref="A106">
    <cfRule type="expression" dxfId="6369" priority="209">
      <formula>$AH106=0</formula>
    </cfRule>
  </conditionalFormatting>
  <conditionalFormatting sqref="A19">
    <cfRule type="expression" dxfId="6368" priority="207">
      <formula>$AH19=0</formula>
    </cfRule>
  </conditionalFormatting>
  <conditionalFormatting sqref="AL19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6367" priority="205">
      <formula>$AH34=0</formula>
    </cfRule>
  </conditionalFormatting>
  <conditionalFormatting sqref="AL34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6366" priority="201">
      <formula>Y$9&gt;=20/24</formula>
    </cfRule>
    <cfRule type="expression" dxfId="6365" priority="202">
      <formula>AND(Y$9&gt;=14/24,Y$9&lt;20/24)</formula>
    </cfRule>
    <cfRule type="expression" dxfId="6364" priority="203">
      <formula>AND(Y$9&gt;=8/24,Y$9&lt;14/24)</formula>
    </cfRule>
    <cfRule type="expression" dxfId="6363" priority="204">
      <formula>Y$9&lt;8/24</formula>
    </cfRule>
  </conditionalFormatting>
  <conditionalFormatting sqref="Y96:AC102">
    <cfRule type="expression" dxfId="6362" priority="197">
      <formula>Y$9&gt;=20/24</formula>
    </cfRule>
    <cfRule type="expression" dxfId="6361" priority="198">
      <formula>AND(Y$9&gt;=14/24,Y$9&lt;20/24)</formula>
    </cfRule>
    <cfRule type="expression" dxfId="6360" priority="199">
      <formula>AND(Y$9&gt;=8/24,Y$9&lt;14/24)</formula>
    </cfRule>
    <cfRule type="expression" dxfId="6359" priority="200">
      <formula>Y$9&lt;8/24</formula>
    </cfRule>
  </conditionalFormatting>
  <conditionalFormatting sqref="C105 C107:C112">
    <cfRule type="expression" dxfId="6358" priority="193">
      <formula>C$9&gt;=20/24</formula>
    </cfRule>
    <cfRule type="expression" dxfId="6357" priority="194">
      <formula>AND(C$9&gt;=14/24,C$9&lt;20/24)</formula>
    </cfRule>
    <cfRule type="expression" dxfId="6356" priority="195">
      <formula>AND(C$9&gt;=8/24,C$9&lt;14/24)</formula>
    </cfRule>
    <cfRule type="expression" dxfId="6355" priority="196">
      <formula>C$9&lt;8/24</formula>
    </cfRule>
  </conditionalFormatting>
  <conditionalFormatting sqref="C43:S43">
    <cfRule type="expression" dxfId="6354" priority="189">
      <formula>C$9&gt;=20/24</formula>
    </cfRule>
    <cfRule type="expression" dxfId="6353" priority="190">
      <formula>AND(C$9&gt;=14/24,C$9&lt;20/24)</formula>
    </cfRule>
    <cfRule type="expression" dxfId="6352" priority="191">
      <formula>AND(C$9&gt;=8/24,C$9&lt;14/24)</formula>
    </cfRule>
    <cfRule type="expression" dxfId="6351" priority="192">
      <formula>C$9&lt;8/24</formula>
    </cfRule>
  </conditionalFormatting>
  <conditionalFormatting sqref="C43:S43">
    <cfRule type="expression" dxfId="6350" priority="188">
      <formula>C43&gt;$AG43</formula>
    </cfRule>
  </conditionalFormatting>
  <conditionalFormatting sqref="C95:D95">
    <cfRule type="expression" dxfId="6349" priority="184">
      <formula>C$9&gt;=20/24</formula>
    </cfRule>
    <cfRule type="expression" dxfId="6348" priority="185">
      <formula>AND(C$9&gt;=14/24,C$9&lt;20/24)</formula>
    </cfRule>
    <cfRule type="expression" dxfId="6347" priority="186">
      <formula>AND(C$9&gt;=8/24,C$9&lt;14/24)</formula>
    </cfRule>
    <cfRule type="expression" dxfId="6346" priority="187">
      <formula>C$9&lt;8/24</formula>
    </cfRule>
  </conditionalFormatting>
  <conditionalFormatting sqref="C67:D67 C50:D51">
    <cfRule type="expression" dxfId="6345" priority="180">
      <formula>C$9&gt;=20/24</formula>
    </cfRule>
    <cfRule type="expression" dxfId="6344" priority="181">
      <formula>AND(C$9&gt;=14/24,C$9&lt;20/24)</formula>
    </cfRule>
    <cfRule type="expression" dxfId="6343" priority="182">
      <formula>AND(C$9&gt;=8/24,C$9&lt;14/24)</formula>
    </cfRule>
    <cfRule type="expression" dxfId="6342" priority="183">
      <formula>C$9&lt;8/24</formula>
    </cfRule>
  </conditionalFormatting>
  <conditionalFormatting sqref="C49:D49">
    <cfRule type="expression" dxfId="6341" priority="176">
      <formula>C$9&gt;=20/24</formula>
    </cfRule>
    <cfRule type="expression" dxfId="6340" priority="177">
      <formula>AND(C$9&gt;=14/24,C$9&lt;20/24)</formula>
    </cfRule>
    <cfRule type="expression" dxfId="6339" priority="178">
      <formula>AND(C$9&gt;=8/24,C$9&lt;14/24)</formula>
    </cfRule>
    <cfRule type="expression" dxfId="6338" priority="179">
      <formula>C$9&lt;8/24</formula>
    </cfRule>
  </conditionalFormatting>
  <conditionalFormatting sqref="C49:D51">
    <cfRule type="expression" dxfId="6337" priority="175">
      <formula>C49&gt;$AG49</formula>
    </cfRule>
  </conditionalFormatting>
  <conditionalFormatting sqref="C82 C68:D72 C96:D102 C92:W92 Y71:AF71 C79:AF81 C73:C77 C63:P65 E70:X71 E72:AF72">
    <cfRule type="expression" dxfId="6336" priority="171">
      <formula>C$9&gt;=20/24</formula>
    </cfRule>
    <cfRule type="expression" dxfId="6335" priority="172">
      <formula>AND(C$9&gt;=14/24,C$9&lt;20/24)</formula>
    </cfRule>
    <cfRule type="expression" dxfId="6334" priority="173">
      <formula>AND(C$9&gt;=8/24,C$9&lt;14/24)</formula>
    </cfRule>
    <cfRule type="expression" dxfId="6333" priority="174">
      <formula>C$9&lt;8/24</formula>
    </cfRule>
  </conditionalFormatting>
  <conditionalFormatting sqref="C52:L53 C63:P65">
    <cfRule type="expression" dxfId="6332" priority="170">
      <formula>C52&gt;$AG52</formula>
    </cfRule>
  </conditionalFormatting>
  <conditionalFormatting sqref="C54:L54">
    <cfRule type="expression" dxfId="6331" priority="166">
      <formula>C$9&gt;=20/24</formula>
    </cfRule>
    <cfRule type="expression" dxfId="6330" priority="167">
      <formula>AND(C$9&gt;=14/24,C$9&lt;20/24)</formula>
    </cfRule>
    <cfRule type="expression" dxfId="6329" priority="168">
      <formula>AND(C$9&gt;=8/24,C$9&lt;14/24)</formula>
    </cfRule>
    <cfRule type="expression" dxfId="6328" priority="169">
      <formula>C$9&lt;8/24</formula>
    </cfRule>
  </conditionalFormatting>
  <conditionalFormatting sqref="C54:L54">
    <cfRule type="expression" dxfId="6327" priority="165">
      <formula>C54&gt;$AG54</formula>
    </cfRule>
  </conditionalFormatting>
  <conditionalFormatting sqref="C66:AF66 C83:AF83 C85:AF85 C94:AF94">
    <cfRule type="expression" dxfId="6326" priority="152">
      <formula>C$9&gt;=20/24</formula>
    </cfRule>
    <cfRule type="expression" dxfId="6325" priority="153">
      <formula>AND(C$9&gt;=14/24,C$9&lt;20/24)</formula>
    </cfRule>
    <cfRule type="expression" dxfId="6324" priority="154">
      <formula>AND(C$9&gt;=8/24,C$9&lt;14/24)</formula>
    </cfRule>
    <cfRule type="expression" dxfId="6323" priority="155">
      <formula>C$9&lt;8/24</formula>
    </cfRule>
  </conditionalFormatting>
  <conditionalFormatting sqref="C61:AF62 C66:AF66 C44:AF44">
    <cfRule type="expression" dxfId="6322" priority="151">
      <formula>C44&gt;$AG44</formula>
    </cfRule>
  </conditionalFormatting>
  <conditionalFormatting sqref="C78:AF78">
    <cfRule type="expression" dxfId="6321" priority="147">
      <formula>C$9&gt;=20/24</formula>
    </cfRule>
    <cfRule type="expression" dxfId="6320" priority="148">
      <formula>AND(C$9&gt;=14/24,C$9&lt;20/24)</formula>
    </cfRule>
    <cfRule type="expression" dxfId="6319" priority="149">
      <formula>AND(C$9&gt;=8/24,C$9&lt;14/24)</formula>
    </cfRule>
    <cfRule type="expression" dxfId="6318" priority="150">
      <formula>C$9&lt;8/24</formula>
    </cfRule>
  </conditionalFormatting>
  <conditionalFormatting sqref="C87:W91">
    <cfRule type="expression" dxfId="6317" priority="143">
      <formula>C$9&gt;=20/24</formula>
    </cfRule>
    <cfRule type="expression" dxfId="6316" priority="144">
      <formula>AND(C$9&gt;=14/24,C$9&lt;20/24)</formula>
    </cfRule>
    <cfRule type="expression" dxfId="6315" priority="145">
      <formula>AND(C$9&gt;=8/24,C$9&lt;14/24)</formula>
    </cfRule>
    <cfRule type="expression" dxfId="6314" priority="146">
      <formula>C$9&lt;8/24</formula>
    </cfRule>
  </conditionalFormatting>
  <conditionalFormatting sqref="C45:D47">
    <cfRule type="expression" dxfId="6313" priority="139">
      <formula>C$9&gt;=20/24</formula>
    </cfRule>
    <cfRule type="expression" dxfId="6312" priority="140">
      <formula>AND(C$9&gt;=14/24,C$9&lt;20/24)</formula>
    </cfRule>
    <cfRule type="expression" dxfId="6311" priority="141">
      <formula>AND(C$9&gt;=8/24,C$9&lt;14/24)</formula>
    </cfRule>
    <cfRule type="expression" dxfId="6310" priority="142">
      <formula>C$9&lt;8/24</formula>
    </cfRule>
  </conditionalFormatting>
  <conditionalFormatting sqref="C45:D47">
    <cfRule type="expression" dxfId="6309" priority="138">
      <formula>C45&gt;$AG45</formula>
    </cfRule>
  </conditionalFormatting>
  <conditionalFormatting sqref="C48:AF48">
    <cfRule type="expression" dxfId="6308" priority="134">
      <formula>C$9&gt;=20/24</formula>
    </cfRule>
    <cfRule type="expression" dxfId="6307" priority="135">
      <formula>AND(C$9&gt;=14/24,C$9&lt;20/24)</formula>
    </cfRule>
    <cfRule type="expression" dxfId="6306" priority="136">
      <formula>AND(C$9&gt;=8/24,C$9&lt;14/24)</formula>
    </cfRule>
    <cfRule type="expression" dxfId="6305" priority="137">
      <formula>C$9&lt;8/24</formula>
    </cfRule>
  </conditionalFormatting>
  <conditionalFormatting sqref="C48:AF48">
    <cfRule type="expression" dxfId="6304" priority="133">
      <formula>C48&gt;$AG48</formula>
    </cfRule>
  </conditionalFormatting>
  <conditionalFormatting sqref="C106">
    <cfRule type="expression" dxfId="6303" priority="117">
      <formula>C$9&gt;=20/24</formula>
    </cfRule>
    <cfRule type="expression" dxfId="6302" priority="118">
      <formula>AND(C$9&gt;=14/24,C$9&lt;20/24)</formula>
    </cfRule>
    <cfRule type="expression" dxfId="6301" priority="119">
      <formula>AND(C$9&gt;=8/24,C$9&lt;14/24)</formula>
    </cfRule>
    <cfRule type="expression" dxfId="6300" priority="120">
      <formula>C$9&lt;8/24</formula>
    </cfRule>
  </conditionalFormatting>
  <conditionalFormatting sqref="D55:R60 S57:AF60">
    <cfRule type="expression" dxfId="6299" priority="113">
      <formula>D$9&gt;=20/24</formula>
    </cfRule>
    <cfRule type="expression" dxfId="6298" priority="114">
      <formula>AND(D$9&gt;=14/24,D$9&lt;20/24)</formula>
    </cfRule>
    <cfRule type="expression" dxfId="6297" priority="115">
      <formula>AND(D$9&gt;=8/24,D$9&lt;14/24)</formula>
    </cfRule>
    <cfRule type="expression" dxfId="6296" priority="116">
      <formula>D$9&lt;8/24</formula>
    </cfRule>
  </conditionalFormatting>
  <conditionalFormatting sqref="D55:R60 S57:AF60">
    <cfRule type="expression" dxfId="6295" priority="112">
      <formula>D55&gt;$AG55</formula>
    </cfRule>
  </conditionalFormatting>
  <conditionalFormatting sqref="F12:L13 G14:L14 M12:AB14">
    <cfRule type="expression" dxfId="6294" priority="111">
      <formula>F12&gt;$AG12</formula>
    </cfRule>
  </conditionalFormatting>
  <conditionalFormatting sqref="F11:AB11">
    <cfRule type="expression" dxfId="6293" priority="107">
      <formula>F$9&gt;=20/24</formula>
    </cfRule>
    <cfRule type="expression" dxfId="6292" priority="108">
      <formula>AND(F$9&gt;=14/24,F$9&lt;20/24)</formula>
    </cfRule>
    <cfRule type="expression" dxfId="6291" priority="109">
      <formula>AND(F$9&gt;=8/24,F$9&lt;14/24)</formula>
    </cfRule>
    <cfRule type="expression" dxfId="6290" priority="110">
      <formula>F$9&lt;8/24</formula>
    </cfRule>
  </conditionalFormatting>
  <conditionalFormatting sqref="F11:AB11">
    <cfRule type="expression" dxfId="6289" priority="106">
      <formula>F11&gt;$AG11</formula>
    </cfRule>
  </conditionalFormatting>
  <conditionalFormatting sqref="F12:L13 G14:L14 M12:AB14">
    <cfRule type="expression" dxfId="6288" priority="102">
      <formula>F$9&gt;=20/24</formula>
    </cfRule>
    <cfRule type="expression" dxfId="6287" priority="103">
      <formula>AND(F$9&gt;=14/24,F$9&lt;20/24)</formula>
    </cfRule>
    <cfRule type="expression" dxfId="6286" priority="104">
      <formula>AND(F$9&gt;=8/24,F$9&lt;14/24)</formula>
    </cfRule>
    <cfRule type="expression" dxfId="6285" priority="105">
      <formula>F$9&lt;8/24</formula>
    </cfRule>
  </conditionalFormatting>
  <conditionalFormatting sqref="D73:AF77">
    <cfRule type="expression" dxfId="6284" priority="94">
      <formula>D$9&gt;=20/24</formula>
    </cfRule>
    <cfRule type="expression" dxfId="6283" priority="95">
      <formula>AND(D$9&gt;=14/24,D$9&lt;20/24)</formula>
    </cfRule>
    <cfRule type="expression" dxfId="6282" priority="96">
      <formula>AND(D$9&gt;=8/24,D$9&lt;14/24)</formula>
    </cfRule>
    <cfRule type="expression" dxfId="6281" priority="97">
      <formula>D$9&lt;8/24</formula>
    </cfRule>
  </conditionalFormatting>
  <conditionalFormatting sqref="AL74:AN74 AL80:AN80 AN75:AN76">
    <cfRule type="expression" dxfId="6280" priority="90">
      <formula>AL$9&gt;=20/24</formula>
    </cfRule>
    <cfRule type="expression" dxfId="6279" priority="91">
      <formula>AND(AL$9&gt;=14/24,AL$9&lt;20/24)</formula>
    </cfRule>
    <cfRule type="expression" dxfId="6278" priority="92">
      <formula>AND(AL$9&gt;=8/24,AL$9&lt;14/24)</formula>
    </cfRule>
    <cfRule type="expression" dxfId="6277" priority="93">
      <formula>AL$9&lt;8/24</formula>
    </cfRule>
  </conditionalFormatting>
  <conditionalFormatting sqref="AN77:AN78">
    <cfRule type="expression" dxfId="6276" priority="86">
      <formula>AN$9&gt;=20/24</formula>
    </cfRule>
    <cfRule type="expression" dxfId="6275" priority="87">
      <formula>AND(AN$9&gt;=14/24,AN$9&lt;20/24)</formula>
    </cfRule>
    <cfRule type="expression" dxfId="6274" priority="88">
      <formula>AND(AN$9&gt;=8/24,AN$9&lt;14/24)</formula>
    </cfRule>
    <cfRule type="expression" dxfId="6273" priority="89">
      <formula>AN$9&lt;8/24</formula>
    </cfRule>
  </conditionalFormatting>
  <conditionalFormatting sqref="AL75:AM79">
    <cfRule type="expression" dxfId="6272" priority="343">
      <formula>AJ$9&gt;=20/24</formula>
    </cfRule>
    <cfRule type="expression" dxfId="6271" priority="344">
      <formula>AND(AJ$9&gt;=14/24,AJ$9&lt;20/24)</formula>
    </cfRule>
    <cfRule type="expression" dxfId="6270" priority="345">
      <formula>AND(AJ$9&gt;=8/24,AJ$9&lt;14/24)</formula>
    </cfRule>
    <cfRule type="expression" dxfId="6269" priority="346">
      <formula>AJ$9&lt;8/24</formula>
    </cfRule>
  </conditionalFormatting>
  <conditionalFormatting sqref="B105 B107:B112 B11:E41 F14:F41 G15:AF41">
    <cfRule type="expression" dxfId="6268" priority="82">
      <formula>B$9&gt;=20/24</formula>
    </cfRule>
    <cfRule type="expression" dxfId="6267" priority="83">
      <formula>AND(B$9&gt;=14/24,B$9&lt;20/24)</formula>
    </cfRule>
    <cfRule type="expression" dxfId="6266" priority="84">
      <formula>AND(B$9&gt;=8/24,B$9&lt;14/24)</formula>
    </cfRule>
    <cfRule type="expression" dxfId="6265" priority="85">
      <formula>B$9&lt;8/24</formula>
    </cfRule>
  </conditionalFormatting>
  <conditionalFormatting sqref="B11:E41 F14:F41 G15:AF41">
    <cfRule type="expression" dxfId="6264" priority="81">
      <formula>B11&gt;$AG11</formula>
    </cfRule>
  </conditionalFormatting>
  <conditionalFormatting sqref="B95">
    <cfRule type="expression" dxfId="6263" priority="77">
      <formula>B$9&gt;=20/24</formula>
    </cfRule>
    <cfRule type="expression" dxfId="6262" priority="78">
      <formula>AND(B$9&gt;=14/24,B$9&lt;20/24)</formula>
    </cfRule>
    <cfRule type="expression" dxfId="6261" priority="79">
      <formula>AND(B$9&gt;=8/24,B$9&lt;14/24)</formula>
    </cfRule>
    <cfRule type="expression" dxfId="6260" priority="80">
      <formula>B$9&lt;8/24</formula>
    </cfRule>
  </conditionalFormatting>
  <conditionalFormatting sqref="B50:B53 B67">
    <cfRule type="expression" dxfId="6259" priority="73">
      <formula>B$9&gt;=20/24</formula>
    </cfRule>
    <cfRule type="expression" dxfId="6258" priority="74">
      <formula>AND(B$9&gt;=14/24,B$9&lt;20/24)</formula>
    </cfRule>
    <cfRule type="expression" dxfId="6257" priority="75">
      <formula>AND(B$9&gt;=8/24,B$9&lt;14/24)</formula>
    </cfRule>
    <cfRule type="expression" dxfId="6256" priority="76">
      <formula>B$9&lt;8/24</formula>
    </cfRule>
  </conditionalFormatting>
  <conditionalFormatting sqref="B49">
    <cfRule type="expression" dxfId="6255" priority="69">
      <formula>B$9&gt;=20/24</formula>
    </cfRule>
    <cfRule type="expression" dxfId="6254" priority="70">
      <formula>AND(B$9&gt;=14/24,B$9&lt;20/24)</formula>
    </cfRule>
    <cfRule type="expression" dxfId="6253" priority="71">
      <formula>AND(B$9&gt;=8/24,B$9&lt;14/24)</formula>
    </cfRule>
    <cfRule type="expression" dxfId="6252" priority="72">
      <formula>B$9&lt;8/24</formula>
    </cfRule>
  </conditionalFormatting>
  <conditionalFormatting sqref="B49:B53">
    <cfRule type="expression" dxfId="6251" priority="68">
      <formula>B49&gt;$AG49</formula>
    </cfRule>
  </conditionalFormatting>
  <conditionalFormatting sqref="B82 B43 B92 B96:B102 B63:B65 B68:B70">
    <cfRule type="expression" dxfId="6250" priority="64">
      <formula>B$9&gt;=20/24</formula>
    </cfRule>
    <cfRule type="expression" dxfId="6249" priority="65">
      <formula>AND(B$9&gt;=14/24,B$9&lt;20/24)</formula>
    </cfRule>
    <cfRule type="expression" dxfId="6248" priority="66">
      <formula>AND(B$9&gt;=8/24,B$9&lt;14/24)</formula>
    </cfRule>
    <cfRule type="expression" dxfId="6247" priority="67">
      <formula>B$9&lt;8/24</formula>
    </cfRule>
  </conditionalFormatting>
  <conditionalFormatting sqref="B43 B63:B65">
    <cfRule type="expression" dxfId="6246" priority="63">
      <formula>B43&gt;$AG43</formula>
    </cfRule>
  </conditionalFormatting>
  <conditionalFormatting sqref="B84 B93">
    <cfRule type="expression" dxfId="6245" priority="59">
      <formula>B$9&gt;=20/24</formula>
    </cfRule>
    <cfRule type="expression" dxfId="6244" priority="60">
      <formula>AND(B$9&gt;=14/24,B$9&lt;20/24)</formula>
    </cfRule>
    <cfRule type="expression" dxfId="6243" priority="61">
      <formula>AND(B$9&gt;=8/24,B$9&lt;14/24)</formula>
    </cfRule>
    <cfRule type="expression" dxfId="6242" priority="62">
      <formula>B$9&lt;8/24</formula>
    </cfRule>
  </conditionalFormatting>
  <conditionalFormatting sqref="B42:AF42">
    <cfRule type="expression" dxfId="6241" priority="55">
      <formula>B$9&gt;=20/24</formula>
    </cfRule>
    <cfRule type="expression" dxfId="6240" priority="56">
      <formula>AND(B$9&gt;=14/24,B$9&lt;20/24)</formula>
    </cfRule>
    <cfRule type="expression" dxfId="6239" priority="57">
      <formula>AND(B$9&gt;=8/24,B$9&lt;14/24)</formula>
    </cfRule>
    <cfRule type="expression" dxfId="6238" priority="58">
      <formula>B$9&lt;8/24</formula>
    </cfRule>
  </conditionalFormatting>
  <conditionalFormatting sqref="B42:AF42">
    <cfRule type="expression" dxfId="6237" priority="54">
      <formula>B42&gt;$AG42</formula>
    </cfRule>
  </conditionalFormatting>
  <conditionalFormatting sqref="B54">
    <cfRule type="expression" dxfId="6236" priority="50">
      <formula>B$9&gt;=20/24</formula>
    </cfRule>
    <cfRule type="expression" dxfId="6235" priority="51">
      <formula>AND(B$9&gt;=14/24,B$9&lt;20/24)</formula>
    </cfRule>
    <cfRule type="expression" dxfId="6234" priority="52">
      <formula>AND(B$9&gt;=8/24,B$9&lt;14/24)</formula>
    </cfRule>
    <cfRule type="expression" dxfId="6233" priority="53">
      <formula>B$9&lt;8/24</formula>
    </cfRule>
  </conditionalFormatting>
  <conditionalFormatting sqref="B54">
    <cfRule type="expression" dxfId="6232" priority="49">
      <formula>B54&gt;$AG54</formula>
    </cfRule>
  </conditionalFormatting>
  <conditionalFormatting sqref="B87:B91">
    <cfRule type="expression" dxfId="6231" priority="45">
      <formula>B$9&gt;=20/24</formula>
    </cfRule>
    <cfRule type="expression" dxfId="6230" priority="46">
      <formula>AND(B$9&gt;=14/24,B$9&lt;20/24)</formula>
    </cfRule>
    <cfRule type="expression" dxfId="6229" priority="47">
      <formula>AND(B$9&gt;=8/24,B$9&lt;14/24)</formula>
    </cfRule>
    <cfRule type="expression" dxfId="6228" priority="48">
      <formula>B$9&lt;8/24</formula>
    </cfRule>
  </conditionalFormatting>
  <conditionalFormatting sqref="B45:B47">
    <cfRule type="expression" dxfId="6227" priority="41">
      <formula>B$9&gt;=20/24</formula>
    </cfRule>
    <cfRule type="expression" dxfId="6226" priority="42">
      <formula>AND(B$9&gt;=14/24,B$9&lt;20/24)</formula>
    </cfRule>
    <cfRule type="expression" dxfId="6225" priority="43">
      <formula>AND(B$9&gt;=8/24,B$9&lt;14/24)</formula>
    </cfRule>
    <cfRule type="expression" dxfId="6224" priority="44">
      <formula>B$9&lt;8/24</formula>
    </cfRule>
  </conditionalFormatting>
  <conditionalFormatting sqref="B45:B47">
    <cfRule type="expression" dxfId="6223" priority="40">
      <formula>B45&gt;$AG45</formula>
    </cfRule>
  </conditionalFormatting>
  <conditionalFormatting sqref="B103">
    <cfRule type="expression" dxfId="6222" priority="36">
      <formula>B$9&gt;=20/24</formula>
    </cfRule>
    <cfRule type="expression" dxfId="6221" priority="37">
      <formula>AND(B$9&gt;=14/24,B$9&lt;20/24)</formula>
    </cfRule>
    <cfRule type="expression" dxfId="6220" priority="38">
      <formula>AND(B$9&gt;=8/24,B$9&lt;14/24)</formula>
    </cfRule>
    <cfRule type="expression" dxfId="6219" priority="39">
      <formula>B$9&lt;8/24</formula>
    </cfRule>
  </conditionalFormatting>
  <conditionalFormatting sqref="B106">
    <cfRule type="expression" dxfId="6218" priority="28">
      <formula>B$9&gt;=20/24</formula>
    </cfRule>
    <cfRule type="expression" dxfId="6217" priority="29">
      <formula>AND(B$9&gt;=14/24,B$9&lt;20/24)</formula>
    </cfRule>
    <cfRule type="expression" dxfId="6216" priority="30">
      <formula>AND(B$9&gt;=8/24,B$9&lt;14/24)</formula>
    </cfRule>
    <cfRule type="expression" dxfId="6215" priority="31">
      <formula>B$9&lt;8/24</formula>
    </cfRule>
  </conditionalFormatting>
  <conditionalFormatting sqref="B79:B81 B71:B77">
    <cfRule type="expression" dxfId="6214" priority="24">
      <formula>B$9&gt;=20/24</formula>
    </cfRule>
    <cfRule type="expression" dxfId="6213" priority="25">
      <formula>AND(B$9&gt;=14/24,B$9&lt;20/24)</formula>
    </cfRule>
    <cfRule type="expression" dxfId="6212" priority="26">
      <formula>AND(B$9&gt;=8/24,B$9&lt;14/24)</formula>
    </cfRule>
    <cfRule type="expression" dxfId="6211" priority="27">
      <formula>B$9&lt;8/24</formula>
    </cfRule>
  </conditionalFormatting>
  <conditionalFormatting sqref="B66 B83 B85 B94">
    <cfRule type="expression" dxfId="6210" priority="20">
      <formula>B$9&gt;=20/24</formula>
    </cfRule>
    <cfRule type="expression" dxfId="6209" priority="21">
      <formula>AND(B$9&gt;=14/24,B$9&lt;20/24)</formula>
    </cfRule>
    <cfRule type="expression" dxfId="6208" priority="22">
      <formula>AND(B$9&gt;=8/24,B$9&lt;14/24)</formula>
    </cfRule>
    <cfRule type="expression" dxfId="6207" priority="23">
      <formula>B$9&lt;8/24</formula>
    </cfRule>
  </conditionalFormatting>
  <conditionalFormatting sqref="B44 B61:B62 B66">
    <cfRule type="expression" dxfId="6206" priority="19">
      <formula>B44&gt;$AG44</formula>
    </cfRule>
  </conditionalFormatting>
  <conditionalFormatting sqref="B78">
    <cfRule type="expression" dxfId="6205" priority="15">
      <formula>B$9&gt;=20/24</formula>
    </cfRule>
    <cfRule type="expression" dxfId="6204" priority="16">
      <formula>AND(B$9&gt;=14/24,B$9&lt;20/24)</formula>
    </cfRule>
    <cfRule type="expression" dxfId="6203" priority="17">
      <formula>AND(B$9&gt;=8/24,B$9&lt;14/24)</formula>
    </cfRule>
    <cfRule type="expression" dxfId="6202" priority="18">
      <formula>B$9&lt;8/24</formula>
    </cfRule>
  </conditionalFormatting>
  <conditionalFormatting sqref="B48">
    <cfRule type="expression" dxfId="6201" priority="11">
      <formula>B$9&gt;=20/24</formula>
    </cfRule>
    <cfRule type="expression" dxfId="6200" priority="12">
      <formula>AND(B$9&gt;=14/24,B$9&lt;20/24)</formula>
    </cfRule>
    <cfRule type="expression" dxfId="6199" priority="13">
      <formula>AND(B$9&gt;=8/24,B$9&lt;14/24)</formula>
    </cfRule>
    <cfRule type="expression" dxfId="6198" priority="14">
      <formula>B$9&lt;8/24</formula>
    </cfRule>
  </conditionalFormatting>
  <conditionalFormatting sqref="B48">
    <cfRule type="expression" dxfId="6197" priority="10">
      <formula>B48&gt;$AG48</formula>
    </cfRule>
  </conditionalFormatting>
  <conditionalFormatting sqref="B55:C60">
    <cfRule type="expression" dxfId="6196" priority="2">
      <formula>B$9&gt;=20/24</formula>
    </cfRule>
    <cfRule type="expression" dxfId="6195" priority="3">
      <formula>AND(B$9&gt;=14/24,B$9&lt;20/24)</formula>
    </cfRule>
    <cfRule type="expression" dxfId="6194" priority="4">
      <formula>AND(B$9&gt;=8/24,B$9&lt;14/24)</formula>
    </cfRule>
    <cfRule type="expression" dxfId="6193" priority="5">
      <formula>B$9&lt;8/24</formula>
    </cfRule>
  </conditionalFormatting>
  <conditionalFormatting sqref="B55:C60">
    <cfRule type="expression" dxfId="6192" priority="1">
      <formula>B55&gt;$AG55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9" id="{C0FDD1E6-1832-4A76-B615-E329F8AB2E5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20" id="{FC5B380C-EC40-46C8-B308-8A66EBB4943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21" id="{4521902B-B0F0-4754-BF23-4E9DA411F56E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22" id="{EB56D948-634C-4440-9831-B6D26E16CAA0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215" id="{011E8D47-C44B-4151-8D83-6E234A509333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16" id="{AB1D1045-0A54-4E9A-963C-05106E7C27D6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17" id="{9678862C-6067-4710-BA4B-F83CA3A92145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18" id="{0E7681E9-3B85-4B5A-9C5F-7C1DB56DD8AD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125" id="{AE412FC5-CEEA-465D-8540-AAE0F547B02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26" id="{431F01D6-B787-4214-B852-49C0A7250914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27" id="{F5C1C6E8-A63F-4FD1-8F3B-0E79E7988DA0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28" id="{F92D14F4-2B6E-4DE9-8873-6F8D9769CF5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C86:AF86</xm:sqref>
        </x14:conditionalFormatting>
        <x14:conditionalFormatting xmlns:xm="http://schemas.microsoft.com/office/excel/2006/main">
          <x14:cfRule type="expression" priority="32" id="{A974035B-0647-4B42-B504-918787A34F7E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3" id="{913A7704-A9A7-4547-8714-1D24152F9F7E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4" id="{4BCF5B15-4B1B-4001-B28C-8B02A465D9EC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5" id="{1CB2688B-6AF4-4DCF-9817-CA0C49A5EF1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  <x14:conditionalFormatting xmlns:xm="http://schemas.microsoft.com/office/excel/2006/main">
          <x14:cfRule type="expression" priority="6" id="{EF79B221-558E-4EC6-824E-8F22B929001B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" id="{8038066F-8EA3-450F-B69F-ACC6AEA32D3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id="{59CBA140-6FA2-441E-9971-B579DE5C06A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" id="{A700235F-C71F-4983-B426-01A98BB8F41E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J274"/>
  <sheetViews>
    <sheetView zoomScale="90" zoomScaleNormal="90" workbookViewId="0">
      <pane ySplit="10" topLeftCell="A80" activePane="bottomLeft" state="frozen"/>
      <selection activeCell="U80" sqref="U80"/>
      <selection pane="bottomLeft" activeCell="X84" sqref="X84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/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str">
        <f ca="1">"2079/"&amp;"09/"&amp;INT(MID(CELL("filename",D6),FIND("]",CELL("filename",D6))+1,200))</f>
        <v>2079/09/13</v>
      </c>
      <c r="C4" s="771"/>
      <c r="D4" s="771"/>
      <c r="E4" s="772" t="str">
        <f ca="1">"2079/"&amp;"09/"&amp;INT(MID(CELL("filename",G6),FIND("]",CELL("filename",G6))+1,200))</f>
        <v>2079/09/13</v>
      </c>
      <c r="F4" s="772"/>
      <c r="G4" s="772"/>
      <c r="H4" s="772" t="str">
        <f ca="1">TEXT(E4,"dddd")</f>
        <v>Wednesday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499.20000000000005</v>
      </c>
      <c r="C5" s="30">
        <f t="shared" si="0"/>
        <v>479</v>
      </c>
      <c r="D5" s="30">
        <f t="shared" si="0"/>
        <v>457.49999999999994</v>
      </c>
      <c r="E5" s="30">
        <f t="shared" si="0"/>
        <v>459.1</v>
      </c>
      <c r="F5" s="30">
        <f t="shared" si="0"/>
        <v>453.79999999999995</v>
      </c>
      <c r="G5" s="30">
        <f t="shared" si="0"/>
        <v>487.09999999999997</v>
      </c>
      <c r="H5" s="30">
        <f t="shared" si="0"/>
        <v>479.3</v>
      </c>
      <c r="I5" s="30">
        <f t="shared" si="0"/>
        <v>495.59999999999997</v>
      </c>
      <c r="J5" s="30">
        <f t="shared" si="0"/>
        <v>407.20000000000005</v>
      </c>
      <c r="K5" s="30">
        <f t="shared" si="0"/>
        <v>444.4</v>
      </c>
      <c r="L5" s="30">
        <f t="shared" si="0"/>
        <v>432.3</v>
      </c>
      <c r="M5" s="30">
        <f t="shared" si="0"/>
        <v>461.2</v>
      </c>
      <c r="N5" s="30">
        <f t="shared" si="0"/>
        <v>511.6</v>
      </c>
      <c r="O5" s="30">
        <f t="shared" si="0"/>
        <v>511.29999999999995</v>
      </c>
      <c r="P5" s="30">
        <f t="shared" si="0"/>
        <v>500</v>
      </c>
      <c r="Q5" s="30">
        <f t="shared" si="0"/>
        <v>497</v>
      </c>
      <c r="R5" s="30">
        <f t="shared" si="0"/>
        <v>503</v>
      </c>
      <c r="S5" s="30">
        <f t="shared" si="0"/>
        <v>491.6</v>
      </c>
      <c r="T5" s="30">
        <f t="shared" si="0"/>
        <v>504.2</v>
      </c>
      <c r="U5" s="30">
        <f t="shared" si="0"/>
        <v>475.5</v>
      </c>
      <c r="V5" s="30">
        <f t="shared" si="0"/>
        <v>455</v>
      </c>
      <c r="W5" s="30">
        <f t="shared" si="0"/>
        <v>463.30000000000007</v>
      </c>
      <c r="X5" s="30">
        <f t="shared" si="0"/>
        <v>366.09999999999997</v>
      </c>
      <c r="Y5" s="30">
        <f t="shared" si="0"/>
        <v>293.39999999999998</v>
      </c>
      <c r="Z5" s="30">
        <f t="shared" si="0"/>
        <v>319.5</v>
      </c>
      <c r="AA5" s="30">
        <f t="shared" si="0"/>
        <v>387.7</v>
      </c>
      <c r="AB5" s="30">
        <f t="shared" si="0"/>
        <v>483.3</v>
      </c>
      <c r="AC5" s="30">
        <f t="shared" si="0"/>
        <v>452</v>
      </c>
      <c r="AD5" s="30">
        <f t="shared" si="0"/>
        <v>452</v>
      </c>
      <c r="AE5" s="30">
        <f t="shared" si="0"/>
        <v>475</v>
      </c>
      <c r="AF5" s="30">
        <f>B78</f>
        <v>499.59999999999997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1525MW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Load=1039</v>
      </c>
      <c r="B7" s="35">
        <f t="shared" ref="B7:AF7" si="1">B85</f>
        <v>1178.8399999999999</v>
      </c>
      <c r="C7" s="35">
        <f t="shared" si="1"/>
        <v>1068.1399999999999</v>
      </c>
      <c r="D7" s="35">
        <f t="shared" si="1"/>
        <v>1047.04</v>
      </c>
      <c r="E7" s="35">
        <f t="shared" si="1"/>
        <v>1044.94</v>
      </c>
      <c r="F7" s="35">
        <f t="shared" si="1"/>
        <v>1038.74</v>
      </c>
      <c r="G7" s="35">
        <f t="shared" si="1"/>
        <v>1067.7399999999998</v>
      </c>
      <c r="H7" s="35">
        <f t="shared" si="1"/>
        <v>1148.7399999999998</v>
      </c>
      <c r="I7" s="35">
        <f t="shared" si="1"/>
        <v>1189.8399999999999</v>
      </c>
      <c r="J7" s="35">
        <f t="shared" si="1"/>
        <v>1262.6399999999999</v>
      </c>
      <c r="K7" s="35">
        <f t="shared" si="1"/>
        <v>1394.24</v>
      </c>
      <c r="L7" s="35">
        <f t="shared" si="1"/>
        <v>1473.34</v>
      </c>
      <c r="M7" s="35">
        <f t="shared" si="1"/>
        <v>1524.74</v>
      </c>
      <c r="N7" s="35">
        <f>N85</f>
        <v>1447.84</v>
      </c>
      <c r="O7" s="35">
        <f t="shared" si="1"/>
        <v>1426.2399999999998</v>
      </c>
      <c r="P7" s="35">
        <f t="shared" si="1"/>
        <v>1378.34</v>
      </c>
      <c r="Q7" s="35">
        <f t="shared" si="1"/>
        <v>1374.04</v>
      </c>
      <c r="R7" s="35">
        <f t="shared" si="1"/>
        <v>1290.54</v>
      </c>
      <c r="S7" s="35">
        <f t="shared" si="1"/>
        <v>1274.7399999999998</v>
      </c>
      <c r="T7" s="35">
        <f t="shared" si="1"/>
        <v>1316.94</v>
      </c>
      <c r="U7" s="35">
        <f t="shared" si="1"/>
        <v>1328.7399999999998</v>
      </c>
      <c r="V7" s="35">
        <f t="shared" si="1"/>
        <v>1247.94</v>
      </c>
      <c r="W7" s="35">
        <f t="shared" si="1"/>
        <v>1407.54</v>
      </c>
      <c r="X7" s="35">
        <f t="shared" si="1"/>
        <v>1555.44</v>
      </c>
      <c r="Y7" s="35">
        <f t="shared" si="1"/>
        <v>1614.6399999999999</v>
      </c>
      <c r="Z7" s="35">
        <f t="shared" si="1"/>
        <v>1540.7400000000002</v>
      </c>
      <c r="AA7" s="35">
        <f t="shared" si="1"/>
        <v>1521.1399999999999</v>
      </c>
      <c r="AB7" s="35">
        <f t="shared" si="1"/>
        <v>1389.34</v>
      </c>
      <c r="AC7" s="35">
        <f t="shared" si="1"/>
        <v>1391.04</v>
      </c>
      <c r="AD7" s="35">
        <f t="shared" si="1"/>
        <v>1379.74</v>
      </c>
      <c r="AE7" s="35">
        <f t="shared" si="1"/>
        <v>1263.1399999999999</v>
      </c>
      <c r="AF7" s="35">
        <f t="shared" si="1"/>
        <v>1142.44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19.399999999999999</v>
      </c>
      <c r="C11" s="45">
        <v>19.399999999999999</v>
      </c>
      <c r="D11" s="45">
        <v>19.100000000000001</v>
      </c>
      <c r="E11" s="45">
        <v>19.100000000000001</v>
      </c>
      <c r="F11" s="45">
        <v>19.100000000000001</v>
      </c>
      <c r="G11" s="45">
        <v>19.100000000000001</v>
      </c>
      <c r="H11" s="45">
        <v>19.100000000000001</v>
      </c>
      <c r="I11" s="45">
        <v>19.100000000000001</v>
      </c>
      <c r="J11" s="45">
        <v>19.100000000000001</v>
      </c>
      <c r="K11" s="45">
        <v>19.100000000000001</v>
      </c>
      <c r="L11" s="45">
        <v>19.100000000000001</v>
      </c>
      <c r="M11" s="45">
        <v>19.100000000000001</v>
      </c>
      <c r="N11" s="45">
        <v>19.100000000000001</v>
      </c>
      <c r="O11" s="45">
        <v>19.100000000000001</v>
      </c>
      <c r="P11" s="45">
        <v>0</v>
      </c>
      <c r="Q11" s="45">
        <v>16.5</v>
      </c>
      <c r="R11" s="45">
        <v>16.5</v>
      </c>
      <c r="S11" s="45">
        <v>16.5</v>
      </c>
      <c r="T11" s="45">
        <v>16.3</v>
      </c>
      <c r="U11" s="45">
        <v>16.399999999999999</v>
      </c>
      <c r="V11" s="45">
        <v>22.6</v>
      </c>
      <c r="W11" s="45">
        <v>22.6</v>
      </c>
      <c r="X11" s="45">
        <v>15.1</v>
      </c>
      <c r="Y11" s="45">
        <v>16.5</v>
      </c>
      <c r="Z11" s="45">
        <v>15.8</v>
      </c>
      <c r="AA11" s="45">
        <v>15.8</v>
      </c>
      <c r="AB11" s="45">
        <v>15.8</v>
      </c>
      <c r="AC11" s="45">
        <v>15.8</v>
      </c>
      <c r="AD11" s="45">
        <v>15.8</v>
      </c>
      <c r="AE11" s="45">
        <v>15.8</v>
      </c>
      <c r="AF11" s="45">
        <v>15.8</v>
      </c>
      <c r="AG11" s="46">
        <v>52.4</v>
      </c>
      <c r="AH11" s="47">
        <f t="shared" ref="AH11:AH74" si="2">MAX(B11:AF11)</f>
        <v>22.6</v>
      </c>
      <c r="AI11" s="48">
        <f t="shared" ref="AI11:AI74" si="3">MIN(B11:AF11)</f>
        <v>0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34.799999999999997</v>
      </c>
      <c r="C12" s="45">
        <v>34.5</v>
      </c>
      <c r="D12" s="45">
        <v>34.1</v>
      </c>
      <c r="E12" s="45">
        <v>34.1</v>
      </c>
      <c r="F12" s="45">
        <v>34.1</v>
      </c>
      <c r="G12" s="45">
        <v>34.1</v>
      </c>
      <c r="H12" s="45">
        <v>34.1</v>
      </c>
      <c r="I12" s="45">
        <v>34.1</v>
      </c>
      <c r="J12" s="45">
        <v>34.1</v>
      </c>
      <c r="K12" s="45">
        <v>34.1</v>
      </c>
      <c r="L12" s="45">
        <v>34.1</v>
      </c>
      <c r="M12" s="45">
        <v>34.1</v>
      </c>
      <c r="N12" s="45">
        <v>34.1</v>
      </c>
      <c r="O12" s="45">
        <v>34.1</v>
      </c>
      <c r="P12" s="45">
        <v>34.1</v>
      </c>
      <c r="Q12" s="45">
        <v>34.1</v>
      </c>
      <c r="R12" s="45">
        <v>34.1</v>
      </c>
      <c r="S12" s="45">
        <v>34.1</v>
      </c>
      <c r="T12" s="45">
        <v>33.5</v>
      </c>
      <c r="U12" s="45">
        <v>33.5</v>
      </c>
      <c r="V12" s="45">
        <v>33.799999999999997</v>
      </c>
      <c r="W12" s="45">
        <v>33.799999999999997</v>
      </c>
      <c r="X12" s="45">
        <v>33</v>
      </c>
      <c r="Y12" s="45">
        <v>33.700000000000003</v>
      </c>
      <c r="Z12" s="45">
        <v>33.5</v>
      </c>
      <c r="AA12" s="45">
        <v>33.5</v>
      </c>
      <c r="AB12" s="45">
        <v>33.5</v>
      </c>
      <c r="AC12" s="45">
        <v>33.5</v>
      </c>
      <c r="AD12" s="45">
        <v>33.5</v>
      </c>
      <c r="AE12" s="45">
        <v>33.5</v>
      </c>
      <c r="AF12" s="45">
        <v>33.5</v>
      </c>
      <c r="AG12" s="50">
        <v>50</v>
      </c>
      <c r="AH12" s="47">
        <f t="shared" si="2"/>
        <v>34.799999999999997</v>
      </c>
      <c r="AI12" s="48">
        <f t="shared" si="3"/>
        <v>33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19.399999999999999</v>
      </c>
      <c r="C13" s="45">
        <v>19.399999999999999</v>
      </c>
      <c r="D13" s="45">
        <v>19.5</v>
      </c>
      <c r="E13" s="45">
        <v>19.5</v>
      </c>
      <c r="F13" s="45">
        <v>19.5</v>
      </c>
      <c r="G13" s="45">
        <v>19.5</v>
      </c>
      <c r="H13" s="45">
        <v>19.5</v>
      </c>
      <c r="I13" s="45">
        <v>19.5</v>
      </c>
      <c r="J13" s="45">
        <v>19.5</v>
      </c>
      <c r="K13" s="45">
        <v>19.5</v>
      </c>
      <c r="L13" s="45">
        <v>19.5</v>
      </c>
      <c r="M13" s="45">
        <v>19.5</v>
      </c>
      <c r="N13" s="45">
        <v>19.5</v>
      </c>
      <c r="O13" s="45">
        <v>19.5</v>
      </c>
      <c r="P13" s="45">
        <v>19.5</v>
      </c>
      <c r="Q13" s="45">
        <v>19.5</v>
      </c>
      <c r="R13" s="45">
        <v>19.5</v>
      </c>
      <c r="S13" s="45">
        <v>19.5</v>
      </c>
      <c r="T13" s="45">
        <v>18.3</v>
      </c>
      <c r="U13" s="45">
        <v>18.2</v>
      </c>
      <c r="V13" s="45">
        <v>20</v>
      </c>
      <c r="W13" s="45">
        <v>20</v>
      </c>
      <c r="X13" s="45">
        <v>19.5</v>
      </c>
      <c r="Y13" s="45">
        <v>20.399999999999999</v>
      </c>
      <c r="Z13" s="45">
        <v>20</v>
      </c>
      <c r="AA13" s="45">
        <v>19.7</v>
      </c>
      <c r="AB13" s="45">
        <v>19.7</v>
      </c>
      <c r="AC13" s="45">
        <v>19.7</v>
      </c>
      <c r="AD13" s="45">
        <v>19.7</v>
      </c>
      <c r="AE13" s="45">
        <v>19.7</v>
      </c>
      <c r="AF13" s="45">
        <v>19.7</v>
      </c>
      <c r="AG13" s="50">
        <v>45</v>
      </c>
      <c r="AH13" s="47">
        <f t="shared" si="2"/>
        <v>20.399999999999999</v>
      </c>
      <c r="AI13" s="48">
        <f t="shared" si="3"/>
        <v>18.2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9</v>
      </c>
      <c r="C14" s="45">
        <v>9</v>
      </c>
      <c r="D14" s="45">
        <v>9</v>
      </c>
      <c r="E14" s="45">
        <v>9</v>
      </c>
      <c r="F14" s="45">
        <v>9</v>
      </c>
      <c r="G14" s="45">
        <v>9</v>
      </c>
      <c r="H14" s="45">
        <v>9</v>
      </c>
      <c r="I14" s="45">
        <v>9</v>
      </c>
      <c r="J14" s="45">
        <v>9</v>
      </c>
      <c r="K14" s="45">
        <v>9</v>
      </c>
      <c r="L14" s="45">
        <v>9</v>
      </c>
      <c r="M14" s="45">
        <v>9</v>
      </c>
      <c r="N14" s="45">
        <v>9</v>
      </c>
      <c r="O14" s="45">
        <v>9</v>
      </c>
      <c r="P14" s="45">
        <v>9</v>
      </c>
      <c r="Q14" s="45">
        <v>9</v>
      </c>
      <c r="R14" s="45">
        <v>9</v>
      </c>
      <c r="S14" s="45">
        <v>9</v>
      </c>
      <c r="T14" s="45">
        <v>9</v>
      </c>
      <c r="U14" s="45">
        <v>9</v>
      </c>
      <c r="V14" s="45">
        <v>9</v>
      </c>
      <c r="W14" s="45">
        <v>9</v>
      </c>
      <c r="X14" s="45">
        <v>9</v>
      </c>
      <c r="Y14" s="45">
        <v>9</v>
      </c>
      <c r="Z14" s="45">
        <v>9</v>
      </c>
      <c r="AA14" s="45">
        <v>9</v>
      </c>
      <c r="AB14" s="45">
        <v>9</v>
      </c>
      <c r="AC14" s="45">
        <v>9</v>
      </c>
      <c r="AD14" s="45">
        <v>9</v>
      </c>
      <c r="AE14" s="45">
        <v>9</v>
      </c>
      <c r="AF14" s="45">
        <v>9</v>
      </c>
      <c r="AG14" s="50">
        <v>42</v>
      </c>
      <c r="AH14" s="47">
        <f t="shared" si="2"/>
        <v>9</v>
      </c>
      <c r="AI14" s="48">
        <f t="shared" si="3"/>
        <v>9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13</v>
      </c>
      <c r="C15" s="45">
        <v>13</v>
      </c>
      <c r="D15" s="45">
        <v>13</v>
      </c>
      <c r="E15" s="45">
        <v>13</v>
      </c>
      <c r="F15" s="45">
        <v>13</v>
      </c>
      <c r="G15" s="45">
        <v>13</v>
      </c>
      <c r="H15" s="45">
        <v>13</v>
      </c>
      <c r="I15" s="45">
        <v>13</v>
      </c>
      <c r="J15" s="45">
        <v>13</v>
      </c>
      <c r="K15" s="45">
        <v>13</v>
      </c>
      <c r="L15" s="45">
        <v>13</v>
      </c>
      <c r="M15" s="45">
        <v>13</v>
      </c>
      <c r="N15" s="45">
        <v>13</v>
      </c>
      <c r="O15" s="45">
        <v>13</v>
      </c>
      <c r="P15" s="45">
        <v>13</v>
      </c>
      <c r="Q15" s="45">
        <v>13</v>
      </c>
      <c r="R15" s="45">
        <v>13</v>
      </c>
      <c r="S15" s="45">
        <v>13</v>
      </c>
      <c r="T15" s="45">
        <v>13</v>
      </c>
      <c r="U15" s="45">
        <v>13</v>
      </c>
      <c r="V15" s="45">
        <v>13</v>
      </c>
      <c r="W15" s="45">
        <v>13</v>
      </c>
      <c r="X15" s="45">
        <v>13</v>
      </c>
      <c r="Y15" s="45">
        <v>13</v>
      </c>
      <c r="Z15" s="45">
        <v>13</v>
      </c>
      <c r="AA15" s="45">
        <v>13</v>
      </c>
      <c r="AB15" s="45">
        <v>13</v>
      </c>
      <c r="AC15" s="45">
        <v>13</v>
      </c>
      <c r="AD15" s="45">
        <v>13</v>
      </c>
      <c r="AE15" s="45">
        <v>13</v>
      </c>
      <c r="AF15" s="45">
        <v>13</v>
      </c>
      <c r="AG15" s="50">
        <v>36</v>
      </c>
      <c r="AH15" s="47">
        <f t="shared" si="2"/>
        <v>13</v>
      </c>
      <c r="AI15" s="48">
        <f t="shared" si="3"/>
        <v>13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8.1999999999999993</v>
      </c>
      <c r="C16" s="45">
        <v>8.1999999999999993</v>
      </c>
      <c r="D16" s="45">
        <v>8.1999999999999993</v>
      </c>
      <c r="E16" s="45">
        <v>8.1999999999999993</v>
      </c>
      <c r="F16" s="45">
        <v>8.1999999999999993</v>
      </c>
      <c r="G16" s="45">
        <v>8.1999999999999993</v>
      </c>
      <c r="H16" s="45">
        <v>8.1999999999999993</v>
      </c>
      <c r="I16" s="45">
        <v>8.1999999999999993</v>
      </c>
      <c r="J16" s="45">
        <v>8.1999999999999993</v>
      </c>
      <c r="K16" s="45">
        <v>8.1999999999999993</v>
      </c>
      <c r="L16" s="45">
        <v>8.1999999999999993</v>
      </c>
      <c r="M16" s="45">
        <v>8.1999999999999993</v>
      </c>
      <c r="N16" s="45">
        <v>8.1999999999999993</v>
      </c>
      <c r="O16" s="45">
        <v>8.1999999999999993</v>
      </c>
      <c r="P16" s="45">
        <v>8.1999999999999993</v>
      </c>
      <c r="Q16" s="45">
        <v>8.1999999999999993</v>
      </c>
      <c r="R16" s="45">
        <v>8.1999999999999993</v>
      </c>
      <c r="S16" s="45">
        <v>8.1999999999999993</v>
      </c>
      <c r="T16" s="45">
        <v>8.1999999999999993</v>
      </c>
      <c r="U16" s="45">
        <v>8.1999999999999993</v>
      </c>
      <c r="V16" s="45">
        <v>8.1999999999999993</v>
      </c>
      <c r="W16" s="45">
        <v>8.1999999999999993</v>
      </c>
      <c r="X16" s="45">
        <v>8.1999999999999993</v>
      </c>
      <c r="Y16" s="45">
        <v>8.1999999999999993</v>
      </c>
      <c r="Z16" s="45">
        <v>8.1999999999999993</v>
      </c>
      <c r="AA16" s="45">
        <v>8.1999999999999993</v>
      </c>
      <c r="AB16" s="45">
        <v>8.1999999999999993</v>
      </c>
      <c r="AC16" s="45">
        <v>8.1999999999999993</v>
      </c>
      <c r="AD16" s="45">
        <v>8.1999999999999993</v>
      </c>
      <c r="AE16" s="45">
        <v>8.1999999999999993</v>
      </c>
      <c r="AF16" s="45">
        <v>8.1999999999999993</v>
      </c>
      <c r="AG16" s="51">
        <v>30</v>
      </c>
      <c r="AH16" s="47">
        <f t="shared" si="2"/>
        <v>8.1999999999999993</v>
      </c>
      <c r="AI16" s="48">
        <f t="shared" si="3"/>
        <v>8.1999999999999993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8.1</v>
      </c>
      <c r="C17" s="45">
        <v>8.1</v>
      </c>
      <c r="D17" s="45">
        <v>8.1</v>
      </c>
      <c r="E17" s="45">
        <v>8.1</v>
      </c>
      <c r="F17" s="45">
        <v>8.1</v>
      </c>
      <c r="G17" s="45">
        <v>8.1</v>
      </c>
      <c r="H17" s="45">
        <v>8.1</v>
      </c>
      <c r="I17" s="45">
        <v>8.1</v>
      </c>
      <c r="J17" s="45">
        <v>8.1</v>
      </c>
      <c r="K17" s="45">
        <v>8.1</v>
      </c>
      <c r="L17" s="45">
        <v>8.1</v>
      </c>
      <c r="M17" s="45">
        <v>8.1</v>
      </c>
      <c r="N17" s="45">
        <v>8.1</v>
      </c>
      <c r="O17" s="45">
        <v>8.1</v>
      </c>
      <c r="P17" s="45">
        <v>8.1</v>
      </c>
      <c r="Q17" s="45">
        <v>8.1</v>
      </c>
      <c r="R17" s="45">
        <v>8.1</v>
      </c>
      <c r="S17" s="45">
        <v>8.1</v>
      </c>
      <c r="T17" s="45">
        <v>8.1</v>
      </c>
      <c r="U17" s="45">
        <v>8.1</v>
      </c>
      <c r="V17" s="45">
        <v>8.1</v>
      </c>
      <c r="W17" s="45">
        <v>8.1</v>
      </c>
      <c r="X17" s="45">
        <v>8.1</v>
      </c>
      <c r="Y17" s="45">
        <v>8.1</v>
      </c>
      <c r="Z17" s="45">
        <v>8.1</v>
      </c>
      <c r="AA17" s="45">
        <v>8.1</v>
      </c>
      <c r="AB17" s="45">
        <v>8.1</v>
      </c>
      <c r="AC17" s="45">
        <v>8.1</v>
      </c>
      <c r="AD17" s="45">
        <v>8.1</v>
      </c>
      <c r="AE17" s="45">
        <v>8.1</v>
      </c>
      <c r="AF17" s="45">
        <v>8.1</v>
      </c>
      <c r="AG17" s="50">
        <v>24.2</v>
      </c>
      <c r="AH17" s="47">
        <f t="shared" si="2"/>
        <v>8.1</v>
      </c>
      <c r="AI17" s="48">
        <f t="shared" si="3"/>
        <v>8.1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13</v>
      </c>
      <c r="F18" s="45">
        <v>13</v>
      </c>
      <c r="G18" s="45">
        <v>13</v>
      </c>
      <c r="H18" s="45">
        <v>13</v>
      </c>
      <c r="I18" s="45">
        <v>13</v>
      </c>
      <c r="J18" s="45">
        <v>13</v>
      </c>
      <c r="K18" s="45">
        <v>13</v>
      </c>
      <c r="L18" s="45">
        <v>13</v>
      </c>
      <c r="M18" s="45">
        <v>13</v>
      </c>
      <c r="N18" s="45">
        <v>13</v>
      </c>
      <c r="O18" s="45">
        <v>13</v>
      </c>
      <c r="P18" s="45">
        <v>13</v>
      </c>
      <c r="Q18" s="45">
        <v>13</v>
      </c>
      <c r="R18" s="45">
        <v>13</v>
      </c>
      <c r="S18" s="45">
        <v>13</v>
      </c>
      <c r="T18" s="45">
        <v>13</v>
      </c>
      <c r="U18" s="45">
        <v>13</v>
      </c>
      <c r="V18" s="45">
        <v>13</v>
      </c>
      <c r="W18" s="45">
        <v>13</v>
      </c>
      <c r="X18" s="45">
        <v>13</v>
      </c>
      <c r="Y18" s="45">
        <v>13</v>
      </c>
      <c r="Z18" s="45">
        <v>13</v>
      </c>
      <c r="AA18" s="45">
        <v>13</v>
      </c>
      <c r="AB18" s="45">
        <v>13</v>
      </c>
      <c r="AC18" s="45">
        <v>13</v>
      </c>
      <c r="AD18" s="45">
        <v>13</v>
      </c>
      <c r="AE18" s="45">
        <v>13</v>
      </c>
      <c r="AF18" s="45">
        <v>13</v>
      </c>
      <c r="AG18" s="50">
        <v>28</v>
      </c>
      <c r="AH18" s="47">
        <f t="shared" si="2"/>
        <v>13</v>
      </c>
      <c r="AI18" s="48">
        <f t="shared" si="3"/>
        <v>13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9.3000000000000007</v>
      </c>
      <c r="C20" s="45">
        <v>9.3000000000000007</v>
      </c>
      <c r="D20" s="45">
        <v>9.3000000000000007</v>
      </c>
      <c r="E20" s="45">
        <v>9.3000000000000007</v>
      </c>
      <c r="F20" s="45">
        <v>9.3000000000000007</v>
      </c>
      <c r="G20" s="45">
        <v>9.3000000000000007</v>
      </c>
      <c r="H20" s="45">
        <v>9.3000000000000007</v>
      </c>
      <c r="I20" s="45">
        <v>9.3000000000000007</v>
      </c>
      <c r="J20" s="45">
        <v>9.3000000000000007</v>
      </c>
      <c r="K20" s="45">
        <v>9.3000000000000007</v>
      </c>
      <c r="L20" s="45">
        <v>9.3000000000000007</v>
      </c>
      <c r="M20" s="45">
        <v>9.3000000000000007</v>
      </c>
      <c r="N20" s="45">
        <v>9.3000000000000007</v>
      </c>
      <c r="O20" s="45">
        <v>9.3000000000000007</v>
      </c>
      <c r="P20" s="45">
        <v>9.3000000000000007</v>
      </c>
      <c r="Q20" s="45">
        <v>9.3000000000000007</v>
      </c>
      <c r="R20" s="45">
        <v>9.3000000000000007</v>
      </c>
      <c r="S20" s="45">
        <v>9.3000000000000007</v>
      </c>
      <c r="T20" s="45">
        <v>9.3000000000000007</v>
      </c>
      <c r="U20" s="45">
        <v>9.3000000000000007</v>
      </c>
      <c r="V20" s="45">
        <v>9.3000000000000007</v>
      </c>
      <c r="W20" s="45">
        <v>9.3000000000000007</v>
      </c>
      <c r="X20" s="45">
        <v>9.3000000000000007</v>
      </c>
      <c r="Y20" s="45">
        <v>9.3000000000000007</v>
      </c>
      <c r="Z20" s="45">
        <v>9.3000000000000007</v>
      </c>
      <c r="AA20" s="45">
        <v>9.3000000000000007</v>
      </c>
      <c r="AB20" s="45">
        <v>9.3000000000000007</v>
      </c>
      <c r="AC20" s="45">
        <v>9.3000000000000007</v>
      </c>
      <c r="AD20" s="45">
        <v>9.3000000000000007</v>
      </c>
      <c r="AE20" s="45">
        <v>9.3000000000000007</v>
      </c>
      <c r="AF20" s="45">
        <v>9.3000000000000007</v>
      </c>
      <c r="AG20" s="50">
        <v>25</v>
      </c>
      <c r="AH20" s="47">
        <f t="shared" si="2"/>
        <v>9.3000000000000007</v>
      </c>
      <c r="AI20" s="48">
        <f t="shared" si="3"/>
        <v>9.3000000000000007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0">
        <v>25</v>
      </c>
      <c r="AH22" s="47">
        <f t="shared" si="2"/>
        <v>11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8.6</v>
      </c>
      <c r="C24" s="45">
        <v>8.6</v>
      </c>
      <c r="D24" s="45">
        <v>8.6</v>
      </c>
      <c r="E24" s="45">
        <v>8.6</v>
      </c>
      <c r="F24" s="45">
        <v>8.6</v>
      </c>
      <c r="G24" s="45">
        <v>8.6</v>
      </c>
      <c r="H24" s="45">
        <v>8.6</v>
      </c>
      <c r="I24" s="45">
        <v>8.6</v>
      </c>
      <c r="J24" s="45">
        <v>8.6</v>
      </c>
      <c r="K24" s="45">
        <v>8.6</v>
      </c>
      <c r="L24" s="45">
        <v>8.6</v>
      </c>
      <c r="M24" s="45">
        <v>8.6</v>
      </c>
      <c r="N24" s="45">
        <v>8.6</v>
      </c>
      <c r="O24" s="45">
        <v>8.6</v>
      </c>
      <c r="P24" s="45">
        <v>8.6</v>
      </c>
      <c r="Q24" s="45">
        <v>8.6</v>
      </c>
      <c r="R24" s="45">
        <v>8.6</v>
      </c>
      <c r="S24" s="45">
        <v>8.6</v>
      </c>
      <c r="T24" s="45">
        <v>8.6</v>
      </c>
      <c r="U24" s="45">
        <v>8.6</v>
      </c>
      <c r="V24" s="45">
        <v>8.6</v>
      </c>
      <c r="W24" s="45">
        <v>8.6</v>
      </c>
      <c r="X24" s="45">
        <v>8.6</v>
      </c>
      <c r="Y24" s="45">
        <v>8.6</v>
      </c>
      <c r="Z24" s="45">
        <v>8.6</v>
      </c>
      <c r="AA24" s="45">
        <v>8.6</v>
      </c>
      <c r="AB24" s="45">
        <v>8.6</v>
      </c>
      <c r="AC24" s="45">
        <v>8.6</v>
      </c>
      <c r="AD24" s="45">
        <v>8.6</v>
      </c>
      <c r="AE24" s="45">
        <v>8.6</v>
      </c>
      <c r="AF24" s="45">
        <v>8.6</v>
      </c>
      <c r="AG24" s="50">
        <v>23.5</v>
      </c>
      <c r="AH24" s="47">
        <f t="shared" si="2"/>
        <v>8.6</v>
      </c>
      <c r="AI24" s="48">
        <f t="shared" si="3"/>
        <v>8.6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11</v>
      </c>
      <c r="C28" s="45">
        <v>11</v>
      </c>
      <c r="D28" s="45">
        <v>11</v>
      </c>
      <c r="E28" s="45">
        <v>11</v>
      </c>
      <c r="F28" s="45">
        <v>11</v>
      </c>
      <c r="G28" s="45">
        <v>11</v>
      </c>
      <c r="H28" s="45">
        <v>11</v>
      </c>
      <c r="I28" s="45">
        <v>11</v>
      </c>
      <c r="J28" s="45">
        <v>11</v>
      </c>
      <c r="K28" s="45">
        <v>11</v>
      </c>
      <c r="L28" s="45">
        <v>11</v>
      </c>
      <c r="M28" s="45">
        <v>11</v>
      </c>
      <c r="N28" s="45">
        <v>11</v>
      </c>
      <c r="O28" s="45">
        <v>11</v>
      </c>
      <c r="P28" s="45">
        <v>11</v>
      </c>
      <c r="Q28" s="45">
        <v>11</v>
      </c>
      <c r="R28" s="45">
        <v>11</v>
      </c>
      <c r="S28" s="45">
        <v>11</v>
      </c>
      <c r="T28" s="45">
        <v>11</v>
      </c>
      <c r="U28" s="45">
        <v>11</v>
      </c>
      <c r="V28" s="45">
        <v>11</v>
      </c>
      <c r="W28" s="45">
        <v>11</v>
      </c>
      <c r="X28" s="45">
        <v>11</v>
      </c>
      <c r="Y28" s="45">
        <v>11</v>
      </c>
      <c r="Z28" s="45">
        <v>11</v>
      </c>
      <c r="AA28" s="45">
        <v>11</v>
      </c>
      <c r="AB28" s="45">
        <v>11</v>
      </c>
      <c r="AC28" s="45">
        <v>11</v>
      </c>
      <c r="AD28" s="45">
        <v>11</v>
      </c>
      <c r="AE28" s="45">
        <v>11</v>
      </c>
      <c r="AF28" s="45">
        <v>11</v>
      </c>
      <c r="AG28" s="50">
        <v>22</v>
      </c>
      <c r="AH28" s="47">
        <f t="shared" si="2"/>
        <v>11</v>
      </c>
      <c r="AI28" s="48">
        <f t="shared" si="3"/>
        <v>11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>
        <v>10</v>
      </c>
      <c r="L35" s="45">
        <v>10</v>
      </c>
      <c r="M35" s="45">
        <v>10</v>
      </c>
      <c r="N35" s="45">
        <v>10</v>
      </c>
      <c r="O35" s="45">
        <v>10</v>
      </c>
      <c r="P35" s="45">
        <v>10</v>
      </c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45">
        <v>10</v>
      </c>
      <c r="Z35" s="45">
        <v>10</v>
      </c>
      <c r="AA35" s="45">
        <v>10</v>
      </c>
      <c r="AB35" s="45">
        <v>10</v>
      </c>
      <c r="AC35" s="45">
        <v>10</v>
      </c>
      <c r="AD35" s="45">
        <v>10</v>
      </c>
      <c r="AE35" s="45">
        <v>10</v>
      </c>
      <c r="AF35" s="45">
        <v>10</v>
      </c>
      <c r="AG35" s="50">
        <v>12</v>
      </c>
      <c r="AH35" s="47">
        <f t="shared" si="2"/>
        <v>10</v>
      </c>
      <c r="AI35" s="48">
        <f t="shared" si="3"/>
        <v>10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120</v>
      </c>
      <c r="C42" s="56">
        <v>120</v>
      </c>
      <c r="D42" s="56">
        <v>120</v>
      </c>
      <c r="E42" s="56">
        <v>120</v>
      </c>
      <c r="F42" s="56">
        <v>120</v>
      </c>
      <c r="G42" s="56">
        <v>120</v>
      </c>
      <c r="H42" s="56">
        <v>120</v>
      </c>
      <c r="I42" s="56">
        <v>120</v>
      </c>
      <c r="J42" s="56">
        <v>120</v>
      </c>
      <c r="K42" s="56">
        <v>120</v>
      </c>
      <c r="L42" s="56">
        <v>120</v>
      </c>
      <c r="M42" s="56">
        <v>120</v>
      </c>
      <c r="N42" s="56">
        <v>120</v>
      </c>
      <c r="O42" s="56">
        <v>120</v>
      </c>
      <c r="P42" s="56">
        <v>120</v>
      </c>
      <c r="Q42" s="56">
        <v>120</v>
      </c>
      <c r="R42" s="56">
        <v>120</v>
      </c>
      <c r="S42" s="56">
        <v>120</v>
      </c>
      <c r="T42" s="56">
        <v>120</v>
      </c>
      <c r="U42" s="56">
        <v>120</v>
      </c>
      <c r="V42" s="56">
        <v>120</v>
      </c>
      <c r="W42" s="56">
        <v>120</v>
      </c>
      <c r="X42" s="56">
        <v>120</v>
      </c>
      <c r="Y42" s="56">
        <v>120</v>
      </c>
      <c r="Z42" s="56">
        <v>120</v>
      </c>
      <c r="AA42" s="56">
        <v>120</v>
      </c>
      <c r="AB42" s="56">
        <v>120</v>
      </c>
      <c r="AC42" s="56">
        <v>120</v>
      </c>
      <c r="AD42" s="56">
        <v>120</v>
      </c>
      <c r="AE42" s="56">
        <v>120</v>
      </c>
      <c r="AF42" s="56">
        <v>120</v>
      </c>
      <c r="AG42" s="54">
        <v>85</v>
      </c>
      <c r="AH42" s="47">
        <f t="shared" si="2"/>
        <v>120</v>
      </c>
      <c r="AI42" s="48">
        <f t="shared" si="3"/>
        <v>120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v>411.40000000000003</v>
      </c>
      <c r="C44" s="60">
        <f t="shared" ref="C44:AG44" si="4">SUM(C11:C42)</f>
        <v>412.2</v>
      </c>
      <c r="D44" s="60">
        <f t="shared" si="4"/>
        <v>411.59999999999997</v>
      </c>
      <c r="E44" s="60">
        <f t="shared" si="4"/>
        <v>411.59999999999997</v>
      </c>
      <c r="F44" s="60">
        <f t="shared" si="4"/>
        <v>411.59999999999997</v>
      </c>
      <c r="G44" s="60">
        <f t="shared" si="4"/>
        <v>411.59999999999997</v>
      </c>
      <c r="H44" s="60">
        <f t="shared" si="4"/>
        <v>411.59999999999997</v>
      </c>
      <c r="I44" s="60">
        <f t="shared" si="4"/>
        <v>411.59999999999997</v>
      </c>
      <c r="J44" s="60">
        <f t="shared" si="4"/>
        <v>411.59999999999997</v>
      </c>
      <c r="K44" s="60">
        <f t="shared" si="4"/>
        <v>411.59999999999997</v>
      </c>
      <c r="L44" s="60">
        <f t="shared" si="4"/>
        <v>411.59999999999997</v>
      </c>
      <c r="M44" s="60">
        <f t="shared" si="4"/>
        <v>411.59999999999997</v>
      </c>
      <c r="N44" s="60">
        <f t="shared" si="4"/>
        <v>411.59999999999997</v>
      </c>
      <c r="O44" s="60">
        <f t="shared" si="4"/>
        <v>411.59999999999997</v>
      </c>
      <c r="P44" s="60">
        <f t="shared" si="4"/>
        <v>392.5</v>
      </c>
      <c r="Q44" s="60">
        <f t="shared" si="4"/>
        <v>408.99999999999994</v>
      </c>
      <c r="R44" s="60">
        <f t="shared" si="4"/>
        <v>408.99999999999994</v>
      </c>
      <c r="S44" s="60">
        <f t="shared" si="4"/>
        <v>408.99999999999994</v>
      </c>
      <c r="T44" s="60">
        <f t="shared" si="4"/>
        <v>406.99999999999994</v>
      </c>
      <c r="U44" s="60">
        <f t="shared" si="4"/>
        <v>406.99999999999994</v>
      </c>
      <c r="V44" s="60">
        <f t="shared" si="4"/>
        <v>415.3</v>
      </c>
      <c r="W44" s="60">
        <f t="shared" si="4"/>
        <v>415.3</v>
      </c>
      <c r="X44" s="60">
        <f t="shared" si="4"/>
        <v>406.49999999999994</v>
      </c>
      <c r="Y44" s="60">
        <v>409.49999999999994</v>
      </c>
      <c r="Z44" s="60">
        <f t="shared" si="4"/>
        <v>408.2</v>
      </c>
      <c r="AA44" s="60">
        <f t="shared" si="4"/>
        <v>407.90000000000003</v>
      </c>
      <c r="AB44" s="60">
        <f t="shared" si="4"/>
        <v>407.90000000000003</v>
      </c>
      <c r="AC44" s="60">
        <f t="shared" si="4"/>
        <v>407.90000000000003</v>
      </c>
      <c r="AD44" s="60">
        <f t="shared" si="4"/>
        <v>407.90000000000003</v>
      </c>
      <c r="AE44" s="60">
        <f t="shared" si="4"/>
        <v>407.90000000000003</v>
      </c>
      <c r="AF44" s="60">
        <f t="shared" si="4"/>
        <v>407.90000000000003</v>
      </c>
      <c r="AG44" s="61">
        <f t="shared" si="4"/>
        <v>814.78000000000009</v>
      </c>
      <c r="AH44" s="47">
        <f t="shared" si="2"/>
        <v>415.3</v>
      </c>
      <c r="AI44" s="48">
        <f t="shared" si="3"/>
        <v>392.5</v>
      </c>
      <c r="AK44" s="49"/>
    </row>
    <row r="45" spans="1:88" x14ac:dyDescent="0.25">
      <c r="A45" s="62" t="s">
        <v>53</v>
      </c>
      <c r="B45" s="45">
        <v>40</v>
      </c>
      <c r="C45" s="45">
        <v>0</v>
      </c>
      <c r="D45" s="45">
        <v>0</v>
      </c>
      <c r="E45" s="45">
        <v>0</v>
      </c>
      <c r="F45" s="45">
        <v>0</v>
      </c>
      <c r="G45" s="45">
        <v>15</v>
      </c>
      <c r="H45" s="45">
        <v>35</v>
      </c>
      <c r="I45" s="45">
        <v>30</v>
      </c>
      <c r="J45" s="45">
        <v>30</v>
      </c>
      <c r="K45" s="45">
        <v>120</v>
      </c>
      <c r="L45" s="45">
        <v>80</v>
      </c>
      <c r="M45" s="63">
        <v>110</v>
      </c>
      <c r="N45" s="63">
        <v>115</v>
      </c>
      <c r="O45" s="45">
        <v>95</v>
      </c>
      <c r="P45" s="45">
        <v>110</v>
      </c>
      <c r="Q45" s="45">
        <v>100</v>
      </c>
      <c r="R45" s="45">
        <v>70</v>
      </c>
      <c r="S45" s="45">
        <v>20</v>
      </c>
      <c r="T45" s="45">
        <v>75</v>
      </c>
      <c r="U45" s="45">
        <v>75</v>
      </c>
      <c r="V45" s="45">
        <v>30</v>
      </c>
      <c r="W45" s="45">
        <v>40</v>
      </c>
      <c r="X45" s="45">
        <v>115</v>
      </c>
      <c r="Y45" s="45">
        <v>200</v>
      </c>
      <c r="Z45" s="45">
        <v>270</v>
      </c>
      <c r="AA45" s="45">
        <v>220</v>
      </c>
      <c r="AB45" s="45">
        <v>180</v>
      </c>
      <c r="AC45" s="45">
        <v>110</v>
      </c>
      <c r="AD45" s="45">
        <v>130</v>
      </c>
      <c r="AE45" s="45">
        <v>110</v>
      </c>
      <c r="AF45" s="45">
        <v>40</v>
      </c>
      <c r="AG45" s="51">
        <v>456</v>
      </c>
      <c r="AH45" s="47">
        <f t="shared" si="2"/>
        <v>270</v>
      </c>
      <c r="AI45" s="48">
        <f t="shared" si="3"/>
        <v>0</v>
      </c>
      <c r="AK45" s="49"/>
    </row>
    <row r="46" spans="1:88" x14ac:dyDescent="0.25">
      <c r="A46" s="64" t="s">
        <v>54</v>
      </c>
      <c r="B46" s="65">
        <v>35</v>
      </c>
      <c r="C46" s="65">
        <v>35</v>
      </c>
      <c r="D46" s="65">
        <v>35</v>
      </c>
      <c r="E46" s="65">
        <v>35</v>
      </c>
      <c r="F46" s="65">
        <v>35</v>
      </c>
      <c r="G46" s="65">
        <v>35</v>
      </c>
      <c r="H46" s="65">
        <v>35</v>
      </c>
      <c r="I46" s="65">
        <v>35</v>
      </c>
      <c r="J46" s="65">
        <v>35</v>
      </c>
      <c r="K46" s="65">
        <v>35</v>
      </c>
      <c r="L46" s="65">
        <v>35</v>
      </c>
      <c r="M46" s="65">
        <v>35</v>
      </c>
      <c r="N46" s="65">
        <v>35</v>
      </c>
      <c r="O46" s="65">
        <v>35</v>
      </c>
      <c r="P46" s="65">
        <v>35</v>
      </c>
      <c r="Q46" s="65">
        <v>35</v>
      </c>
      <c r="R46" s="65">
        <v>35</v>
      </c>
      <c r="S46" s="65">
        <v>35</v>
      </c>
      <c r="T46" s="65">
        <v>35</v>
      </c>
      <c r="U46" s="65">
        <v>35</v>
      </c>
      <c r="V46" s="65">
        <v>35</v>
      </c>
      <c r="W46" s="65">
        <v>35</v>
      </c>
      <c r="X46" s="65">
        <v>35</v>
      </c>
      <c r="Y46" s="65">
        <v>35</v>
      </c>
      <c r="Z46" s="65">
        <v>35</v>
      </c>
      <c r="AA46" s="65">
        <v>35</v>
      </c>
      <c r="AB46" s="65">
        <v>35</v>
      </c>
      <c r="AC46" s="65">
        <v>35</v>
      </c>
      <c r="AD46" s="65">
        <v>35</v>
      </c>
      <c r="AE46" s="65">
        <v>35</v>
      </c>
      <c r="AF46" s="65">
        <v>35</v>
      </c>
      <c r="AG46" s="54">
        <v>60</v>
      </c>
      <c r="AH46" s="47">
        <f t="shared" si="2"/>
        <v>35</v>
      </c>
      <c r="AI46" s="48">
        <f t="shared" si="3"/>
        <v>35</v>
      </c>
      <c r="AK46" s="49"/>
    </row>
    <row r="47" spans="1:88" ht="15.75" thickBot="1" x14ac:dyDescent="0.3">
      <c r="A47" s="66" t="s">
        <v>55</v>
      </c>
      <c r="B47" s="67">
        <v>11.2</v>
      </c>
      <c r="C47" s="67">
        <v>9.1999999999999993</v>
      </c>
      <c r="D47" s="67">
        <v>9.3000000000000007</v>
      </c>
      <c r="E47" s="67">
        <v>11.1</v>
      </c>
      <c r="F47" s="67">
        <v>11.2</v>
      </c>
      <c r="G47" s="67">
        <v>11.1</v>
      </c>
      <c r="H47" s="67">
        <v>11.1</v>
      </c>
      <c r="I47" s="67">
        <v>11.1</v>
      </c>
      <c r="J47" s="67">
        <v>11.2</v>
      </c>
      <c r="K47" s="67">
        <v>11.2</v>
      </c>
      <c r="L47" s="67">
        <v>11.1</v>
      </c>
      <c r="M47" s="67">
        <v>11.1</v>
      </c>
      <c r="N47" s="67">
        <v>11.1</v>
      </c>
      <c r="O47" s="67">
        <v>11.1</v>
      </c>
      <c r="P47" s="67">
        <v>11.1</v>
      </c>
      <c r="Q47" s="67">
        <v>11.1</v>
      </c>
      <c r="R47" s="67">
        <v>11.1</v>
      </c>
      <c r="S47" s="67">
        <v>11.1</v>
      </c>
      <c r="T47" s="67">
        <v>11.1</v>
      </c>
      <c r="U47" s="67">
        <v>11.1</v>
      </c>
      <c r="V47" s="67">
        <v>11.1</v>
      </c>
      <c r="W47" s="67">
        <v>11.1</v>
      </c>
      <c r="X47" s="67">
        <v>11.1</v>
      </c>
      <c r="Y47" s="67">
        <v>11.1</v>
      </c>
      <c r="Z47" s="67">
        <v>11.1</v>
      </c>
      <c r="AA47" s="67">
        <v>11.1</v>
      </c>
      <c r="AB47" s="67">
        <v>17.100000000000001</v>
      </c>
      <c r="AC47" s="67">
        <v>17.100000000000001</v>
      </c>
      <c r="AD47" s="67">
        <v>17.100000000000001</v>
      </c>
      <c r="AE47" s="67">
        <v>17.100000000000001</v>
      </c>
      <c r="AF47" s="67">
        <v>17.100000000000001</v>
      </c>
      <c r="AG47" s="68">
        <v>22.1</v>
      </c>
      <c r="AH47" s="47">
        <f t="shared" si="2"/>
        <v>17.100000000000001</v>
      </c>
      <c r="AI47" s="48">
        <f t="shared" si="3"/>
        <v>9.1999999999999993</v>
      </c>
      <c r="AK47" s="49"/>
    </row>
    <row r="48" spans="1:88" ht="15.75" thickBot="1" x14ac:dyDescent="0.3">
      <c r="A48" s="69" t="s">
        <v>56</v>
      </c>
      <c r="B48" s="60">
        <v>116.2</v>
      </c>
      <c r="C48" s="60">
        <f t="shared" ref="C48:AG48" si="5">SUM(C45:C47)</f>
        <v>44.2</v>
      </c>
      <c r="D48" s="60">
        <f t="shared" si="5"/>
        <v>44.3</v>
      </c>
      <c r="E48" s="60">
        <f t="shared" si="5"/>
        <v>46.1</v>
      </c>
      <c r="F48" s="60">
        <f t="shared" si="5"/>
        <v>46.2</v>
      </c>
      <c r="G48" s="60">
        <f t="shared" si="5"/>
        <v>61.1</v>
      </c>
      <c r="H48" s="60">
        <f t="shared" si="5"/>
        <v>81.099999999999994</v>
      </c>
      <c r="I48" s="60">
        <f t="shared" si="5"/>
        <v>76.099999999999994</v>
      </c>
      <c r="J48" s="60">
        <f t="shared" si="5"/>
        <v>76.2</v>
      </c>
      <c r="K48" s="60">
        <f t="shared" si="5"/>
        <v>166.2</v>
      </c>
      <c r="L48" s="60">
        <f t="shared" si="5"/>
        <v>126.1</v>
      </c>
      <c r="M48" s="60">
        <f t="shared" si="5"/>
        <v>156.1</v>
      </c>
      <c r="N48" s="60">
        <f t="shared" si="5"/>
        <v>161.1</v>
      </c>
      <c r="O48" s="60">
        <f t="shared" si="5"/>
        <v>141.1</v>
      </c>
      <c r="P48" s="60">
        <f t="shared" si="5"/>
        <v>156.1</v>
      </c>
      <c r="Q48" s="60">
        <f t="shared" si="5"/>
        <v>146.1</v>
      </c>
      <c r="R48" s="60">
        <f t="shared" si="5"/>
        <v>116.1</v>
      </c>
      <c r="S48" s="60">
        <f t="shared" si="5"/>
        <v>66.099999999999994</v>
      </c>
      <c r="T48" s="60">
        <f t="shared" si="5"/>
        <v>121.1</v>
      </c>
      <c r="U48" s="60">
        <f t="shared" si="5"/>
        <v>121.1</v>
      </c>
      <c r="V48" s="60">
        <f t="shared" si="5"/>
        <v>76.099999999999994</v>
      </c>
      <c r="W48" s="60">
        <f t="shared" si="5"/>
        <v>86.1</v>
      </c>
      <c r="X48" s="60">
        <f t="shared" si="5"/>
        <v>161.1</v>
      </c>
      <c r="Y48" s="60">
        <v>246.1</v>
      </c>
      <c r="Z48" s="60">
        <f t="shared" si="5"/>
        <v>316.10000000000002</v>
      </c>
      <c r="AA48" s="60">
        <f t="shared" si="5"/>
        <v>266.10000000000002</v>
      </c>
      <c r="AB48" s="60">
        <f t="shared" si="5"/>
        <v>232.1</v>
      </c>
      <c r="AC48" s="60">
        <f t="shared" si="5"/>
        <v>162.1</v>
      </c>
      <c r="AD48" s="60">
        <f t="shared" si="5"/>
        <v>182.1</v>
      </c>
      <c r="AE48" s="60">
        <f t="shared" si="5"/>
        <v>162.1</v>
      </c>
      <c r="AF48" s="60">
        <f t="shared" si="5"/>
        <v>92.1</v>
      </c>
      <c r="AG48" s="61">
        <f t="shared" si="5"/>
        <v>538.1</v>
      </c>
      <c r="AH48" s="47">
        <f t="shared" si="2"/>
        <v>316.10000000000002</v>
      </c>
      <c r="AI48" s="48">
        <f t="shared" si="3"/>
        <v>44.2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20</v>
      </c>
      <c r="H49" s="45">
        <v>30</v>
      </c>
      <c r="I49" s="45">
        <v>61.5</v>
      </c>
      <c r="J49" s="45">
        <v>90.6</v>
      </c>
      <c r="K49" s="45">
        <v>94</v>
      </c>
      <c r="L49" s="45">
        <v>124.2</v>
      </c>
      <c r="M49" s="45">
        <v>114</v>
      </c>
      <c r="N49" s="45">
        <v>102</v>
      </c>
      <c r="O49" s="45">
        <v>91.6</v>
      </c>
      <c r="P49" s="45">
        <v>86.7</v>
      </c>
      <c r="Q49" s="45">
        <v>92</v>
      </c>
      <c r="R49" s="45">
        <v>85.4</v>
      </c>
      <c r="S49" s="45">
        <v>76.5</v>
      </c>
      <c r="T49" s="45">
        <v>76.5</v>
      </c>
      <c r="U49" s="45">
        <v>76.400000000000006</v>
      </c>
      <c r="V49" s="45">
        <v>61</v>
      </c>
      <c r="W49" s="45">
        <v>85.6</v>
      </c>
      <c r="X49" s="45">
        <v>110</v>
      </c>
      <c r="Y49" s="45">
        <v>140.69999999999999</v>
      </c>
      <c r="Z49" s="45">
        <v>111</v>
      </c>
      <c r="AA49" s="45">
        <v>130</v>
      </c>
      <c r="AB49" s="45">
        <v>112</v>
      </c>
      <c r="AC49" s="45">
        <v>110.1</v>
      </c>
      <c r="AD49" s="45">
        <v>110.1</v>
      </c>
      <c r="AE49" s="45">
        <v>72</v>
      </c>
      <c r="AF49" s="45">
        <v>0</v>
      </c>
      <c r="AG49" s="51">
        <v>144</v>
      </c>
      <c r="AH49" s="47">
        <f t="shared" si="2"/>
        <v>140.69999999999999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21.9</v>
      </c>
      <c r="J50" s="65">
        <v>43.7</v>
      </c>
      <c r="K50" s="65">
        <v>44.9</v>
      </c>
      <c r="L50" s="65">
        <v>46.2</v>
      </c>
      <c r="M50" s="65">
        <v>69</v>
      </c>
      <c r="N50" s="65">
        <v>50</v>
      </c>
      <c r="O50" s="65">
        <v>61.9</v>
      </c>
      <c r="P50" s="65">
        <v>51.9</v>
      </c>
      <c r="Q50" s="65">
        <v>54</v>
      </c>
      <c r="R50" s="45">
        <v>30.4</v>
      </c>
      <c r="S50" s="45">
        <v>25</v>
      </c>
      <c r="T50" s="45">
        <v>25</v>
      </c>
      <c r="U50" s="45">
        <v>24.8</v>
      </c>
      <c r="V50" s="45">
        <v>24</v>
      </c>
      <c r="W50" s="45">
        <v>24.8</v>
      </c>
      <c r="X50" s="45">
        <v>46.9</v>
      </c>
      <c r="Y50" s="45">
        <v>62.1</v>
      </c>
      <c r="Z50" s="45">
        <v>60</v>
      </c>
      <c r="AA50" s="45">
        <v>62</v>
      </c>
      <c r="AB50" s="65">
        <v>59.7</v>
      </c>
      <c r="AC50" s="65">
        <v>61</v>
      </c>
      <c r="AD50" s="65">
        <v>61</v>
      </c>
      <c r="AE50" s="65">
        <v>25.2</v>
      </c>
      <c r="AF50" s="65">
        <v>25.2</v>
      </c>
      <c r="AG50" s="54">
        <v>70</v>
      </c>
      <c r="AH50" s="47">
        <f t="shared" si="2"/>
        <v>69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22.2</v>
      </c>
      <c r="C51" s="65">
        <v>16.2</v>
      </c>
      <c r="D51" s="65">
        <v>16.5</v>
      </c>
      <c r="E51" s="65">
        <v>34.1</v>
      </c>
      <c r="F51" s="65">
        <v>16.5</v>
      </c>
      <c r="G51" s="65">
        <v>16.600000000000001</v>
      </c>
      <c r="H51" s="65">
        <v>34.4</v>
      </c>
      <c r="I51" s="65">
        <v>34.9</v>
      </c>
      <c r="J51" s="65">
        <v>34.200000000000003</v>
      </c>
      <c r="K51" s="65">
        <v>34.299999999999997</v>
      </c>
      <c r="L51" s="65">
        <v>34.799999999999997</v>
      </c>
      <c r="M51" s="65">
        <v>45.4</v>
      </c>
      <c r="N51" s="65">
        <v>35.6</v>
      </c>
      <c r="O51" s="65">
        <v>45.4</v>
      </c>
      <c r="P51" s="65">
        <v>68.599999999999994</v>
      </c>
      <c r="Q51" s="65">
        <v>61.7</v>
      </c>
      <c r="R51" s="45">
        <v>51</v>
      </c>
      <c r="S51" s="45">
        <v>45</v>
      </c>
      <c r="T51" s="45">
        <v>45</v>
      </c>
      <c r="U51" s="45">
        <v>44.1</v>
      </c>
      <c r="V51" s="45">
        <v>35.799999999999997</v>
      </c>
      <c r="W51" s="45">
        <v>36.5</v>
      </c>
      <c r="X51" s="45">
        <v>44.5</v>
      </c>
      <c r="Y51" s="45">
        <v>62.1</v>
      </c>
      <c r="Z51" s="45">
        <v>51</v>
      </c>
      <c r="AA51" s="45">
        <v>67</v>
      </c>
      <c r="AB51" s="65">
        <v>67.099999999999994</v>
      </c>
      <c r="AC51" s="65">
        <v>51.7</v>
      </c>
      <c r="AD51" s="65">
        <v>51.7</v>
      </c>
      <c r="AE51" s="65">
        <v>33</v>
      </c>
      <c r="AF51" s="65">
        <v>33</v>
      </c>
      <c r="AG51" s="54">
        <v>69</v>
      </c>
      <c r="AH51" s="47">
        <f t="shared" si="2"/>
        <v>68.599999999999994</v>
      </c>
      <c r="AI51" s="48">
        <f t="shared" si="3"/>
        <v>16.2</v>
      </c>
      <c r="AK51" s="49"/>
    </row>
    <row r="52" spans="1:41" x14ac:dyDescent="0.25">
      <c r="A52" s="53" t="s">
        <v>60</v>
      </c>
      <c r="B52" s="56">
        <v>50.2</v>
      </c>
      <c r="C52" s="56">
        <v>48.1</v>
      </c>
      <c r="D52" s="56">
        <v>47.4</v>
      </c>
      <c r="E52" s="56">
        <v>47.4</v>
      </c>
      <c r="F52" s="56">
        <v>47.1</v>
      </c>
      <c r="G52" s="56">
        <v>46.4</v>
      </c>
      <c r="H52" s="56">
        <v>46.1</v>
      </c>
      <c r="I52" s="56">
        <v>46.4</v>
      </c>
      <c r="J52" s="56">
        <v>46.4</v>
      </c>
      <c r="K52" s="56">
        <v>46.4</v>
      </c>
      <c r="L52" s="56">
        <v>46.4</v>
      </c>
      <c r="M52" s="65">
        <v>48.3</v>
      </c>
      <c r="N52" s="65">
        <v>48.3</v>
      </c>
      <c r="O52" s="65">
        <v>47.8</v>
      </c>
      <c r="P52" s="65">
        <v>46</v>
      </c>
      <c r="Q52" s="65">
        <v>46</v>
      </c>
      <c r="R52" s="45">
        <v>46.4</v>
      </c>
      <c r="S52" s="45">
        <v>46.4</v>
      </c>
      <c r="T52" s="45">
        <v>46.4</v>
      </c>
      <c r="U52" s="45">
        <v>46.4</v>
      </c>
      <c r="V52" s="45">
        <v>46.4</v>
      </c>
      <c r="W52" s="45">
        <v>46.4</v>
      </c>
      <c r="X52" s="45">
        <v>44.4</v>
      </c>
      <c r="Y52" s="65">
        <v>44.1</v>
      </c>
      <c r="Z52" s="65">
        <v>44.1</v>
      </c>
      <c r="AA52" s="65">
        <v>44.1</v>
      </c>
      <c r="AB52" s="65">
        <v>46.4</v>
      </c>
      <c r="AC52" s="65">
        <v>46.4</v>
      </c>
      <c r="AD52" s="65">
        <v>46.4</v>
      </c>
      <c r="AE52" s="65">
        <v>49</v>
      </c>
      <c r="AF52" s="65">
        <v>50</v>
      </c>
      <c r="AG52" s="54">
        <v>60</v>
      </c>
      <c r="AH52" s="47">
        <f t="shared" si="2"/>
        <v>50.2</v>
      </c>
      <c r="AI52" s="48">
        <f t="shared" si="3"/>
        <v>44.1</v>
      </c>
      <c r="AK52" s="49"/>
    </row>
    <row r="53" spans="1:41" x14ac:dyDescent="0.25">
      <c r="A53" s="53" t="s">
        <v>61</v>
      </c>
      <c r="B53" s="56">
        <v>0</v>
      </c>
      <c r="C53" s="56">
        <v>0</v>
      </c>
      <c r="D53" s="56">
        <v>0</v>
      </c>
      <c r="E53" s="56">
        <v>0</v>
      </c>
      <c r="F53" s="56">
        <v>9</v>
      </c>
      <c r="G53" s="56">
        <v>9</v>
      </c>
      <c r="H53" s="56">
        <v>9.1999999999999993</v>
      </c>
      <c r="I53" s="56">
        <v>8.9</v>
      </c>
      <c r="J53" s="56">
        <v>15.1</v>
      </c>
      <c r="K53" s="56">
        <v>20.399999999999999</v>
      </c>
      <c r="L53" s="56">
        <v>20.399999999999999</v>
      </c>
      <c r="M53" s="65">
        <v>28.8</v>
      </c>
      <c r="N53" s="65">
        <v>28.8</v>
      </c>
      <c r="O53" s="65">
        <v>10</v>
      </c>
      <c r="P53" s="65">
        <v>10</v>
      </c>
      <c r="Q53" s="65">
        <v>10</v>
      </c>
      <c r="R53" s="45">
        <v>0</v>
      </c>
      <c r="S53" s="45">
        <v>0</v>
      </c>
      <c r="T53" s="45">
        <v>0</v>
      </c>
      <c r="U53" s="45">
        <v>0</v>
      </c>
      <c r="V53" s="45">
        <v>9.1</v>
      </c>
      <c r="W53" s="45">
        <v>9.1</v>
      </c>
      <c r="X53" s="45">
        <v>9.1</v>
      </c>
      <c r="Y53" s="65">
        <v>26</v>
      </c>
      <c r="Z53" s="65">
        <v>26</v>
      </c>
      <c r="AA53" s="65">
        <v>26</v>
      </c>
      <c r="AB53" s="65">
        <v>19.3</v>
      </c>
      <c r="AC53" s="65">
        <v>19.3</v>
      </c>
      <c r="AD53" s="65">
        <v>19.3</v>
      </c>
      <c r="AE53" s="65">
        <v>12.7</v>
      </c>
      <c r="AF53" s="65">
        <v>10</v>
      </c>
      <c r="AG53" s="54">
        <v>30</v>
      </c>
      <c r="AH53" s="47">
        <f t="shared" si="2"/>
        <v>28.8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65">
        <v>6</v>
      </c>
      <c r="P54" s="65">
        <v>6</v>
      </c>
      <c r="Q54" s="65">
        <v>6</v>
      </c>
      <c r="R54" s="45">
        <v>6</v>
      </c>
      <c r="S54" s="45">
        <v>6</v>
      </c>
      <c r="T54" s="45">
        <v>6</v>
      </c>
      <c r="U54" s="45">
        <v>6</v>
      </c>
      <c r="V54" s="45">
        <v>6</v>
      </c>
      <c r="W54" s="45">
        <v>0</v>
      </c>
      <c r="X54" s="4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6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16</v>
      </c>
      <c r="C55" s="65">
        <v>16</v>
      </c>
      <c r="D55" s="65">
        <v>16</v>
      </c>
      <c r="E55" s="65">
        <v>16</v>
      </c>
      <c r="F55" s="65">
        <v>17</v>
      </c>
      <c r="G55" s="65">
        <v>17</v>
      </c>
      <c r="H55" s="65">
        <v>17</v>
      </c>
      <c r="I55" s="65">
        <v>17</v>
      </c>
      <c r="J55" s="65">
        <v>17</v>
      </c>
      <c r="K55" s="65">
        <v>17</v>
      </c>
      <c r="L55" s="65">
        <v>17</v>
      </c>
      <c r="M55" s="65">
        <v>17</v>
      </c>
      <c r="N55" s="65">
        <v>17</v>
      </c>
      <c r="O55" s="65">
        <v>17</v>
      </c>
      <c r="P55" s="65">
        <v>17</v>
      </c>
      <c r="Q55" s="65">
        <v>17</v>
      </c>
      <c r="R55" s="65">
        <v>17</v>
      </c>
      <c r="S55" s="65">
        <v>17</v>
      </c>
      <c r="T55" s="65">
        <v>17</v>
      </c>
      <c r="U55" s="65">
        <v>17</v>
      </c>
      <c r="V55" s="65">
        <v>17</v>
      </c>
      <c r="W55" s="65">
        <v>17</v>
      </c>
      <c r="X55" s="65">
        <v>17</v>
      </c>
      <c r="Y55" s="65">
        <v>17</v>
      </c>
      <c r="Z55" s="65">
        <v>17</v>
      </c>
      <c r="AA55" s="65">
        <v>17</v>
      </c>
      <c r="AB55" s="65">
        <v>17</v>
      </c>
      <c r="AC55" s="65">
        <v>17</v>
      </c>
      <c r="AD55" s="65">
        <v>17</v>
      </c>
      <c r="AE55" s="65">
        <v>17</v>
      </c>
      <c r="AF55" s="65">
        <v>17</v>
      </c>
      <c r="AG55" s="54">
        <v>24</v>
      </c>
      <c r="AH55" s="47">
        <f t="shared" si="2"/>
        <v>17</v>
      </c>
      <c r="AI55" s="48">
        <f t="shared" si="3"/>
        <v>16</v>
      </c>
      <c r="AK55" s="49"/>
    </row>
    <row r="56" spans="1:41" x14ac:dyDescent="0.25">
      <c r="A56" s="53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4">
        <v>15</v>
      </c>
      <c r="AH56" s="47">
        <f t="shared" si="2"/>
        <v>3.2</v>
      </c>
      <c r="AI56" s="48">
        <f t="shared" si="3"/>
        <v>3.2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12.6</v>
      </c>
      <c r="C57" s="65">
        <v>12.6</v>
      </c>
      <c r="D57" s="65">
        <v>12.6</v>
      </c>
      <c r="E57" s="65">
        <v>12.6</v>
      </c>
      <c r="F57" s="65">
        <v>12.6</v>
      </c>
      <c r="G57" s="65">
        <v>12.6</v>
      </c>
      <c r="H57" s="65">
        <v>12.6</v>
      </c>
      <c r="I57" s="65">
        <v>12.6</v>
      </c>
      <c r="J57" s="65">
        <v>12.6</v>
      </c>
      <c r="K57" s="65">
        <v>12.6</v>
      </c>
      <c r="L57" s="65">
        <v>12.6</v>
      </c>
      <c r="M57" s="65">
        <v>12.6</v>
      </c>
      <c r="N57" s="65">
        <v>12.6</v>
      </c>
      <c r="O57" s="65">
        <v>12.6</v>
      </c>
      <c r="P57" s="65">
        <v>12.6</v>
      </c>
      <c r="Q57" s="65">
        <v>12.6</v>
      </c>
      <c r="R57" s="65">
        <v>12.6</v>
      </c>
      <c r="S57" s="65">
        <v>12.6</v>
      </c>
      <c r="T57" s="65">
        <v>12.6</v>
      </c>
      <c r="U57" s="65">
        <v>12.6</v>
      </c>
      <c r="V57" s="65">
        <v>12.6</v>
      </c>
      <c r="W57" s="65">
        <v>12.6</v>
      </c>
      <c r="X57" s="65">
        <v>12.6</v>
      </c>
      <c r="Y57" s="65">
        <v>12.6</v>
      </c>
      <c r="Z57" s="65">
        <v>12.6</v>
      </c>
      <c r="AA57" s="65">
        <v>12.6</v>
      </c>
      <c r="AB57" s="65">
        <v>12.6</v>
      </c>
      <c r="AC57" s="65">
        <v>12.6</v>
      </c>
      <c r="AD57" s="65">
        <v>12.6</v>
      </c>
      <c r="AE57" s="65">
        <v>12.6</v>
      </c>
      <c r="AF57" s="65">
        <v>12.6</v>
      </c>
      <c r="AG57" s="54">
        <v>14.1</v>
      </c>
      <c r="AH57" s="47">
        <f t="shared" si="2"/>
        <v>12.6</v>
      </c>
      <c r="AI57" s="48">
        <f t="shared" si="3"/>
        <v>12.6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4.5</v>
      </c>
      <c r="C58" s="65">
        <v>4.5</v>
      </c>
      <c r="D58" s="65">
        <v>4.5</v>
      </c>
      <c r="E58" s="65">
        <v>4.5</v>
      </c>
      <c r="F58" s="65">
        <v>4.5</v>
      </c>
      <c r="G58" s="65">
        <v>4.5</v>
      </c>
      <c r="H58" s="65">
        <v>4.5</v>
      </c>
      <c r="I58" s="65">
        <v>4.5</v>
      </c>
      <c r="J58" s="65">
        <v>4.5</v>
      </c>
      <c r="K58" s="65">
        <v>4.5</v>
      </c>
      <c r="L58" s="65">
        <v>4.5</v>
      </c>
      <c r="M58" s="65">
        <v>4.5</v>
      </c>
      <c r="N58" s="65">
        <v>4.5</v>
      </c>
      <c r="O58" s="65">
        <v>4.5</v>
      </c>
      <c r="P58" s="65">
        <v>4.5</v>
      </c>
      <c r="Q58" s="65">
        <v>4.5</v>
      </c>
      <c r="R58" s="65">
        <v>4.5</v>
      </c>
      <c r="S58" s="65">
        <v>4.5</v>
      </c>
      <c r="T58" s="65">
        <v>4.5</v>
      </c>
      <c r="U58" s="65">
        <v>4.5</v>
      </c>
      <c r="V58" s="65">
        <v>4.5</v>
      </c>
      <c r="W58" s="65">
        <v>4.5</v>
      </c>
      <c r="X58" s="65">
        <v>4.5</v>
      </c>
      <c r="Y58" s="65">
        <v>4.5</v>
      </c>
      <c r="Z58" s="65">
        <v>4.5</v>
      </c>
      <c r="AA58" s="65">
        <v>4.5</v>
      </c>
      <c r="AB58" s="65">
        <v>4.5</v>
      </c>
      <c r="AC58" s="65">
        <v>4.5</v>
      </c>
      <c r="AD58" s="65">
        <v>4.5</v>
      </c>
      <c r="AE58" s="65">
        <v>4.5</v>
      </c>
      <c r="AF58" s="65">
        <v>4.5</v>
      </c>
      <c r="AG58" s="54">
        <v>14</v>
      </c>
      <c r="AH58" s="47">
        <f t="shared" si="2"/>
        <v>4.5</v>
      </c>
      <c r="AI58" s="48">
        <f t="shared" si="3"/>
        <v>4.5</v>
      </c>
      <c r="AK58" s="49"/>
    </row>
    <row r="59" spans="1:41" x14ac:dyDescent="0.25">
      <c r="A59" s="53" t="s">
        <v>67</v>
      </c>
      <c r="B59" s="65">
        <v>5.2</v>
      </c>
      <c r="C59" s="65">
        <v>5.2</v>
      </c>
      <c r="D59" s="65">
        <v>5.2</v>
      </c>
      <c r="E59" s="65">
        <v>5.2</v>
      </c>
      <c r="F59" s="65">
        <v>5.2</v>
      </c>
      <c r="G59" s="65">
        <v>5.2</v>
      </c>
      <c r="H59" s="65">
        <v>5.2</v>
      </c>
      <c r="I59" s="65">
        <v>5.2</v>
      </c>
      <c r="J59" s="65">
        <v>5.2</v>
      </c>
      <c r="K59" s="65">
        <v>5.2</v>
      </c>
      <c r="L59" s="65">
        <v>5.2</v>
      </c>
      <c r="M59" s="65">
        <v>5.2</v>
      </c>
      <c r="N59" s="65">
        <v>5.2</v>
      </c>
      <c r="O59" s="65">
        <v>5.2</v>
      </c>
      <c r="P59" s="65">
        <v>5.2</v>
      </c>
      <c r="Q59" s="65">
        <v>5.2</v>
      </c>
      <c r="R59" s="65">
        <v>5.2</v>
      </c>
      <c r="S59" s="65">
        <v>5.2</v>
      </c>
      <c r="T59" s="65">
        <v>5.2</v>
      </c>
      <c r="U59" s="65">
        <v>5.2</v>
      </c>
      <c r="V59" s="65">
        <v>5.2</v>
      </c>
      <c r="W59" s="65">
        <v>5.2</v>
      </c>
      <c r="X59" s="65">
        <v>5.2</v>
      </c>
      <c r="Y59" s="65">
        <v>5.2</v>
      </c>
      <c r="Z59" s="65">
        <v>5.2</v>
      </c>
      <c r="AA59" s="65">
        <v>5.2</v>
      </c>
      <c r="AB59" s="65">
        <v>5.2</v>
      </c>
      <c r="AC59" s="65">
        <v>5.2</v>
      </c>
      <c r="AD59" s="65">
        <v>5.2</v>
      </c>
      <c r="AE59" s="65">
        <v>5.2</v>
      </c>
      <c r="AF59" s="65">
        <v>5.2</v>
      </c>
      <c r="AG59" s="54">
        <v>10.050000000000001</v>
      </c>
      <c r="AH59" s="47">
        <f t="shared" si="2"/>
        <v>5.2</v>
      </c>
      <c r="AI59" s="48">
        <f t="shared" si="3"/>
        <v>5.2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v>151.63999999999999</v>
      </c>
      <c r="C62" s="60">
        <f t="shared" ref="C62:AG62" si="6">SUM(C49:C61)</f>
        <v>112.54</v>
      </c>
      <c r="D62" s="60">
        <f t="shared" si="6"/>
        <v>112.14000000000001</v>
      </c>
      <c r="E62" s="60">
        <f t="shared" si="6"/>
        <v>129.74</v>
      </c>
      <c r="F62" s="60">
        <f t="shared" si="6"/>
        <v>121.84</v>
      </c>
      <c r="G62" s="60">
        <f t="shared" si="6"/>
        <v>141.23999999999998</v>
      </c>
      <c r="H62" s="60">
        <f t="shared" si="6"/>
        <v>168.93999999999994</v>
      </c>
      <c r="I62" s="60">
        <f t="shared" si="6"/>
        <v>222.83999999999997</v>
      </c>
      <c r="J62" s="60">
        <f t="shared" si="6"/>
        <v>279.24</v>
      </c>
      <c r="K62" s="60">
        <f t="shared" si="6"/>
        <v>289.24</v>
      </c>
      <c r="L62" s="60">
        <f t="shared" si="6"/>
        <v>321.24</v>
      </c>
      <c r="M62" s="60">
        <f t="shared" si="6"/>
        <v>354.74</v>
      </c>
      <c r="N62" s="60">
        <f t="shared" si="6"/>
        <v>313.94</v>
      </c>
      <c r="O62" s="60">
        <f t="shared" si="6"/>
        <v>311.94</v>
      </c>
      <c r="P62" s="60">
        <f t="shared" si="6"/>
        <v>318.44</v>
      </c>
      <c r="Q62" s="60">
        <f t="shared" si="6"/>
        <v>318.94</v>
      </c>
      <c r="R62" s="60">
        <f t="shared" si="6"/>
        <v>268.44</v>
      </c>
      <c r="S62" s="60">
        <f t="shared" si="6"/>
        <v>248.13999999999996</v>
      </c>
      <c r="T62" s="60">
        <f t="shared" si="6"/>
        <v>248.13999999999996</v>
      </c>
      <c r="U62" s="60">
        <f t="shared" si="6"/>
        <v>246.93999999999997</v>
      </c>
      <c r="V62" s="60">
        <f t="shared" si="6"/>
        <v>231.53999999999994</v>
      </c>
      <c r="W62" s="60">
        <f t="shared" si="6"/>
        <v>251.63999999999993</v>
      </c>
      <c r="X62" s="60">
        <f t="shared" si="6"/>
        <v>304.14</v>
      </c>
      <c r="Y62" s="60">
        <v>373.34000000000003</v>
      </c>
      <c r="Z62" s="60">
        <f t="shared" si="6"/>
        <v>341.34000000000003</v>
      </c>
      <c r="AA62" s="60">
        <f t="shared" si="6"/>
        <v>378.34000000000003</v>
      </c>
      <c r="AB62" s="60">
        <f t="shared" si="6"/>
        <v>353.74</v>
      </c>
      <c r="AC62" s="60">
        <f t="shared" si="6"/>
        <v>337.74</v>
      </c>
      <c r="AD62" s="60">
        <f t="shared" si="6"/>
        <v>337.74</v>
      </c>
      <c r="AE62" s="60">
        <f t="shared" si="6"/>
        <v>241.13999999999993</v>
      </c>
      <c r="AF62" s="60">
        <f t="shared" si="6"/>
        <v>167.43999999999994</v>
      </c>
      <c r="AG62" s="61">
        <f t="shared" si="6"/>
        <v>489.91</v>
      </c>
      <c r="AH62" s="47">
        <f t="shared" si="2"/>
        <v>378.34000000000003</v>
      </c>
      <c r="AI62" s="48">
        <f t="shared" si="3"/>
        <v>112.14000000000001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30</v>
      </c>
      <c r="T63" s="45">
        <v>30</v>
      </c>
      <c r="U63" s="45">
        <v>30</v>
      </c>
      <c r="V63" s="45">
        <v>30</v>
      </c>
      <c r="W63" s="45">
        <v>30</v>
      </c>
      <c r="X63" s="45">
        <v>25</v>
      </c>
      <c r="Y63" s="45">
        <v>25</v>
      </c>
      <c r="Z63" s="45">
        <v>20</v>
      </c>
      <c r="AA63" s="45">
        <v>14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1">
        <v>60</v>
      </c>
      <c r="AH63" s="47">
        <f t="shared" si="2"/>
        <v>30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13.5</v>
      </c>
      <c r="T64" s="65">
        <v>14</v>
      </c>
      <c r="U64" s="65">
        <v>14.3</v>
      </c>
      <c r="V64" s="65">
        <v>14.3</v>
      </c>
      <c r="W64" s="65">
        <v>14.3</v>
      </c>
      <c r="X64" s="65">
        <v>11.3</v>
      </c>
      <c r="Y64" s="65">
        <v>10.7</v>
      </c>
      <c r="Z64" s="65">
        <v>8.6</v>
      </c>
      <c r="AA64" s="65">
        <v>11.2</v>
      </c>
      <c r="AB64" s="65">
        <v>5.8</v>
      </c>
      <c r="AC64" s="65">
        <v>0</v>
      </c>
      <c r="AD64" s="65">
        <v>0</v>
      </c>
      <c r="AE64" s="65">
        <v>0</v>
      </c>
      <c r="AF64" s="45">
        <v>0</v>
      </c>
      <c r="AG64" s="54">
        <v>32</v>
      </c>
      <c r="AH64" s="47">
        <f t="shared" si="2"/>
        <v>14.3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0</v>
      </c>
      <c r="N65" s="67">
        <v>0</v>
      </c>
      <c r="O65" s="67">
        <v>0</v>
      </c>
      <c r="P65" s="67">
        <v>0</v>
      </c>
      <c r="Q65" s="67">
        <v>0</v>
      </c>
      <c r="R65" s="67">
        <v>0</v>
      </c>
      <c r="S65" s="67">
        <v>5</v>
      </c>
      <c r="T65" s="67">
        <v>5.0999999999999996</v>
      </c>
      <c r="U65" s="67">
        <v>5.2</v>
      </c>
      <c r="V65" s="67">
        <v>5.2</v>
      </c>
      <c r="W65" s="67">
        <v>5.2</v>
      </c>
      <c r="X65" s="67">
        <v>4.0999999999999996</v>
      </c>
      <c r="Y65" s="67">
        <v>3.9</v>
      </c>
      <c r="Z65" s="67">
        <v>3.1</v>
      </c>
      <c r="AA65" s="67">
        <v>4.0999999999999996</v>
      </c>
      <c r="AB65" s="67">
        <v>2.1</v>
      </c>
      <c r="AC65" s="67">
        <v>0</v>
      </c>
      <c r="AD65" s="67">
        <v>0</v>
      </c>
      <c r="AE65" s="67">
        <v>0</v>
      </c>
      <c r="AF65" s="45">
        <v>0</v>
      </c>
      <c r="AG65" s="68">
        <v>14</v>
      </c>
      <c r="AH65" s="47">
        <f t="shared" si="2"/>
        <v>5.2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f t="shared" ref="B66:L66" si="7">B63+B64+B65</f>
        <v>0</v>
      </c>
      <c r="C66" s="60">
        <f t="shared" si="7"/>
        <v>0</v>
      </c>
      <c r="D66" s="60">
        <f t="shared" si="7"/>
        <v>0</v>
      </c>
      <c r="E66" s="60">
        <f t="shared" si="7"/>
        <v>0</v>
      </c>
      <c r="F66" s="60">
        <f t="shared" si="7"/>
        <v>0</v>
      </c>
      <c r="G66" s="60">
        <f t="shared" si="7"/>
        <v>0</v>
      </c>
      <c r="H66" s="60">
        <f t="shared" si="7"/>
        <v>0</v>
      </c>
      <c r="I66" s="60">
        <f t="shared" si="7"/>
        <v>0</v>
      </c>
      <c r="J66" s="60">
        <f t="shared" si="7"/>
        <v>0</v>
      </c>
      <c r="K66" s="60">
        <f t="shared" si="7"/>
        <v>0</v>
      </c>
      <c r="L66" s="60">
        <f t="shared" si="7"/>
        <v>0</v>
      </c>
      <c r="M66" s="60">
        <f t="shared" ref="M66:AF66" si="8">M63+M64+M65</f>
        <v>0</v>
      </c>
      <c r="N66" s="60">
        <f t="shared" si="8"/>
        <v>0</v>
      </c>
      <c r="O66" s="60">
        <v>0</v>
      </c>
      <c r="P66" s="60">
        <f t="shared" si="8"/>
        <v>0</v>
      </c>
      <c r="Q66" s="60">
        <f t="shared" si="8"/>
        <v>0</v>
      </c>
      <c r="R66" s="60">
        <f t="shared" si="8"/>
        <v>0</v>
      </c>
      <c r="S66" s="60">
        <f t="shared" si="8"/>
        <v>48.5</v>
      </c>
      <c r="T66" s="60">
        <f t="shared" si="8"/>
        <v>49.1</v>
      </c>
      <c r="U66" s="60">
        <f t="shared" si="8"/>
        <v>49.5</v>
      </c>
      <c r="V66" s="60">
        <f t="shared" si="8"/>
        <v>49.5</v>
      </c>
      <c r="W66" s="60">
        <f t="shared" si="8"/>
        <v>49.5</v>
      </c>
      <c r="X66" s="60">
        <f t="shared" si="8"/>
        <v>40.4</v>
      </c>
      <c r="Y66" s="60">
        <v>39.6</v>
      </c>
      <c r="Z66" s="60">
        <f t="shared" si="8"/>
        <v>31.700000000000003</v>
      </c>
      <c r="AA66" s="60">
        <f t="shared" si="8"/>
        <v>29.299999999999997</v>
      </c>
      <c r="AB66" s="60">
        <f t="shared" si="8"/>
        <v>7.9</v>
      </c>
      <c r="AC66" s="60">
        <f t="shared" si="8"/>
        <v>0</v>
      </c>
      <c r="AD66" s="60">
        <f t="shared" si="8"/>
        <v>0</v>
      </c>
      <c r="AE66" s="60">
        <f t="shared" si="8"/>
        <v>0</v>
      </c>
      <c r="AF66" s="60">
        <f t="shared" si="8"/>
        <v>0</v>
      </c>
      <c r="AG66" s="61">
        <f>SUM(AG63:AG65)</f>
        <v>106</v>
      </c>
      <c r="AH66" s="47">
        <f t="shared" si="2"/>
        <v>49.5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67</v>
      </c>
      <c r="C67" s="45">
        <v>70</v>
      </c>
      <c r="D67" s="45">
        <v>57</v>
      </c>
      <c r="E67" s="45">
        <v>64.2</v>
      </c>
      <c r="F67" s="45">
        <v>48</v>
      </c>
      <c r="G67" s="45">
        <v>48.4</v>
      </c>
      <c r="H67" s="45">
        <v>68</v>
      </c>
      <c r="I67" s="45">
        <v>64.099999999999994</v>
      </c>
      <c r="J67" s="45">
        <v>70.5</v>
      </c>
      <c r="K67" s="45">
        <v>62.1</v>
      </c>
      <c r="L67" s="45">
        <v>68</v>
      </c>
      <c r="M67" s="45">
        <v>69.7</v>
      </c>
      <c r="N67" s="45">
        <v>63.2</v>
      </c>
      <c r="O67" s="45">
        <v>69</v>
      </c>
      <c r="P67" s="45">
        <v>67.900000000000006</v>
      </c>
      <c r="Q67" s="45">
        <v>65.8</v>
      </c>
      <c r="R67" s="45">
        <v>61.8</v>
      </c>
      <c r="S67" s="45">
        <v>66</v>
      </c>
      <c r="T67" s="45">
        <v>60.6</v>
      </c>
      <c r="U67" s="45">
        <v>70.099999999999994</v>
      </c>
      <c r="V67" s="45">
        <v>53.7</v>
      </c>
      <c r="W67" s="45">
        <v>50.8</v>
      </c>
      <c r="X67" s="45">
        <v>56.6</v>
      </c>
      <c r="Y67" s="45">
        <v>58.4</v>
      </c>
      <c r="Z67" s="45">
        <v>52</v>
      </c>
      <c r="AA67" s="45">
        <v>50</v>
      </c>
      <c r="AB67" s="45">
        <v>63.4</v>
      </c>
      <c r="AC67" s="45">
        <v>71.2</v>
      </c>
      <c r="AD67" s="45">
        <v>54.9</v>
      </c>
      <c r="AE67" s="45">
        <v>54.9</v>
      </c>
      <c r="AF67" s="45">
        <v>60</v>
      </c>
      <c r="AG67" s="51"/>
      <c r="AH67" s="47">
        <f t="shared" si="2"/>
        <v>71.2</v>
      </c>
      <c r="AI67" s="48">
        <f t="shared" si="3"/>
        <v>48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338.5</v>
      </c>
      <c r="C69" s="65">
        <v>334.1</v>
      </c>
      <c r="D69" s="65">
        <v>330.5</v>
      </c>
      <c r="E69" s="65">
        <v>312.89999999999998</v>
      </c>
      <c r="F69" s="65">
        <v>321</v>
      </c>
      <c r="G69" s="65">
        <v>318</v>
      </c>
      <c r="H69" s="65">
        <v>333.4</v>
      </c>
      <c r="I69" s="65">
        <v>328</v>
      </c>
      <c r="J69" s="65">
        <v>335</v>
      </c>
      <c r="K69" s="65">
        <v>267</v>
      </c>
      <c r="L69" s="65">
        <v>280</v>
      </c>
      <c r="M69" s="65">
        <v>265.7</v>
      </c>
      <c r="N69" s="65">
        <v>304</v>
      </c>
      <c r="O69" s="65">
        <v>338</v>
      </c>
      <c r="P69" s="65">
        <v>342</v>
      </c>
      <c r="Q69" s="65">
        <v>334</v>
      </c>
      <c r="R69" s="65">
        <v>336</v>
      </c>
      <c r="S69" s="65">
        <v>356</v>
      </c>
      <c r="T69" s="65">
        <v>350</v>
      </c>
      <c r="U69" s="65">
        <v>335</v>
      </c>
      <c r="V69" s="65">
        <v>340</v>
      </c>
      <c r="W69" s="65">
        <v>330</v>
      </c>
      <c r="X69" s="65">
        <v>329</v>
      </c>
      <c r="Y69" s="65">
        <v>232</v>
      </c>
      <c r="Z69" s="65">
        <v>166</v>
      </c>
      <c r="AA69" s="65">
        <v>191</v>
      </c>
      <c r="AB69" s="65">
        <v>242</v>
      </c>
      <c r="AC69" s="65">
        <v>329</v>
      </c>
      <c r="AD69" s="65">
        <v>314</v>
      </c>
      <c r="AE69" s="65">
        <v>314</v>
      </c>
      <c r="AF69" s="65">
        <v>338</v>
      </c>
      <c r="AG69" s="75"/>
      <c r="AH69" s="47">
        <f t="shared" si="2"/>
        <v>356</v>
      </c>
      <c r="AI69" s="48">
        <f t="shared" si="3"/>
        <v>166</v>
      </c>
      <c r="AK69" s="49"/>
    </row>
    <row r="70" spans="1:40" x14ac:dyDescent="0.25">
      <c r="A70" s="53" t="s">
        <v>78</v>
      </c>
      <c r="B70" s="76">
        <v>65.900000000000006</v>
      </c>
      <c r="C70" s="76">
        <v>66.099999999999994</v>
      </c>
      <c r="D70" s="76">
        <v>62.5</v>
      </c>
      <c r="E70" s="76">
        <v>51.4</v>
      </c>
      <c r="F70" s="76">
        <v>63.1</v>
      </c>
      <c r="G70" s="76">
        <v>65.400000000000006</v>
      </c>
      <c r="H70" s="76">
        <v>61.7</v>
      </c>
      <c r="I70" s="76">
        <v>60.9</v>
      </c>
      <c r="J70" s="76">
        <v>61.9</v>
      </c>
      <c r="K70" s="76">
        <v>49</v>
      </c>
      <c r="L70" s="76">
        <v>66</v>
      </c>
      <c r="M70" s="76">
        <v>65.8</v>
      </c>
      <c r="N70" s="76">
        <v>57.7</v>
      </c>
      <c r="O70" s="76">
        <v>64</v>
      </c>
      <c r="P70" s="76">
        <v>66.400000000000006</v>
      </c>
      <c r="Q70" s="76">
        <v>60.8</v>
      </c>
      <c r="R70" s="76">
        <v>60.3</v>
      </c>
      <c r="S70" s="76">
        <v>41</v>
      </c>
      <c r="T70" s="76">
        <v>41</v>
      </c>
      <c r="U70" s="76">
        <v>63.7</v>
      </c>
      <c r="V70" s="76">
        <v>50.6</v>
      </c>
      <c r="W70" s="76">
        <v>43.3</v>
      </c>
      <c r="X70" s="65">
        <v>47.6</v>
      </c>
      <c r="Y70" s="65">
        <v>45.8</v>
      </c>
      <c r="Z70" s="65">
        <v>45.4</v>
      </c>
      <c r="AA70" s="65">
        <v>49.6</v>
      </c>
      <c r="AB70" s="65">
        <v>55.1</v>
      </c>
      <c r="AC70" s="65">
        <v>55.1</v>
      </c>
      <c r="AD70" s="65">
        <v>57.1</v>
      </c>
      <c r="AE70" s="65">
        <v>57.1</v>
      </c>
      <c r="AF70" s="65">
        <v>50</v>
      </c>
      <c r="AG70" s="75"/>
      <c r="AH70" s="47">
        <f t="shared" si="2"/>
        <v>66.400000000000006</v>
      </c>
      <c r="AI70" s="48">
        <f t="shared" si="3"/>
        <v>41</v>
      </c>
      <c r="AK70" s="49"/>
    </row>
    <row r="71" spans="1:40" x14ac:dyDescent="0.25">
      <c r="A71" s="53" t="s">
        <v>79</v>
      </c>
      <c r="B71" s="45">
        <v>23.2</v>
      </c>
      <c r="C71" s="45">
        <v>24</v>
      </c>
      <c r="D71" s="45">
        <v>24</v>
      </c>
      <c r="E71" s="45">
        <v>24</v>
      </c>
      <c r="F71" s="45">
        <v>22</v>
      </c>
      <c r="G71" s="45">
        <v>22</v>
      </c>
      <c r="H71" s="45">
        <v>24</v>
      </c>
      <c r="I71" s="45">
        <v>21.3</v>
      </c>
      <c r="J71" s="45">
        <v>23.2</v>
      </c>
      <c r="K71" s="45">
        <v>24.1</v>
      </c>
      <c r="L71" s="45">
        <v>25.4</v>
      </c>
      <c r="M71" s="45">
        <v>26.1</v>
      </c>
      <c r="N71" s="45">
        <v>31.3</v>
      </c>
      <c r="O71" s="45">
        <v>35.6</v>
      </c>
      <c r="P71" s="45">
        <v>30</v>
      </c>
      <c r="Q71" s="45">
        <v>34.4</v>
      </c>
      <c r="R71" s="45">
        <v>33.9</v>
      </c>
      <c r="S71" s="45">
        <v>35</v>
      </c>
      <c r="T71" s="45">
        <v>35</v>
      </c>
      <c r="U71" s="45">
        <v>30.4</v>
      </c>
      <c r="V71" s="45">
        <v>26.2</v>
      </c>
      <c r="W71" s="45">
        <v>25.9</v>
      </c>
      <c r="X71" s="45">
        <v>25.1</v>
      </c>
      <c r="Y71" s="45">
        <v>24.9</v>
      </c>
      <c r="Z71" s="45">
        <v>25</v>
      </c>
      <c r="AA71" s="45">
        <v>23.9</v>
      </c>
      <c r="AB71" s="45">
        <v>22.2</v>
      </c>
      <c r="AC71" s="45">
        <v>23</v>
      </c>
      <c r="AD71" s="45">
        <v>21</v>
      </c>
      <c r="AE71" s="45">
        <v>21</v>
      </c>
      <c r="AF71" s="45">
        <v>22</v>
      </c>
      <c r="AG71" s="75"/>
      <c r="AH71" s="47">
        <f t="shared" si="2"/>
        <v>35.6</v>
      </c>
      <c r="AI71" s="48">
        <f t="shared" si="3"/>
        <v>21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0</v>
      </c>
      <c r="H72" s="77">
        <v>0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0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9">MAX(B75:AF75)</f>
        <v>0</v>
      </c>
      <c r="AI75" s="48">
        <f t="shared" ref="AI75:AI113" si="10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9"/>
        <v>0</v>
      </c>
      <c r="AI76" s="48">
        <f t="shared" si="10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9"/>
        <v>0</v>
      </c>
      <c r="AI77" s="48">
        <f t="shared" si="10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F78" si="11">SUMIF(B67:B77,"&gt;0")</f>
        <v>499.59999999999997</v>
      </c>
      <c r="C78" s="60">
        <f t="shared" si="11"/>
        <v>499.20000000000005</v>
      </c>
      <c r="D78" s="60">
        <f t="shared" si="11"/>
        <v>479</v>
      </c>
      <c r="E78" s="60">
        <f t="shared" si="11"/>
        <v>457.49999999999994</v>
      </c>
      <c r="F78" s="60">
        <f t="shared" si="11"/>
        <v>459.1</v>
      </c>
      <c r="G78" s="60">
        <f t="shared" si="11"/>
        <v>453.79999999999995</v>
      </c>
      <c r="H78" s="60">
        <f t="shared" si="11"/>
        <v>487.09999999999997</v>
      </c>
      <c r="I78" s="60">
        <f t="shared" si="11"/>
        <v>479.3</v>
      </c>
      <c r="J78" s="60">
        <f t="shared" si="11"/>
        <v>495.59999999999997</v>
      </c>
      <c r="K78" s="60">
        <f t="shared" si="11"/>
        <v>407.20000000000005</v>
      </c>
      <c r="L78" s="60">
        <f t="shared" si="11"/>
        <v>444.4</v>
      </c>
      <c r="M78" s="60">
        <f t="shared" si="11"/>
        <v>432.3</v>
      </c>
      <c r="N78" s="60">
        <f t="shared" si="11"/>
        <v>461.2</v>
      </c>
      <c r="O78" s="60">
        <f t="shared" si="11"/>
        <v>511.6</v>
      </c>
      <c r="P78" s="60">
        <f t="shared" si="11"/>
        <v>511.29999999999995</v>
      </c>
      <c r="Q78" s="60">
        <f t="shared" si="11"/>
        <v>500</v>
      </c>
      <c r="R78" s="60">
        <f t="shared" si="11"/>
        <v>497</v>
      </c>
      <c r="S78" s="60">
        <f t="shared" si="11"/>
        <v>503</v>
      </c>
      <c r="T78" s="60">
        <f t="shared" si="11"/>
        <v>491.6</v>
      </c>
      <c r="U78" s="60">
        <f t="shared" si="11"/>
        <v>504.2</v>
      </c>
      <c r="V78" s="60">
        <f t="shared" si="11"/>
        <v>475.5</v>
      </c>
      <c r="W78" s="60">
        <f t="shared" si="11"/>
        <v>455</v>
      </c>
      <c r="X78" s="60">
        <f t="shared" si="11"/>
        <v>463.30000000000007</v>
      </c>
      <c r="Y78" s="60">
        <v>366.09999999999997</v>
      </c>
      <c r="Z78" s="60">
        <f t="shared" si="11"/>
        <v>293.39999999999998</v>
      </c>
      <c r="AA78" s="60">
        <f t="shared" si="11"/>
        <v>319.5</v>
      </c>
      <c r="AB78" s="60">
        <f t="shared" si="11"/>
        <v>387.7</v>
      </c>
      <c r="AC78" s="60">
        <f t="shared" si="11"/>
        <v>483.3</v>
      </c>
      <c r="AD78" s="60">
        <f t="shared" si="11"/>
        <v>452</v>
      </c>
      <c r="AE78" s="60">
        <f t="shared" si="11"/>
        <v>452</v>
      </c>
      <c r="AF78" s="60">
        <f t="shared" si="11"/>
        <v>475</v>
      </c>
      <c r="AG78" s="88">
        <f>SUM(AG67:AG77)</f>
        <v>0</v>
      </c>
      <c r="AH78" s="47">
        <f t="shared" si="9"/>
        <v>511.6</v>
      </c>
      <c r="AI78" s="48">
        <f t="shared" si="10"/>
        <v>293.39999999999998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9"/>
        <v>0</v>
      </c>
      <c r="AI79" s="48">
        <f t="shared" si="10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9"/>
        <v>0</v>
      </c>
      <c r="AI80" s="48">
        <f t="shared" si="10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9"/>
        <v>0</v>
      </c>
      <c r="AI81" s="48">
        <f t="shared" si="10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>
        <v>0</v>
      </c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9"/>
        <v>0</v>
      </c>
      <c r="AI82" s="48">
        <f t="shared" si="10"/>
        <v>0</v>
      </c>
    </row>
    <row r="83" spans="1:37" ht="15.75" thickBot="1" x14ac:dyDescent="0.3">
      <c r="A83" s="74" t="s">
        <v>94</v>
      </c>
      <c r="B83" s="95">
        <f>B44+B48+B66+B62+B78+B82</f>
        <v>1178.8399999999999</v>
      </c>
      <c r="C83" s="95">
        <f t="shared" ref="C83:AG83" si="12">C44+C48+C66+C62+C78+C82</f>
        <v>1068.1399999999999</v>
      </c>
      <c r="D83" s="95">
        <f t="shared" si="12"/>
        <v>1047.04</v>
      </c>
      <c r="E83" s="95">
        <f t="shared" si="12"/>
        <v>1044.94</v>
      </c>
      <c r="F83" s="95">
        <f t="shared" si="12"/>
        <v>1038.74</v>
      </c>
      <c r="G83" s="95">
        <f t="shared" si="12"/>
        <v>1067.7399999999998</v>
      </c>
      <c r="H83" s="95">
        <f t="shared" si="12"/>
        <v>1148.7399999999998</v>
      </c>
      <c r="I83" s="95">
        <f t="shared" si="12"/>
        <v>1189.8399999999999</v>
      </c>
      <c r="J83" s="95">
        <f t="shared" si="12"/>
        <v>1262.6399999999999</v>
      </c>
      <c r="K83" s="95">
        <f t="shared" si="12"/>
        <v>1274.24</v>
      </c>
      <c r="L83" s="95">
        <f t="shared" si="12"/>
        <v>1303.3399999999999</v>
      </c>
      <c r="M83" s="95">
        <f t="shared" si="12"/>
        <v>1354.74</v>
      </c>
      <c r="N83" s="95">
        <f t="shared" si="12"/>
        <v>1347.84</v>
      </c>
      <c r="O83" s="95">
        <f t="shared" si="12"/>
        <v>1376.2399999999998</v>
      </c>
      <c r="P83" s="95">
        <f t="shared" si="12"/>
        <v>1378.34</v>
      </c>
      <c r="Q83" s="95">
        <f t="shared" si="12"/>
        <v>1374.04</v>
      </c>
      <c r="R83" s="95">
        <f t="shared" si="12"/>
        <v>1290.54</v>
      </c>
      <c r="S83" s="95">
        <f t="shared" si="12"/>
        <v>1274.7399999999998</v>
      </c>
      <c r="T83" s="95">
        <f t="shared" si="12"/>
        <v>1316.94</v>
      </c>
      <c r="U83" s="95">
        <f t="shared" si="12"/>
        <v>1328.7399999999998</v>
      </c>
      <c r="V83" s="95">
        <f t="shared" si="12"/>
        <v>1247.94</v>
      </c>
      <c r="W83" s="95">
        <f t="shared" si="12"/>
        <v>1257.54</v>
      </c>
      <c r="X83" s="95">
        <f t="shared" si="12"/>
        <v>1375.44</v>
      </c>
      <c r="Y83" s="95">
        <v>1434.6399999999999</v>
      </c>
      <c r="Z83" s="95">
        <f t="shared" si="12"/>
        <v>1390.7400000000002</v>
      </c>
      <c r="AA83" s="95">
        <f t="shared" si="12"/>
        <v>1401.1399999999999</v>
      </c>
      <c r="AB83" s="95">
        <f t="shared" si="12"/>
        <v>1389.34</v>
      </c>
      <c r="AC83" s="95">
        <f t="shared" si="12"/>
        <v>1391.04</v>
      </c>
      <c r="AD83" s="95">
        <f t="shared" si="12"/>
        <v>1379.74</v>
      </c>
      <c r="AE83" s="95">
        <f t="shared" si="12"/>
        <v>1263.1399999999999</v>
      </c>
      <c r="AF83" s="95">
        <f t="shared" si="12"/>
        <v>1142.44</v>
      </c>
      <c r="AG83" s="61">
        <f t="shared" si="12"/>
        <v>2004.1900000000003</v>
      </c>
      <c r="AH83" s="47">
        <f>MAX(B83:AF83)</f>
        <v>1434.6399999999999</v>
      </c>
      <c r="AI83" s="48">
        <f>MIN(B83:AF83)</f>
        <v>1038.74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>
        <v>120</v>
      </c>
      <c r="L84" s="97">
        <v>170</v>
      </c>
      <c r="M84" s="97">
        <v>170</v>
      </c>
      <c r="N84" s="97">
        <v>100</v>
      </c>
      <c r="O84" s="97">
        <v>50</v>
      </c>
      <c r="P84" s="97"/>
      <c r="Q84" s="97"/>
      <c r="R84" s="97"/>
      <c r="S84" s="97"/>
      <c r="T84" s="97"/>
      <c r="U84" s="97"/>
      <c r="V84" s="97"/>
      <c r="W84" s="97">
        <v>150</v>
      </c>
      <c r="X84" s="97">
        <v>180</v>
      </c>
      <c r="Y84" s="97">
        <v>180</v>
      </c>
      <c r="Z84" s="97">
        <v>150</v>
      </c>
      <c r="AA84" s="97">
        <v>120</v>
      </c>
      <c r="AB84" s="97"/>
      <c r="AC84" s="97"/>
      <c r="AD84" s="97"/>
      <c r="AE84" s="97"/>
      <c r="AF84" s="97"/>
      <c r="AG84" s="88"/>
      <c r="AH84" s="47">
        <f t="shared" si="9"/>
        <v>180</v>
      </c>
      <c r="AI84" s="48">
        <f t="shared" si="10"/>
        <v>50</v>
      </c>
    </row>
    <row r="85" spans="1:37" ht="15.75" thickBot="1" x14ac:dyDescent="0.3">
      <c r="A85" s="74" t="s">
        <v>96</v>
      </c>
      <c r="B85" s="95">
        <f>B83+B84</f>
        <v>1178.8399999999999</v>
      </c>
      <c r="C85" s="95">
        <f t="shared" ref="C85:AF85" si="13">C83+C84</f>
        <v>1068.1399999999999</v>
      </c>
      <c r="D85" s="95">
        <f t="shared" si="13"/>
        <v>1047.04</v>
      </c>
      <c r="E85" s="95">
        <f t="shared" si="13"/>
        <v>1044.94</v>
      </c>
      <c r="F85" s="95">
        <f t="shared" si="13"/>
        <v>1038.74</v>
      </c>
      <c r="G85" s="95">
        <f t="shared" si="13"/>
        <v>1067.7399999999998</v>
      </c>
      <c r="H85" s="95">
        <f t="shared" si="13"/>
        <v>1148.7399999999998</v>
      </c>
      <c r="I85" s="95">
        <f t="shared" si="13"/>
        <v>1189.8399999999999</v>
      </c>
      <c r="J85" s="95">
        <f t="shared" si="13"/>
        <v>1262.6399999999999</v>
      </c>
      <c r="K85" s="95">
        <f t="shared" si="13"/>
        <v>1394.24</v>
      </c>
      <c r="L85" s="95">
        <f t="shared" si="13"/>
        <v>1473.34</v>
      </c>
      <c r="M85" s="95">
        <f t="shared" si="13"/>
        <v>1524.74</v>
      </c>
      <c r="N85" s="95">
        <f t="shared" si="13"/>
        <v>1447.84</v>
      </c>
      <c r="O85" s="95">
        <f t="shared" si="13"/>
        <v>1426.2399999999998</v>
      </c>
      <c r="P85" s="95">
        <f t="shared" si="13"/>
        <v>1378.34</v>
      </c>
      <c r="Q85" s="95">
        <f t="shared" si="13"/>
        <v>1374.04</v>
      </c>
      <c r="R85" s="95">
        <f t="shared" si="13"/>
        <v>1290.54</v>
      </c>
      <c r="S85" s="95">
        <f t="shared" si="13"/>
        <v>1274.7399999999998</v>
      </c>
      <c r="T85" s="95">
        <f t="shared" si="13"/>
        <v>1316.94</v>
      </c>
      <c r="U85" s="95">
        <f t="shared" si="13"/>
        <v>1328.7399999999998</v>
      </c>
      <c r="V85" s="95">
        <f t="shared" si="13"/>
        <v>1247.94</v>
      </c>
      <c r="W85" s="95">
        <f t="shared" si="13"/>
        <v>1407.54</v>
      </c>
      <c r="X85" s="95">
        <f t="shared" si="13"/>
        <v>1555.44</v>
      </c>
      <c r="Y85" s="95">
        <v>1614.6399999999999</v>
      </c>
      <c r="Z85" s="95">
        <f t="shared" si="13"/>
        <v>1540.7400000000002</v>
      </c>
      <c r="AA85" s="95">
        <f t="shared" si="13"/>
        <v>1521.1399999999999</v>
      </c>
      <c r="AB85" s="95">
        <f t="shared" si="13"/>
        <v>1389.34</v>
      </c>
      <c r="AC85" s="95">
        <f t="shared" si="13"/>
        <v>1391.04</v>
      </c>
      <c r="AD85" s="95">
        <f t="shared" si="13"/>
        <v>1379.74</v>
      </c>
      <c r="AE85" s="95">
        <f t="shared" si="13"/>
        <v>1263.1399999999999</v>
      </c>
      <c r="AF85" s="95">
        <f t="shared" si="13"/>
        <v>1142.44</v>
      </c>
      <c r="AG85" s="88">
        <f>AG82+AG78+AG66+AG62+AG44+AG84</f>
        <v>1466.0900000000001</v>
      </c>
      <c r="AH85" s="47">
        <f t="shared" si="9"/>
        <v>1614.6399999999999</v>
      </c>
      <c r="AI85" s="48">
        <f t="shared" si="10"/>
        <v>1038.74</v>
      </c>
    </row>
    <row r="86" spans="1:37" ht="15.75" thickBot="1" x14ac:dyDescent="0.3">
      <c r="A86" s="74" t="s">
        <v>97</v>
      </c>
      <c r="B86" s="95">
        <f t="shared" ref="B86:AF86" si="14">B85-B93</f>
        <v>1178.8399999999999</v>
      </c>
      <c r="C86" s="95">
        <f t="shared" si="14"/>
        <v>1068.1399999999999</v>
      </c>
      <c r="D86" s="95">
        <f t="shared" si="14"/>
        <v>1047.04</v>
      </c>
      <c r="E86" s="95">
        <f t="shared" si="14"/>
        <v>1044.94</v>
      </c>
      <c r="F86" s="95">
        <f t="shared" si="14"/>
        <v>1038.74</v>
      </c>
      <c r="G86" s="95">
        <f t="shared" si="14"/>
        <v>1067.7399999999998</v>
      </c>
      <c r="H86" s="95">
        <f t="shared" si="14"/>
        <v>1148.7399999999998</v>
      </c>
      <c r="I86" s="95">
        <f t="shared" si="14"/>
        <v>1189.8399999999999</v>
      </c>
      <c r="J86" s="95">
        <f t="shared" si="14"/>
        <v>1262.6399999999999</v>
      </c>
      <c r="K86" s="95">
        <f t="shared" si="14"/>
        <v>1394.24</v>
      </c>
      <c r="L86" s="95">
        <f t="shared" si="14"/>
        <v>1473.34</v>
      </c>
      <c r="M86" s="95">
        <f t="shared" si="14"/>
        <v>1524.74</v>
      </c>
      <c r="N86" s="95">
        <f t="shared" si="14"/>
        <v>1447.84</v>
      </c>
      <c r="O86" s="95">
        <f t="shared" si="14"/>
        <v>1426.2399999999998</v>
      </c>
      <c r="P86" s="95">
        <f t="shared" si="14"/>
        <v>1378.34</v>
      </c>
      <c r="Q86" s="95">
        <f t="shared" si="14"/>
        <v>1374.04</v>
      </c>
      <c r="R86" s="95">
        <f t="shared" si="14"/>
        <v>1290.54</v>
      </c>
      <c r="S86" s="95">
        <f t="shared" si="14"/>
        <v>1274.7399999999998</v>
      </c>
      <c r="T86" s="95">
        <f t="shared" si="14"/>
        <v>1316.94</v>
      </c>
      <c r="U86" s="95">
        <f t="shared" si="14"/>
        <v>1328.7399999999998</v>
      </c>
      <c r="V86" s="95">
        <f t="shared" si="14"/>
        <v>1247.94</v>
      </c>
      <c r="W86" s="95">
        <f t="shared" si="14"/>
        <v>1407.54</v>
      </c>
      <c r="X86" s="95">
        <f t="shared" si="14"/>
        <v>1555.44</v>
      </c>
      <c r="Y86" s="95">
        <v>1614.6399999999999</v>
      </c>
      <c r="Z86" s="95">
        <f t="shared" si="14"/>
        <v>1540.7400000000002</v>
      </c>
      <c r="AA86" s="95">
        <f t="shared" si="14"/>
        <v>1521.1399999999999</v>
      </c>
      <c r="AB86" s="95">
        <f t="shared" si="14"/>
        <v>1389.34</v>
      </c>
      <c r="AC86" s="95">
        <f t="shared" si="14"/>
        <v>1391.04</v>
      </c>
      <c r="AD86" s="95">
        <f t="shared" si="14"/>
        <v>1379.74</v>
      </c>
      <c r="AE86" s="95">
        <f t="shared" si="14"/>
        <v>1263.1399999999999</v>
      </c>
      <c r="AF86" s="95">
        <f t="shared" si="14"/>
        <v>1142.44</v>
      </c>
      <c r="AG86" s="88"/>
      <c r="AH86" s="47">
        <f t="shared" si="9"/>
        <v>1614.6399999999999</v>
      </c>
      <c r="AI86" s="48">
        <f t="shared" si="10"/>
        <v>1038.74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9"/>
        <v>0</v>
      </c>
      <c r="AI87" s="48">
        <f t="shared" si="10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9"/>
        <v>0</v>
      </c>
      <c r="AI88" s="48">
        <f t="shared" si="10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9"/>
        <v>0</v>
      </c>
      <c r="AI89" s="48">
        <f t="shared" si="10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9"/>
        <v>0</v>
      </c>
      <c r="AI90" s="48">
        <f t="shared" si="10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9"/>
        <v>0</v>
      </c>
      <c r="AI91" s="48">
        <f t="shared" si="10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9"/>
        <v>0</v>
      </c>
      <c r="AI92" s="48">
        <f t="shared" si="10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>
        <v>0</v>
      </c>
      <c r="Z93" s="60"/>
      <c r="AA93" s="60"/>
      <c r="AB93" s="60"/>
      <c r="AC93" s="60"/>
      <c r="AD93" s="60"/>
      <c r="AE93" s="60"/>
      <c r="AF93" s="60"/>
      <c r="AG93" s="88"/>
      <c r="AH93" s="47">
        <f t="shared" si="9"/>
        <v>0</v>
      </c>
      <c r="AI93" s="48">
        <f t="shared" si="10"/>
        <v>0</v>
      </c>
      <c r="AK93" s="49"/>
    </row>
    <row r="94" spans="1:37" ht="15.75" thickBot="1" x14ac:dyDescent="0.3">
      <c r="A94" s="74" t="s">
        <v>102</v>
      </c>
      <c r="B94" s="60">
        <f t="shared" ref="B94:AF94" si="15">B78-B93</f>
        <v>499.59999999999997</v>
      </c>
      <c r="C94" s="60">
        <f t="shared" si="15"/>
        <v>499.20000000000005</v>
      </c>
      <c r="D94" s="60">
        <f t="shared" si="15"/>
        <v>479</v>
      </c>
      <c r="E94" s="60">
        <f t="shared" si="15"/>
        <v>457.49999999999994</v>
      </c>
      <c r="F94" s="60">
        <f t="shared" si="15"/>
        <v>459.1</v>
      </c>
      <c r="G94" s="60">
        <f t="shared" si="15"/>
        <v>453.79999999999995</v>
      </c>
      <c r="H94" s="60">
        <f t="shared" si="15"/>
        <v>487.09999999999997</v>
      </c>
      <c r="I94" s="60">
        <f t="shared" si="15"/>
        <v>479.3</v>
      </c>
      <c r="J94" s="60">
        <f t="shared" si="15"/>
        <v>495.59999999999997</v>
      </c>
      <c r="K94" s="60">
        <f t="shared" si="15"/>
        <v>407.20000000000005</v>
      </c>
      <c r="L94" s="60">
        <f t="shared" si="15"/>
        <v>444.4</v>
      </c>
      <c r="M94" s="60">
        <f t="shared" si="15"/>
        <v>432.3</v>
      </c>
      <c r="N94" s="60">
        <f t="shared" si="15"/>
        <v>461.2</v>
      </c>
      <c r="O94" s="60">
        <f t="shared" si="15"/>
        <v>511.6</v>
      </c>
      <c r="P94" s="60">
        <f t="shared" si="15"/>
        <v>511.29999999999995</v>
      </c>
      <c r="Q94" s="60">
        <f t="shared" si="15"/>
        <v>500</v>
      </c>
      <c r="R94" s="60">
        <f t="shared" si="15"/>
        <v>497</v>
      </c>
      <c r="S94" s="60">
        <f t="shared" si="15"/>
        <v>503</v>
      </c>
      <c r="T94" s="60">
        <f t="shared" si="15"/>
        <v>491.6</v>
      </c>
      <c r="U94" s="60">
        <f t="shared" si="15"/>
        <v>504.2</v>
      </c>
      <c r="V94" s="60">
        <f t="shared" si="15"/>
        <v>475.5</v>
      </c>
      <c r="W94" s="60">
        <f t="shared" si="15"/>
        <v>455</v>
      </c>
      <c r="X94" s="60">
        <f t="shared" si="15"/>
        <v>463.30000000000007</v>
      </c>
      <c r="Y94" s="60">
        <v>366.09999999999997</v>
      </c>
      <c r="Z94" s="60">
        <f t="shared" si="15"/>
        <v>293.39999999999998</v>
      </c>
      <c r="AA94" s="60">
        <f t="shared" si="15"/>
        <v>319.5</v>
      </c>
      <c r="AB94" s="60">
        <f t="shared" si="15"/>
        <v>387.7</v>
      </c>
      <c r="AC94" s="60">
        <f t="shared" si="15"/>
        <v>483.3</v>
      </c>
      <c r="AD94" s="60">
        <f t="shared" si="15"/>
        <v>452</v>
      </c>
      <c r="AE94" s="60">
        <f t="shared" si="15"/>
        <v>452</v>
      </c>
      <c r="AF94" s="60">
        <f t="shared" si="15"/>
        <v>475</v>
      </c>
      <c r="AG94" s="88"/>
      <c r="AH94" s="47">
        <f t="shared" si="9"/>
        <v>511.6</v>
      </c>
      <c r="AI94" s="48">
        <f t="shared" si="10"/>
        <v>293.39999999999998</v>
      </c>
    </row>
    <row r="95" spans="1:37" x14ac:dyDescent="0.25">
      <c r="A95" s="100" t="s">
        <v>103</v>
      </c>
      <c r="B95" s="101">
        <v>50.067</v>
      </c>
      <c r="C95" s="101">
        <v>49.991</v>
      </c>
      <c r="D95" s="101">
        <v>50.067</v>
      </c>
      <c r="E95" s="101">
        <v>49.975000000000001</v>
      </c>
      <c r="F95" s="101">
        <v>50.069000000000003</v>
      </c>
      <c r="G95" s="101">
        <v>50.072000000000003</v>
      </c>
      <c r="H95" s="101">
        <v>50.048000000000002</v>
      </c>
      <c r="I95" s="101">
        <v>50.045999999999999</v>
      </c>
      <c r="J95" s="101">
        <v>50.061</v>
      </c>
      <c r="K95" s="101">
        <v>50.06</v>
      </c>
      <c r="L95" s="101">
        <v>50.06</v>
      </c>
      <c r="M95" s="101">
        <v>50.125999999999998</v>
      </c>
      <c r="N95" s="101">
        <v>50.061999999999998</v>
      </c>
      <c r="O95" s="101" t="s">
        <v>707</v>
      </c>
      <c r="P95" s="101">
        <v>49.978999999999999</v>
      </c>
      <c r="Q95" s="101">
        <v>49.970999999999997</v>
      </c>
      <c r="R95" s="101">
        <v>50.000999999999998</v>
      </c>
      <c r="S95" s="101">
        <v>50.03</v>
      </c>
      <c r="T95" s="101">
        <v>49.94</v>
      </c>
      <c r="U95" s="101">
        <v>50.7</v>
      </c>
      <c r="V95" s="101">
        <v>49.86</v>
      </c>
      <c r="W95" s="101">
        <v>49.85</v>
      </c>
      <c r="X95" s="101">
        <v>49.77</v>
      </c>
      <c r="Y95" s="101">
        <v>49.93</v>
      </c>
      <c r="Z95" s="101">
        <v>49.97</v>
      </c>
      <c r="AA95" s="101">
        <v>49.97</v>
      </c>
      <c r="AB95" s="101">
        <v>50.023000000000003</v>
      </c>
      <c r="AC95" s="101">
        <v>49.97</v>
      </c>
      <c r="AD95" s="101">
        <v>49.938000000000002</v>
      </c>
      <c r="AE95" s="101">
        <v>49.905000000000001</v>
      </c>
      <c r="AF95" s="101">
        <v>49.98</v>
      </c>
      <c r="AG95" s="102"/>
      <c r="AH95" s="47">
        <f t="shared" si="9"/>
        <v>50.7</v>
      </c>
      <c r="AI95" s="48">
        <f t="shared" si="10"/>
        <v>49.77</v>
      </c>
    </row>
    <row r="96" spans="1:37" x14ac:dyDescent="0.25">
      <c r="A96" s="103" t="s">
        <v>104</v>
      </c>
      <c r="B96" s="65">
        <v>126.5</v>
      </c>
      <c r="C96" s="65">
        <v>127.7</v>
      </c>
      <c r="D96" s="65">
        <v>127.9</v>
      </c>
      <c r="E96" s="65">
        <v>128.80000000000001</v>
      </c>
      <c r="F96" s="65">
        <v>128.80000000000001</v>
      </c>
      <c r="G96" s="65">
        <v>128.5</v>
      </c>
      <c r="H96" s="65">
        <v>127.9</v>
      </c>
      <c r="I96" s="65">
        <v>127.3</v>
      </c>
      <c r="J96" s="65">
        <v>126.2</v>
      </c>
      <c r="K96" s="65">
        <v>126.9</v>
      </c>
      <c r="L96" s="65">
        <v>126.9</v>
      </c>
      <c r="M96" s="65">
        <v>126</v>
      </c>
      <c r="N96" s="65">
        <v>124.4</v>
      </c>
      <c r="O96" s="65">
        <v>125</v>
      </c>
      <c r="P96" s="65">
        <v>123</v>
      </c>
      <c r="Q96" s="65">
        <v>123.4</v>
      </c>
      <c r="R96" s="65">
        <v>125.6</v>
      </c>
      <c r="S96" s="65">
        <v>125.9</v>
      </c>
      <c r="T96" s="65">
        <v>125.3</v>
      </c>
      <c r="U96" s="65">
        <v>126.6</v>
      </c>
      <c r="V96" s="65">
        <v>127.9</v>
      </c>
      <c r="W96" s="65">
        <v>129.30000000000001</v>
      </c>
      <c r="X96" s="65">
        <v>127.5</v>
      </c>
      <c r="Y96" s="65">
        <v>127.5</v>
      </c>
      <c r="Z96" s="65">
        <v>1237.7</v>
      </c>
      <c r="AA96" s="65">
        <v>127.7</v>
      </c>
      <c r="AB96" s="65">
        <v>126.4</v>
      </c>
      <c r="AC96" s="65">
        <v>126</v>
      </c>
      <c r="AD96" s="65">
        <v>127</v>
      </c>
      <c r="AE96" s="65">
        <v>127.5</v>
      </c>
      <c r="AF96" s="65">
        <v>129</v>
      </c>
      <c r="AG96" s="104"/>
      <c r="AH96" s="47">
        <f t="shared" si="9"/>
        <v>1237.7</v>
      </c>
      <c r="AI96" s="48">
        <f t="shared" si="10"/>
        <v>123</v>
      </c>
    </row>
    <row r="97" spans="1:35" x14ac:dyDescent="0.25">
      <c r="A97" s="103" t="s">
        <v>105</v>
      </c>
      <c r="B97" s="65">
        <v>130.9</v>
      </c>
      <c r="C97" s="65">
        <v>132.5</v>
      </c>
      <c r="D97" s="65">
        <v>132.1</v>
      </c>
      <c r="E97" s="65">
        <v>132.69999999999999</v>
      </c>
      <c r="F97" s="65">
        <v>132.9</v>
      </c>
      <c r="G97" s="65">
        <v>132.6</v>
      </c>
      <c r="H97" s="65">
        <v>131.6</v>
      </c>
      <c r="I97" s="65">
        <v>130.9</v>
      </c>
      <c r="J97" s="65">
        <v>129.4</v>
      </c>
      <c r="K97" s="65">
        <v>128.80000000000001</v>
      </c>
      <c r="L97" s="65">
        <v>128.80000000000001</v>
      </c>
      <c r="M97" s="65">
        <v>127.7</v>
      </c>
      <c r="N97" s="65">
        <v>126.9</v>
      </c>
      <c r="O97" s="65">
        <v>127.7</v>
      </c>
      <c r="P97" s="65">
        <v>127</v>
      </c>
      <c r="Q97" s="65">
        <v>126.9</v>
      </c>
      <c r="R97" s="65">
        <v>128.69999999999999</v>
      </c>
      <c r="S97" s="65">
        <v>129</v>
      </c>
      <c r="T97" s="65">
        <v>128.69999999999999</v>
      </c>
      <c r="U97" s="65">
        <v>129.9</v>
      </c>
      <c r="V97" s="65">
        <v>130.5</v>
      </c>
      <c r="W97" s="65">
        <v>131.1</v>
      </c>
      <c r="X97" s="65">
        <v>127.5</v>
      </c>
      <c r="Y97" s="65">
        <v>129.30000000000001</v>
      </c>
      <c r="Z97" s="65">
        <v>130</v>
      </c>
      <c r="AA97" s="65">
        <v>130.1</v>
      </c>
      <c r="AB97" s="65">
        <v>129</v>
      </c>
      <c r="AC97" s="65">
        <v>128.80000000000001</v>
      </c>
      <c r="AD97" s="65">
        <v>130.1</v>
      </c>
      <c r="AE97" s="65">
        <v>130.69999999999999</v>
      </c>
      <c r="AF97" s="65">
        <v>132.19999999999999</v>
      </c>
      <c r="AG97" s="104"/>
      <c r="AH97" s="47">
        <f t="shared" si="9"/>
        <v>132.9</v>
      </c>
      <c r="AI97" s="48">
        <f t="shared" si="10"/>
        <v>126.9</v>
      </c>
    </row>
    <row r="98" spans="1:35" x14ac:dyDescent="0.25">
      <c r="A98" s="103" t="s">
        <v>106</v>
      </c>
      <c r="B98" s="65">
        <v>126.9</v>
      </c>
      <c r="C98" s="65">
        <v>127.3</v>
      </c>
      <c r="D98" s="65">
        <v>128.19999999999999</v>
      </c>
      <c r="E98" s="65">
        <v>130.6</v>
      </c>
      <c r="F98" s="65">
        <v>129</v>
      </c>
      <c r="G98" s="65">
        <v>128.80000000000001</v>
      </c>
      <c r="H98" s="65">
        <v>128.19999999999999</v>
      </c>
      <c r="I98" s="65">
        <v>131.19999999999999</v>
      </c>
      <c r="J98" s="65">
        <v>129</v>
      </c>
      <c r="K98" s="65">
        <v>129.4</v>
      </c>
      <c r="L98" s="65">
        <v>129.4</v>
      </c>
      <c r="M98" s="65">
        <v>127</v>
      </c>
      <c r="N98" s="65">
        <v>127.7</v>
      </c>
      <c r="O98" s="65">
        <v>127.5</v>
      </c>
      <c r="P98" s="65">
        <v>129</v>
      </c>
      <c r="Q98" s="65">
        <v>130</v>
      </c>
      <c r="R98" s="65">
        <v>133.30000000000001</v>
      </c>
      <c r="S98" s="65">
        <v>127.5</v>
      </c>
      <c r="T98" s="65">
        <v>126.2</v>
      </c>
      <c r="U98" s="65">
        <v>1327.7</v>
      </c>
      <c r="V98" s="65">
        <v>1327.7</v>
      </c>
      <c r="W98" s="65">
        <v>127.5</v>
      </c>
      <c r="X98" s="65">
        <v>126.5</v>
      </c>
      <c r="Y98" s="65">
        <v>126.4</v>
      </c>
      <c r="Z98" s="65">
        <v>128.30000000000001</v>
      </c>
      <c r="AA98" s="65">
        <v>127.3</v>
      </c>
      <c r="AB98" s="65">
        <v>128.19999999999999</v>
      </c>
      <c r="AC98" s="65">
        <v>130</v>
      </c>
      <c r="AD98" s="65">
        <v>127</v>
      </c>
      <c r="AE98" s="65">
        <v>129.69999999999999</v>
      </c>
      <c r="AF98" s="65">
        <v>131</v>
      </c>
      <c r="AG98" s="104"/>
      <c r="AH98" s="47">
        <f t="shared" si="9"/>
        <v>1327.7</v>
      </c>
      <c r="AI98" s="48">
        <f t="shared" si="10"/>
        <v>126.2</v>
      </c>
    </row>
    <row r="99" spans="1:35" x14ac:dyDescent="0.25">
      <c r="A99" s="105" t="s">
        <v>107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104"/>
      <c r="AH99" s="47">
        <f t="shared" si="9"/>
        <v>0</v>
      </c>
      <c r="AI99" s="48">
        <f t="shared" si="10"/>
        <v>0</v>
      </c>
    </row>
    <row r="100" spans="1:35" x14ac:dyDescent="0.25">
      <c r="A100" s="105" t="s">
        <v>108</v>
      </c>
      <c r="B100" s="106">
        <v>131.30000000000001</v>
      </c>
      <c r="C100" s="106">
        <v>136</v>
      </c>
      <c r="D100" s="106">
        <v>135.30000000000001</v>
      </c>
      <c r="E100" s="106">
        <v>132.6</v>
      </c>
      <c r="F100" s="106">
        <v>135.80000000000001</v>
      </c>
      <c r="G100" s="106">
        <v>135.80000000000001</v>
      </c>
      <c r="H100" s="106">
        <v>135.30000000000001</v>
      </c>
      <c r="I100" s="106">
        <v>135.80000000000001</v>
      </c>
      <c r="J100" s="106">
        <v>134</v>
      </c>
      <c r="K100" s="106">
        <v>133.9</v>
      </c>
      <c r="L100" s="106">
        <v>133.9</v>
      </c>
      <c r="M100" s="106">
        <v>133</v>
      </c>
      <c r="N100" s="106">
        <v>131.6</v>
      </c>
      <c r="O100" s="106">
        <v>132</v>
      </c>
      <c r="P100" s="106">
        <v>131</v>
      </c>
      <c r="Q100" s="106">
        <v>132.69999999999999</v>
      </c>
      <c r="R100" s="106">
        <v>133.6</v>
      </c>
      <c r="S100" s="106">
        <v>133.69999999999999</v>
      </c>
      <c r="T100" s="106">
        <v>132.30000000000001</v>
      </c>
      <c r="U100" s="106">
        <v>132.80000000000001</v>
      </c>
      <c r="V100" s="106">
        <v>132.80000000000001</v>
      </c>
      <c r="W100" s="106">
        <v>134.30000000000001</v>
      </c>
      <c r="X100" s="106">
        <v>134.5</v>
      </c>
      <c r="Y100" s="106">
        <v>132.69999999999999</v>
      </c>
      <c r="Z100" s="106">
        <v>133.4</v>
      </c>
      <c r="AA100" s="106">
        <v>133.30000000000001</v>
      </c>
      <c r="AB100" s="106">
        <v>134.1</v>
      </c>
      <c r="AC100" s="106">
        <v>134</v>
      </c>
      <c r="AD100" s="106">
        <v>135</v>
      </c>
      <c r="AE100" s="106">
        <v>135</v>
      </c>
      <c r="AF100" s="106">
        <v>133.1</v>
      </c>
      <c r="AG100" s="107"/>
      <c r="AH100" s="47">
        <f t="shared" si="9"/>
        <v>136</v>
      </c>
      <c r="AI100" s="48">
        <f t="shared" si="10"/>
        <v>131</v>
      </c>
    </row>
    <row r="101" spans="1:35" x14ac:dyDescent="0.25">
      <c r="A101" s="103" t="s">
        <v>109</v>
      </c>
      <c r="B101" s="65">
        <v>134.6</v>
      </c>
      <c r="C101" s="65">
        <v>133</v>
      </c>
      <c r="D101" s="65">
        <v>136.4</v>
      </c>
      <c r="E101" s="65">
        <v>128.9</v>
      </c>
      <c r="F101" s="65">
        <v>133.4</v>
      </c>
      <c r="G101" s="65">
        <v>132</v>
      </c>
      <c r="H101" s="65">
        <v>129.6</v>
      </c>
      <c r="I101" s="65">
        <v>130.80000000000001</v>
      </c>
      <c r="J101" s="65">
        <v>124.5</v>
      </c>
      <c r="K101" s="65">
        <v>135</v>
      </c>
      <c r="L101" s="65">
        <v>135</v>
      </c>
      <c r="M101" s="65"/>
      <c r="N101" s="65">
        <v>125.2</v>
      </c>
      <c r="O101" s="65">
        <v>128.6</v>
      </c>
      <c r="P101" s="65">
        <v>130</v>
      </c>
      <c r="Q101" s="65">
        <v>131</v>
      </c>
      <c r="R101" s="65">
        <v>134.9</v>
      </c>
      <c r="S101" s="65">
        <v>130.6</v>
      </c>
      <c r="T101" s="65">
        <v>133.69999999999999</v>
      </c>
      <c r="U101" s="65">
        <v>128.6</v>
      </c>
      <c r="V101" s="65">
        <v>128.6</v>
      </c>
      <c r="W101" s="65">
        <v>135</v>
      </c>
      <c r="X101" s="65">
        <v>134.6</v>
      </c>
      <c r="Y101" s="65">
        <v>132.1</v>
      </c>
      <c r="Z101" s="65">
        <v>131.30000000000001</v>
      </c>
      <c r="AA101" s="65">
        <v>131.30000000000001</v>
      </c>
      <c r="AB101" s="65">
        <v>128.69999999999999</v>
      </c>
      <c r="AC101" s="65">
        <v>125</v>
      </c>
      <c r="AD101" s="65">
        <v>130.6</v>
      </c>
      <c r="AE101" s="65">
        <v>128</v>
      </c>
      <c r="AF101" s="65">
        <v>131</v>
      </c>
      <c r="AG101" s="104"/>
      <c r="AH101" s="47">
        <f t="shared" si="9"/>
        <v>136.4</v>
      </c>
      <c r="AI101" s="48">
        <f t="shared" si="10"/>
        <v>124.5</v>
      </c>
    </row>
    <row r="102" spans="1:35" ht="15.75" thickBot="1" x14ac:dyDescent="0.3">
      <c r="A102" s="103" t="s">
        <v>110</v>
      </c>
      <c r="B102" s="92">
        <v>65.900000000000006</v>
      </c>
      <c r="C102" s="92">
        <v>66.5</v>
      </c>
      <c r="D102" s="92">
        <v>66.7</v>
      </c>
      <c r="E102" s="92">
        <v>67</v>
      </c>
      <c r="F102" s="92">
        <v>66.900000000000006</v>
      </c>
      <c r="G102" s="92">
        <v>66.599999999999994</v>
      </c>
      <c r="H102" s="92">
        <v>66.099999999999994</v>
      </c>
      <c r="I102" s="92">
        <v>65.7</v>
      </c>
      <c r="J102" s="92">
        <v>64.8</v>
      </c>
      <c r="K102" s="92">
        <v>64.7</v>
      </c>
      <c r="L102" s="92">
        <v>64.7</v>
      </c>
      <c r="M102" s="92">
        <v>64</v>
      </c>
      <c r="N102" s="92">
        <v>63.6</v>
      </c>
      <c r="O102" s="92">
        <v>64.3</v>
      </c>
      <c r="P102" s="92">
        <v>63.4</v>
      </c>
      <c r="Q102" s="92">
        <v>63.5</v>
      </c>
      <c r="R102" s="92">
        <v>64.5</v>
      </c>
      <c r="S102" s="92">
        <v>64.7</v>
      </c>
      <c r="T102" s="92">
        <v>64.400000000000006</v>
      </c>
      <c r="U102" s="92">
        <v>65</v>
      </c>
      <c r="V102" s="92">
        <v>65</v>
      </c>
      <c r="W102" s="92">
        <v>65.900000000000006</v>
      </c>
      <c r="X102" s="92">
        <v>65.2</v>
      </c>
      <c r="Y102" s="92">
        <v>64.900000000000006</v>
      </c>
      <c r="Z102" s="92">
        <v>65.3</v>
      </c>
      <c r="AA102" s="92">
        <v>65.5</v>
      </c>
      <c r="AB102" s="92">
        <v>64.5</v>
      </c>
      <c r="AC102" s="92">
        <v>65</v>
      </c>
      <c r="AD102" s="92">
        <v>65.2</v>
      </c>
      <c r="AE102" s="92">
        <v>65.8</v>
      </c>
      <c r="AF102" s="92">
        <v>66</v>
      </c>
      <c r="AG102" s="108"/>
      <c r="AH102" s="47">
        <f t="shared" si="9"/>
        <v>67</v>
      </c>
      <c r="AI102" s="48">
        <f t="shared" si="10"/>
        <v>63.4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 t="s">
        <v>111</v>
      </c>
      <c r="Z103" s="92"/>
      <c r="AA103" s="92"/>
      <c r="AB103" s="92"/>
      <c r="AC103" s="92"/>
      <c r="AD103" s="92"/>
      <c r="AE103" s="92"/>
      <c r="AF103" s="92"/>
      <c r="AG103" s="108"/>
      <c r="AH103" s="47">
        <f t="shared" si="9"/>
        <v>0</v>
      </c>
      <c r="AI103" s="48">
        <f t="shared" si="10"/>
        <v>0</v>
      </c>
    </row>
    <row r="104" spans="1:35" ht="15.75" thickBot="1" x14ac:dyDescent="0.3">
      <c r="A104" s="110" t="s">
        <v>112</v>
      </c>
      <c r="B104" s="111">
        <f t="shared" ref="B104:AF104" si="16">SUM(B16,B22,B25:B26,B52,B54:B55,B57,B59,B105:B109,B131,B137,B143,B152,B154,B166,B173,B176:B177,B184,B186,B188,B192:B194,B196:B198,B203,B209:B210,B212:B214,B222,B227)</f>
        <v>159.10000000000002</v>
      </c>
      <c r="C104" s="111">
        <f t="shared" si="16"/>
        <v>133.13999999999999</v>
      </c>
      <c r="D104" s="111">
        <f t="shared" si="16"/>
        <v>127.63999999999999</v>
      </c>
      <c r="E104" s="111">
        <f t="shared" si="16"/>
        <v>123.13999999999999</v>
      </c>
      <c r="F104" s="111">
        <f t="shared" si="16"/>
        <v>135.24</v>
      </c>
      <c r="G104" s="111">
        <f t="shared" si="16"/>
        <v>158.94</v>
      </c>
      <c r="H104" s="111">
        <f t="shared" si="16"/>
        <v>177.14</v>
      </c>
      <c r="I104" s="111">
        <f t="shared" si="16"/>
        <v>226.03999999999996</v>
      </c>
      <c r="J104" s="111">
        <f t="shared" si="16"/>
        <v>269.34000000000003</v>
      </c>
      <c r="K104" s="111">
        <f t="shared" si="16"/>
        <v>328.54</v>
      </c>
      <c r="L104" s="111">
        <f t="shared" si="16"/>
        <v>115.33999999999999</v>
      </c>
      <c r="M104" s="111">
        <f t="shared" si="16"/>
        <v>385.18</v>
      </c>
      <c r="N104" s="111">
        <f t="shared" si="16"/>
        <v>340.24</v>
      </c>
      <c r="O104" s="111">
        <f t="shared" si="16"/>
        <v>741.04</v>
      </c>
      <c r="P104" s="111">
        <v>42</v>
      </c>
      <c r="Q104" s="111">
        <f t="shared" si="16"/>
        <v>299.70000000000005</v>
      </c>
      <c r="R104" s="111">
        <f t="shared" si="16"/>
        <v>246.8</v>
      </c>
      <c r="S104" s="111">
        <f t="shared" si="16"/>
        <v>295.79999999999995</v>
      </c>
      <c r="T104" s="111">
        <f t="shared" si="16"/>
        <v>251.5</v>
      </c>
      <c r="U104" s="111">
        <f t="shared" si="16"/>
        <v>258.79999999999995</v>
      </c>
      <c r="V104" s="111">
        <f t="shared" si="16"/>
        <v>280</v>
      </c>
      <c r="W104" s="111">
        <f t="shared" si="16"/>
        <v>314.39999999999998</v>
      </c>
      <c r="X104" s="111">
        <f t="shared" si="16"/>
        <v>365</v>
      </c>
      <c r="Y104" s="111">
        <v>457.49708333333336</v>
      </c>
      <c r="Z104" s="111">
        <f t="shared" si="16"/>
        <v>376.1</v>
      </c>
      <c r="AA104" s="111">
        <f t="shared" si="16"/>
        <v>363.29999999999995</v>
      </c>
      <c r="AB104" s="111">
        <f t="shared" si="16"/>
        <v>359.19999999999993</v>
      </c>
      <c r="AC104" s="111">
        <f t="shared" si="16"/>
        <v>356.7</v>
      </c>
      <c r="AD104" s="111">
        <f t="shared" si="16"/>
        <v>324</v>
      </c>
      <c r="AE104" s="111">
        <f t="shared" si="16"/>
        <v>249.9</v>
      </c>
      <c r="AF104" s="111">
        <f t="shared" si="16"/>
        <v>188.7</v>
      </c>
      <c r="AG104" s="112"/>
      <c r="AH104" s="47">
        <f t="shared" si="9"/>
        <v>741.04</v>
      </c>
      <c r="AI104" s="48">
        <f t="shared" si="10"/>
        <v>42</v>
      </c>
    </row>
    <row r="105" spans="1:35" x14ac:dyDescent="0.25">
      <c r="A105" s="100" t="s">
        <v>113</v>
      </c>
      <c r="B105" s="113">
        <v>-8.5</v>
      </c>
      <c r="C105" s="113">
        <v>-2.2000000000000002</v>
      </c>
      <c r="D105" s="113">
        <v>-8.6</v>
      </c>
      <c r="E105" s="113">
        <v>-6</v>
      </c>
      <c r="F105" s="113">
        <v>-8.6999999999999993</v>
      </c>
      <c r="G105" s="113">
        <v>-4.4000000000000004</v>
      </c>
      <c r="H105" s="113">
        <v>6.3</v>
      </c>
      <c r="I105" s="113">
        <v>21.4</v>
      </c>
      <c r="J105" s="113">
        <v>24.6</v>
      </c>
      <c r="K105" s="113">
        <v>33.9</v>
      </c>
      <c r="L105" s="113"/>
      <c r="M105" s="113">
        <v>47.74</v>
      </c>
      <c r="N105" s="113">
        <v>37.299999999999997</v>
      </c>
      <c r="O105" s="113">
        <v>35.200000000000003</v>
      </c>
      <c r="P105" s="113">
        <v>33.299999999999997</v>
      </c>
      <c r="Q105" s="113">
        <v>28.9</v>
      </c>
      <c r="R105" s="113">
        <v>21.1</v>
      </c>
      <c r="S105" s="113">
        <v>17</v>
      </c>
      <c r="T105" s="113">
        <v>11.1</v>
      </c>
      <c r="U105" s="113">
        <v>14</v>
      </c>
      <c r="V105" s="113">
        <v>14.4</v>
      </c>
      <c r="W105" s="113">
        <v>23.8</v>
      </c>
      <c r="X105" s="113">
        <v>34.1</v>
      </c>
      <c r="Y105" s="113">
        <v>41.4</v>
      </c>
      <c r="Z105" s="113">
        <v>39.6</v>
      </c>
      <c r="AA105" s="113">
        <v>44.1</v>
      </c>
      <c r="AB105" s="113">
        <v>48</v>
      </c>
      <c r="AC105" s="113">
        <v>44</v>
      </c>
      <c r="AD105" s="113">
        <v>40.299999999999997</v>
      </c>
      <c r="AE105" s="113">
        <v>18.3</v>
      </c>
      <c r="AF105" s="113">
        <v>0</v>
      </c>
      <c r="AG105" s="114">
        <v>75</v>
      </c>
      <c r="AH105" s="47">
        <f t="shared" si="9"/>
        <v>48</v>
      </c>
      <c r="AI105" s="48">
        <f t="shared" si="10"/>
        <v>-8.6999999999999993</v>
      </c>
    </row>
    <row r="106" spans="1:35" x14ac:dyDescent="0.25">
      <c r="A106" s="103" t="s">
        <v>114</v>
      </c>
      <c r="B106" s="115">
        <v>-9.1</v>
      </c>
      <c r="C106" s="115">
        <v>-1</v>
      </c>
      <c r="D106" s="115">
        <v>-6.9</v>
      </c>
      <c r="E106" s="115">
        <v>-6</v>
      </c>
      <c r="F106" s="115">
        <v>-7.9</v>
      </c>
      <c r="G106" s="115">
        <v>-1.6</v>
      </c>
      <c r="H106" s="115">
        <v>2.2000000000000002</v>
      </c>
      <c r="I106" s="115">
        <v>13.1</v>
      </c>
      <c r="J106" s="115">
        <v>38.299999999999997</v>
      </c>
      <c r="K106" s="115">
        <v>43.4</v>
      </c>
      <c r="L106" s="115"/>
      <c r="M106" s="115">
        <v>62.1</v>
      </c>
      <c r="N106" s="115">
        <v>49.6</v>
      </c>
      <c r="O106" s="115">
        <v>448</v>
      </c>
      <c r="P106" s="115">
        <v>48.8</v>
      </c>
      <c r="Q106" s="115">
        <v>43.2</v>
      </c>
      <c r="R106" s="115" t="s">
        <v>708</v>
      </c>
      <c r="S106" s="115">
        <v>26.4</v>
      </c>
      <c r="T106" s="115">
        <v>19</v>
      </c>
      <c r="U106" s="115">
        <v>22.7</v>
      </c>
      <c r="V106" s="115">
        <v>17</v>
      </c>
      <c r="W106" s="115">
        <v>27.8</v>
      </c>
      <c r="X106" s="115">
        <v>40.9</v>
      </c>
      <c r="Y106" s="115">
        <v>51.1</v>
      </c>
      <c r="Z106" s="115">
        <v>48.5</v>
      </c>
      <c r="AA106" s="115">
        <v>56.1</v>
      </c>
      <c r="AB106" s="115">
        <v>61.1</v>
      </c>
      <c r="AC106" s="115">
        <v>57</v>
      </c>
      <c r="AD106" s="115">
        <v>55.3</v>
      </c>
      <c r="AE106" s="115">
        <v>25.2</v>
      </c>
      <c r="AF106" s="115">
        <v>0</v>
      </c>
      <c r="AG106" s="114">
        <v>240</v>
      </c>
      <c r="AH106" s="47">
        <f t="shared" si="9"/>
        <v>448</v>
      </c>
      <c r="AI106" s="48">
        <f t="shared" si="10"/>
        <v>-9.1</v>
      </c>
    </row>
    <row r="107" spans="1:35" x14ac:dyDescent="0.25">
      <c r="A107" s="103" t="s">
        <v>115</v>
      </c>
      <c r="B107" s="115">
        <v>-29.3</v>
      </c>
      <c r="C107" s="115">
        <f>-22-25</f>
        <v>-47</v>
      </c>
      <c r="D107" s="115">
        <f>-22-23</f>
        <v>-45</v>
      </c>
      <c r="E107" s="115">
        <f>-21-23.1</f>
        <v>-44.1</v>
      </c>
      <c r="F107" s="115">
        <f>-19.3-21</f>
        <v>-40.299999999999997</v>
      </c>
      <c r="G107" s="115">
        <f>-16.4-17.9</f>
        <v>-34.299999999999997</v>
      </c>
      <c r="H107" s="115">
        <f>-15-17.7</f>
        <v>-32.700000000000003</v>
      </c>
      <c r="I107" s="115">
        <f>-8.6-9.8</f>
        <v>-18.399999999999999</v>
      </c>
      <c r="J107" s="115">
        <f>-2.4-3.1</f>
        <v>-5.5</v>
      </c>
      <c r="K107" s="115">
        <v>20</v>
      </c>
      <c r="L107" s="115"/>
      <c r="M107" s="115">
        <v>33</v>
      </c>
      <c r="N107" s="115">
        <f>6.4+7.4</f>
        <v>13.8</v>
      </c>
      <c r="O107" s="115">
        <v>5</v>
      </c>
      <c r="P107" s="115">
        <v>-6</v>
      </c>
      <c r="Q107" s="115">
        <v>-11</v>
      </c>
      <c r="R107" s="115">
        <v>-5</v>
      </c>
      <c r="S107" s="115">
        <v>10</v>
      </c>
      <c r="T107" s="115">
        <f>-20-5</f>
        <v>-25</v>
      </c>
      <c r="U107" s="115">
        <f>-20.4-4.3</f>
        <v>-24.7</v>
      </c>
      <c r="V107" s="115">
        <f>-7.8+8.1</f>
        <v>0.29999999999999982</v>
      </c>
      <c r="W107" s="115">
        <f>1.9+17.1</f>
        <v>19</v>
      </c>
      <c r="X107" s="115">
        <f>15.9+31.4</f>
        <v>47.3</v>
      </c>
      <c r="Y107" s="115">
        <v>42.3</v>
      </c>
      <c r="Z107" s="115">
        <f>15.9+28.5</f>
        <v>44.4</v>
      </c>
      <c r="AA107" s="115">
        <f>5.8+19.9</f>
        <v>25.7</v>
      </c>
      <c r="AB107" s="115">
        <v>15</v>
      </c>
      <c r="AC107" s="115">
        <v>15</v>
      </c>
      <c r="AD107" s="115">
        <v>-3</v>
      </c>
      <c r="AE107" s="115">
        <v>-20</v>
      </c>
      <c r="AF107" s="115">
        <v>-22</v>
      </c>
      <c r="AG107" s="114">
        <v>240</v>
      </c>
      <c r="AH107" s="47">
        <f t="shared" si="9"/>
        <v>47.3</v>
      </c>
      <c r="AI107" s="48">
        <f t="shared" si="10"/>
        <v>-47</v>
      </c>
    </row>
    <row r="108" spans="1:35" x14ac:dyDescent="0.25">
      <c r="A108" s="103" t="s">
        <v>116</v>
      </c>
      <c r="B108" s="115">
        <v>-6.2</v>
      </c>
      <c r="C108" s="115">
        <v>-7.3</v>
      </c>
      <c r="D108" s="115">
        <v>-7.2</v>
      </c>
      <c r="E108" s="115">
        <v>-5.5</v>
      </c>
      <c r="F108" s="115">
        <v>-4.7</v>
      </c>
      <c r="G108" s="115">
        <v>-3.1</v>
      </c>
      <c r="H108" s="115">
        <v>-1.7</v>
      </c>
      <c r="I108" s="115">
        <v>3.8</v>
      </c>
      <c r="J108" s="115">
        <v>7.4</v>
      </c>
      <c r="K108" s="115">
        <v>14.4</v>
      </c>
      <c r="L108" s="115"/>
      <c r="M108" s="115">
        <v>23.1</v>
      </c>
      <c r="N108" s="115">
        <v>14</v>
      </c>
      <c r="O108" s="115">
        <v>20.399999999999999</v>
      </c>
      <c r="P108" s="115">
        <v>8.9</v>
      </c>
      <c r="Q108" s="115">
        <v>6.6</v>
      </c>
      <c r="R108" s="115">
        <v>3.6</v>
      </c>
      <c r="S108" s="115">
        <v>24</v>
      </c>
      <c r="T108" s="115">
        <v>22.8</v>
      </c>
      <c r="U108" s="115">
        <v>24.4</v>
      </c>
      <c r="V108" s="115">
        <v>30.4</v>
      </c>
      <c r="W108" s="115">
        <v>29</v>
      </c>
      <c r="X108" s="115">
        <v>43.7</v>
      </c>
      <c r="Y108" s="115">
        <v>42.7</v>
      </c>
      <c r="Z108" s="115">
        <v>37.5</v>
      </c>
      <c r="AA108" s="115">
        <v>34.4</v>
      </c>
      <c r="AB108" s="115">
        <v>13.7</v>
      </c>
      <c r="AC108" s="115">
        <v>14.3</v>
      </c>
      <c r="AD108" s="115">
        <v>12.4</v>
      </c>
      <c r="AE108" s="115">
        <v>10.3</v>
      </c>
      <c r="AF108" s="115">
        <v>2.7</v>
      </c>
      <c r="AG108" s="114">
        <v>60</v>
      </c>
      <c r="AH108" s="47">
        <f t="shared" si="9"/>
        <v>43.7</v>
      </c>
      <c r="AI108" s="48">
        <f t="shared" si="10"/>
        <v>-7.3</v>
      </c>
    </row>
    <row r="109" spans="1:35" x14ac:dyDescent="0.25">
      <c r="A109" s="116" t="s">
        <v>117</v>
      </c>
      <c r="B109" s="117">
        <v>95</v>
      </c>
      <c r="C109" s="117">
        <v>74.599999999999994</v>
      </c>
      <c r="D109" s="117">
        <v>80</v>
      </c>
      <c r="E109" s="117">
        <v>69.400000000000006</v>
      </c>
      <c r="F109" s="117">
        <v>80.8</v>
      </c>
      <c r="G109" s="117">
        <v>87</v>
      </c>
      <c r="H109" s="117">
        <v>88</v>
      </c>
      <c r="I109" s="117">
        <v>90.8</v>
      </c>
      <c r="J109" s="117">
        <v>89.2</v>
      </c>
      <c r="K109" s="117">
        <v>101.5</v>
      </c>
      <c r="L109" s="117"/>
      <c r="M109" s="117">
        <v>102</v>
      </c>
      <c r="N109" s="117">
        <v>108.3</v>
      </c>
      <c r="O109" s="117">
        <v>109.7</v>
      </c>
      <c r="P109" s="117">
        <v>112</v>
      </c>
      <c r="Q109" s="117">
        <v>112</v>
      </c>
      <c r="R109" s="117">
        <v>106.7</v>
      </c>
      <c r="S109" s="117">
        <v>98</v>
      </c>
      <c r="T109" s="117">
        <v>103.2</v>
      </c>
      <c r="U109" s="117">
        <v>102</v>
      </c>
      <c r="V109" s="117">
        <v>97.5</v>
      </c>
      <c r="W109" s="117">
        <v>100.4</v>
      </c>
      <c r="X109" s="117">
        <v>86.6</v>
      </c>
      <c r="Y109" s="117">
        <v>97.4</v>
      </c>
      <c r="Z109" s="117">
        <v>94</v>
      </c>
      <c r="AA109" s="117">
        <v>90.9</v>
      </c>
      <c r="AB109" s="117">
        <v>107</v>
      </c>
      <c r="AC109" s="117">
        <v>112</v>
      </c>
      <c r="AD109" s="117">
        <v>104.6</v>
      </c>
      <c r="AE109" s="117">
        <v>99.1</v>
      </c>
      <c r="AF109" s="117">
        <v>90</v>
      </c>
      <c r="AG109" s="118">
        <v>120</v>
      </c>
      <c r="AH109" s="47">
        <f t="shared" si="9"/>
        <v>112</v>
      </c>
      <c r="AI109" s="48">
        <f t="shared" si="10"/>
        <v>69.400000000000006</v>
      </c>
    </row>
    <row r="110" spans="1:35" x14ac:dyDescent="0.25">
      <c r="A110" s="116" t="s">
        <v>118</v>
      </c>
      <c r="B110" s="117">
        <v>98</v>
      </c>
      <c r="C110" s="117">
        <v>79</v>
      </c>
      <c r="D110" s="117">
        <v>95</v>
      </c>
      <c r="E110" s="117">
        <v>76.400000000000006</v>
      </c>
      <c r="F110" s="117">
        <v>85.7</v>
      </c>
      <c r="G110" s="117">
        <v>87.4</v>
      </c>
      <c r="H110" s="117">
        <v>85.5</v>
      </c>
      <c r="I110" s="117">
        <v>84.9</v>
      </c>
      <c r="J110" s="117">
        <v>76.8</v>
      </c>
      <c r="K110" s="117">
        <v>78.400000000000006</v>
      </c>
      <c r="L110" s="117"/>
      <c r="M110" s="117">
        <v>65.900000000000006</v>
      </c>
      <c r="N110" s="117">
        <v>79</v>
      </c>
      <c r="O110" s="117">
        <v>94.8</v>
      </c>
      <c r="P110" s="117">
        <v>100</v>
      </c>
      <c r="Q110" s="117">
        <v>92</v>
      </c>
      <c r="R110" s="117">
        <v>83.7</v>
      </c>
      <c r="S110" s="117">
        <v>91</v>
      </c>
      <c r="T110" s="117">
        <v>96.4</v>
      </c>
      <c r="U110" s="117">
        <v>92.8</v>
      </c>
      <c r="V110" s="117">
        <v>79</v>
      </c>
      <c r="W110" s="117">
        <v>71.2</v>
      </c>
      <c r="X110" s="117">
        <v>90</v>
      </c>
      <c r="Y110" s="117">
        <v>81.900000000000006</v>
      </c>
      <c r="Z110" s="117">
        <v>85.9</v>
      </c>
      <c r="AA110" s="117">
        <v>81.400000000000006</v>
      </c>
      <c r="AB110" s="117">
        <v>76</v>
      </c>
      <c r="AC110" s="117">
        <v>89</v>
      </c>
      <c r="AD110" s="117">
        <v>86</v>
      </c>
      <c r="AE110" s="117">
        <v>91</v>
      </c>
      <c r="AF110" s="117">
        <v>89</v>
      </c>
      <c r="AG110" s="118"/>
      <c r="AH110" s="47">
        <f t="shared" si="9"/>
        <v>100</v>
      </c>
      <c r="AI110" s="48">
        <f t="shared" si="10"/>
        <v>65.900000000000006</v>
      </c>
    </row>
    <row r="111" spans="1:35" x14ac:dyDescent="0.25">
      <c r="A111" s="116" t="s">
        <v>119</v>
      </c>
      <c r="B111" s="117">
        <v>35.5</v>
      </c>
      <c r="C111" s="117">
        <v>27.3</v>
      </c>
      <c r="D111" s="117">
        <v>34.799999999999997</v>
      </c>
      <c r="E111" s="117">
        <v>36.799999999999997</v>
      </c>
      <c r="F111" s="117">
        <v>32.700000000000003</v>
      </c>
      <c r="G111" s="117">
        <v>26.3</v>
      </c>
      <c r="H111" s="117">
        <v>24.1</v>
      </c>
      <c r="I111" s="117">
        <v>13.8</v>
      </c>
      <c r="J111" s="117">
        <v>7.1</v>
      </c>
      <c r="K111" s="117">
        <v>0</v>
      </c>
      <c r="L111" s="117"/>
      <c r="M111" s="117">
        <v>-7.4</v>
      </c>
      <c r="N111" s="117">
        <v>1.7</v>
      </c>
      <c r="O111" s="117">
        <v>10.6</v>
      </c>
      <c r="P111" s="117">
        <v>13.3</v>
      </c>
      <c r="Q111" s="117">
        <v>16</v>
      </c>
      <c r="R111" s="117">
        <v>19.100000000000001</v>
      </c>
      <c r="S111" s="117">
        <v>18.399999999999999</v>
      </c>
      <c r="T111" s="117">
        <v>24.4</v>
      </c>
      <c r="U111" s="117">
        <v>19.100000000000001</v>
      </c>
      <c r="V111" s="117">
        <v>15.9</v>
      </c>
      <c r="W111" s="117">
        <v>70.5</v>
      </c>
      <c r="X111" s="117">
        <v>-4.7</v>
      </c>
      <c r="Y111" s="117">
        <v>7.6</v>
      </c>
      <c r="Z111" s="117">
        <v>11.5</v>
      </c>
      <c r="AA111" s="117">
        <v>-9</v>
      </c>
      <c r="AB111" s="117">
        <v>6.3</v>
      </c>
      <c r="AC111" s="117">
        <v>4.5</v>
      </c>
      <c r="AD111" s="117">
        <v>8.1</v>
      </c>
      <c r="AE111" s="117">
        <v>19</v>
      </c>
      <c r="AF111" s="117">
        <v>41</v>
      </c>
      <c r="AG111" s="119"/>
      <c r="AH111" s="47">
        <f t="shared" si="9"/>
        <v>70.5</v>
      </c>
      <c r="AI111" s="48">
        <f t="shared" si="10"/>
        <v>-9</v>
      </c>
    </row>
    <row r="112" spans="1:35" x14ac:dyDescent="0.25">
      <c r="A112" s="120" t="s">
        <v>120</v>
      </c>
      <c r="B112" s="106">
        <v>26.4</v>
      </c>
      <c r="C112" s="106">
        <v>23.9</v>
      </c>
      <c r="D112" s="106">
        <v>22.1</v>
      </c>
      <c r="E112" s="106">
        <v>31</v>
      </c>
      <c r="F112" s="106">
        <v>30.6</v>
      </c>
      <c r="G112" s="106">
        <v>25.6</v>
      </c>
      <c r="H112" s="106">
        <v>17.3</v>
      </c>
      <c r="I112" s="106">
        <v>4.2</v>
      </c>
      <c r="J112" s="106">
        <v>-8.3000000000000007</v>
      </c>
      <c r="K112" s="106">
        <v>-19.600000000000001</v>
      </c>
      <c r="L112" s="106"/>
      <c r="M112" s="106">
        <v>-38.700000000000003</v>
      </c>
      <c r="N112" s="106">
        <v>-20.8</v>
      </c>
      <c r="O112" s="106">
        <v>-14.5</v>
      </c>
      <c r="P112" s="106">
        <v>-9.1999999999999993</v>
      </c>
      <c r="Q112" s="106">
        <v>0</v>
      </c>
      <c r="R112" s="106">
        <v>6.7</v>
      </c>
      <c r="S112" s="106">
        <v>30</v>
      </c>
      <c r="T112" s="106">
        <v>28</v>
      </c>
      <c r="U112" s="106">
        <v>-15</v>
      </c>
      <c r="V112" s="106">
        <v>-26</v>
      </c>
      <c r="W112" s="106">
        <v>-44.2</v>
      </c>
      <c r="X112" s="106">
        <v>-59.2</v>
      </c>
      <c r="Y112" s="106">
        <v>-49</v>
      </c>
      <c r="Z112" s="106">
        <v>-33.700000000000003</v>
      </c>
      <c r="AA112" s="106">
        <v>-29.1</v>
      </c>
      <c r="AB112" s="106">
        <v>-15</v>
      </c>
      <c r="AC112" s="106">
        <v>-11</v>
      </c>
      <c r="AD112" s="106">
        <v>0</v>
      </c>
      <c r="AE112" s="106">
        <v>9</v>
      </c>
      <c r="AF112" s="106">
        <v>20</v>
      </c>
      <c r="AG112" s="119"/>
      <c r="AH112" s="47">
        <f t="shared" si="9"/>
        <v>31</v>
      </c>
      <c r="AI112" s="48">
        <f t="shared" si="10"/>
        <v>-59.2</v>
      </c>
    </row>
    <row r="113" spans="1:37" ht="15.75" thickBot="1" x14ac:dyDescent="0.3">
      <c r="A113" s="120" t="s">
        <v>121</v>
      </c>
      <c r="B113" s="106">
        <v>5.9</v>
      </c>
      <c r="C113" s="106">
        <v>21.4</v>
      </c>
      <c r="D113" s="106">
        <v>16.5</v>
      </c>
      <c r="E113" s="106">
        <v>14.4</v>
      </c>
      <c r="F113" s="106">
        <v>15.7</v>
      </c>
      <c r="G113" s="106">
        <v>13.2</v>
      </c>
      <c r="H113" s="106">
        <v>17.600000000000001</v>
      </c>
      <c r="I113" s="106">
        <v>9.6999999999999993</v>
      </c>
      <c r="J113" s="106">
        <v>8.1999999999999993</v>
      </c>
      <c r="K113" s="106">
        <v>-11.8</v>
      </c>
      <c r="L113" s="106"/>
      <c r="M113" s="106">
        <v>-13.8</v>
      </c>
      <c r="N113" s="106">
        <v>-6.6</v>
      </c>
      <c r="O113" s="106">
        <v>-2</v>
      </c>
      <c r="P113" s="106">
        <v>2.7</v>
      </c>
      <c r="Q113" s="106">
        <v>3.7</v>
      </c>
      <c r="R113" s="106">
        <v>0</v>
      </c>
      <c r="S113" s="106">
        <v>-16.5</v>
      </c>
      <c r="T113" s="106">
        <v>-5.8</v>
      </c>
      <c r="U113" s="106">
        <v>12.1</v>
      </c>
      <c r="V113" s="106">
        <v>-11</v>
      </c>
      <c r="W113" s="106">
        <v>-17.8</v>
      </c>
      <c r="X113" s="106">
        <v>-31.2</v>
      </c>
      <c r="Y113" s="106">
        <v>-29.6</v>
      </c>
      <c r="Z113" s="106">
        <v>-28.7</v>
      </c>
      <c r="AA113" s="106">
        <v>-16.7</v>
      </c>
      <c r="AB113" s="106">
        <v>-5</v>
      </c>
      <c r="AC113" s="106">
        <v>-4</v>
      </c>
      <c r="AD113" s="106">
        <v>5.7</v>
      </c>
      <c r="AE113" s="106">
        <v>10</v>
      </c>
      <c r="AF113" s="106">
        <v>3.1</v>
      </c>
      <c r="AG113" s="119"/>
      <c r="AH113" s="47">
        <f t="shared" si="9"/>
        <v>21.4</v>
      </c>
      <c r="AI113" s="48">
        <f t="shared" si="10"/>
        <v>-31.2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7">SUM(B115:B219)</f>
        <v>0</v>
      </c>
      <c r="C220" s="136">
        <f t="shared" si="17"/>
        <v>0</v>
      </c>
      <c r="D220" s="136">
        <f t="shared" si="17"/>
        <v>0</v>
      </c>
      <c r="E220" s="136">
        <f t="shared" si="17"/>
        <v>0</v>
      </c>
      <c r="F220" s="136">
        <f t="shared" si="17"/>
        <v>0</v>
      </c>
      <c r="G220" s="136">
        <f t="shared" si="17"/>
        <v>0</v>
      </c>
      <c r="H220" s="136">
        <f t="shared" si="17"/>
        <v>0</v>
      </c>
      <c r="I220" s="136">
        <f t="shared" si="17"/>
        <v>0</v>
      </c>
      <c r="J220" s="136">
        <f t="shared" si="17"/>
        <v>0</v>
      </c>
      <c r="K220" s="136">
        <f t="shared" si="17"/>
        <v>0</v>
      </c>
      <c r="L220" s="136">
        <f t="shared" si="17"/>
        <v>0</v>
      </c>
      <c r="M220" s="136">
        <f t="shared" si="17"/>
        <v>0</v>
      </c>
      <c r="N220" s="136">
        <f t="shared" si="17"/>
        <v>0</v>
      </c>
      <c r="O220" s="136">
        <f t="shared" si="17"/>
        <v>0</v>
      </c>
      <c r="P220" s="136">
        <f t="shared" si="17"/>
        <v>0</v>
      </c>
      <c r="Q220" s="136">
        <f t="shared" si="17"/>
        <v>0</v>
      </c>
      <c r="R220" s="136">
        <f t="shared" si="17"/>
        <v>0</v>
      </c>
      <c r="S220" s="136">
        <f t="shared" si="17"/>
        <v>0</v>
      </c>
      <c r="T220" s="136">
        <f t="shared" si="17"/>
        <v>0</v>
      </c>
      <c r="U220" s="136">
        <f t="shared" si="17"/>
        <v>0</v>
      </c>
      <c r="V220" s="136">
        <f t="shared" si="17"/>
        <v>0</v>
      </c>
      <c r="W220" s="136">
        <f t="shared" si="17"/>
        <v>0</v>
      </c>
      <c r="X220" s="136">
        <f t="shared" si="17"/>
        <v>0</v>
      </c>
      <c r="Y220" s="136">
        <f t="shared" si="17"/>
        <v>0</v>
      </c>
      <c r="Z220" s="136">
        <f t="shared" si="17"/>
        <v>0</v>
      </c>
      <c r="AA220" s="136">
        <f t="shared" si="17"/>
        <v>0</v>
      </c>
      <c r="AB220" s="136">
        <f t="shared" si="17"/>
        <v>0</v>
      </c>
      <c r="AC220" s="136">
        <f t="shared" si="17"/>
        <v>0</v>
      </c>
      <c r="AD220" s="136">
        <f t="shared" si="17"/>
        <v>0</v>
      </c>
      <c r="AE220" s="136">
        <f t="shared" si="17"/>
        <v>0</v>
      </c>
      <c r="AF220" s="137">
        <f t="shared" si="17"/>
        <v>0</v>
      </c>
      <c r="AG220" s="138">
        <f t="shared" si="17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8">AF222</f>
        <v>0</v>
      </c>
      <c r="C222" s="140">
        <v>0.3</v>
      </c>
      <c r="D222" s="140">
        <f t="shared" ref="D222:P227" si="19">C222</f>
        <v>0.3</v>
      </c>
      <c r="E222" s="140">
        <f t="shared" si="19"/>
        <v>0.3</v>
      </c>
      <c r="F222" s="140">
        <f t="shared" si="19"/>
        <v>0.3</v>
      </c>
      <c r="G222" s="140">
        <f t="shared" si="19"/>
        <v>0.3</v>
      </c>
      <c r="H222" s="140">
        <f t="shared" si="19"/>
        <v>0.3</v>
      </c>
      <c r="I222" s="140">
        <f t="shared" si="19"/>
        <v>0.3</v>
      </c>
      <c r="J222" s="140">
        <f t="shared" si="19"/>
        <v>0.3</v>
      </c>
      <c r="K222" s="140">
        <f t="shared" si="19"/>
        <v>0.3</v>
      </c>
      <c r="L222" s="140">
        <f t="shared" si="19"/>
        <v>0.3</v>
      </c>
      <c r="M222" s="140">
        <f t="shared" si="19"/>
        <v>0.3</v>
      </c>
      <c r="N222" s="140">
        <f t="shared" si="19"/>
        <v>0.3</v>
      </c>
      <c r="O222" s="140">
        <f t="shared" si="19"/>
        <v>0.3</v>
      </c>
      <c r="P222" s="140">
        <f t="shared" si="19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8"/>
        <v>0</v>
      </c>
      <c r="C223" s="128">
        <v>0.4</v>
      </c>
      <c r="D223" s="128">
        <f t="shared" si="19"/>
        <v>0.4</v>
      </c>
      <c r="E223" s="128">
        <f t="shared" si="19"/>
        <v>0.4</v>
      </c>
      <c r="F223" s="128">
        <f t="shared" si="19"/>
        <v>0.4</v>
      </c>
      <c r="G223" s="128">
        <f t="shared" si="19"/>
        <v>0.4</v>
      </c>
      <c r="H223" s="128">
        <f t="shared" si="19"/>
        <v>0.4</v>
      </c>
      <c r="I223" s="128">
        <f t="shared" si="19"/>
        <v>0.4</v>
      </c>
      <c r="J223" s="128">
        <f t="shared" si="19"/>
        <v>0.4</v>
      </c>
      <c r="K223" s="128">
        <f t="shared" si="19"/>
        <v>0.4</v>
      </c>
      <c r="L223" s="128">
        <f t="shared" si="19"/>
        <v>0.4</v>
      </c>
      <c r="M223" s="128">
        <f t="shared" si="19"/>
        <v>0.4</v>
      </c>
      <c r="N223" s="128">
        <f t="shared" si="19"/>
        <v>0.4</v>
      </c>
      <c r="O223" s="128">
        <f t="shared" si="19"/>
        <v>0.4</v>
      </c>
      <c r="P223" s="128">
        <f t="shared" si="19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8"/>
        <v>0</v>
      </c>
      <c r="C224" s="128">
        <v>1.5</v>
      </c>
      <c r="D224" s="128">
        <f t="shared" si="19"/>
        <v>1.5</v>
      </c>
      <c r="E224" s="128">
        <f t="shared" si="19"/>
        <v>1.5</v>
      </c>
      <c r="F224" s="128">
        <f t="shared" si="19"/>
        <v>1.5</v>
      </c>
      <c r="G224" s="128">
        <f t="shared" si="19"/>
        <v>1.5</v>
      </c>
      <c r="H224" s="128">
        <f t="shared" si="19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19"/>
        <v>1.5</v>
      </c>
      <c r="K224" s="128">
        <f t="shared" ca="1" si="19"/>
        <v>1.5</v>
      </c>
      <c r="L224" s="128">
        <f t="shared" ca="1" si="19"/>
        <v>1.5</v>
      </c>
      <c r="M224" s="128">
        <f t="shared" ca="1" si="19"/>
        <v>1.5</v>
      </c>
      <c r="N224" s="128">
        <f t="shared" ca="1" si="19"/>
        <v>1.5</v>
      </c>
      <c r="O224" s="128">
        <f t="shared" ca="1" si="19"/>
        <v>1.5</v>
      </c>
      <c r="P224" s="128">
        <f t="shared" ca="1" si="19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8"/>
        <v>0</v>
      </c>
      <c r="C225" s="128">
        <v>0.3</v>
      </c>
      <c r="D225" s="128">
        <f t="shared" si="19"/>
        <v>0.3</v>
      </c>
      <c r="E225" s="128">
        <f t="shared" si="19"/>
        <v>0.3</v>
      </c>
      <c r="F225" s="128">
        <f t="shared" si="19"/>
        <v>0.3</v>
      </c>
      <c r="G225" s="128">
        <f t="shared" si="19"/>
        <v>0.3</v>
      </c>
      <c r="H225" s="128">
        <f t="shared" si="19"/>
        <v>0.3</v>
      </c>
      <c r="I225" s="128">
        <f t="shared" si="19"/>
        <v>0.3</v>
      </c>
      <c r="J225" s="128">
        <f t="shared" si="19"/>
        <v>0.3</v>
      </c>
      <c r="K225" s="128">
        <f t="shared" si="19"/>
        <v>0.3</v>
      </c>
      <c r="L225" s="128">
        <f t="shared" si="19"/>
        <v>0.3</v>
      </c>
      <c r="M225" s="128">
        <f t="shared" si="19"/>
        <v>0.3</v>
      </c>
      <c r="N225" s="128">
        <f t="shared" si="19"/>
        <v>0.3</v>
      </c>
      <c r="O225" s="128">
        <f t="shared" si="19"/>
        <v>0.3</v>
      </c>
      <c r="P225" s="128">
        <f t="shared" si="19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8"/>
        <v>0</v>
      </c>
      <c r="C226" s="128">
        <v>0.4</v>
      </c>
      <c r="D226" s="128">
        <f t="shared" si="19"/>
        <v>0.4</v>
      </c>
      <c r="E226" s="128">
        <f t="shared" si="19"/>
        <v>0.4</v>
      </c>
      <c r="F226" s="128">
        <f t="shared" si="19"/>
        <v>0.4</v>
      </c>
      <c r="G226" s="128">
        <f t="shared" si="19"/>
        <v>0.4</v>
      </c>
      <c r="H226" s="128">
        <f t="shared" si="19"/>
        <v>0.4</v>
      </c>
      <c r="I226" s="128">
        <f t="shared" si="19"/>
        <v>0.4</v>
      </c>
      <c r="J226" s="128">
        <f t="shared" si="19"/>
        <v>0.4</v>
      </c>
      <c r="K226" s="128">
        <f t="shared" si="19"/>
        <v>0.4</v>
      </c>
      <c r="L226" s="128">
        <f t="shared" si="19"/>
        <v>0.4</v>
      </c>
      <c r="M226" s="128">
        <f t="shared" si="19"/>
        <v>0.4</v>
      </c>
      <c r="N226" s="128">
        <f t="shared" si="19"/>
        <v>0.4</v>
      </c>
      <c r="O226" s="128">
        <f t="shared" si="19"/>
        <v>0.4</v>
      </c>
      <c r="P226" s="128">
        <f t="shared" si="19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8"/>
        <v>0</v>
      </c>
      <c r="C227" s="132">
        <v>0.64</v>
      </c>
      <c r="D227" s="132">
        <f t="shared" si="19"/>
        <v>0.64</v>
      </c>
      <c r="E227" s="132">
        <f t="shared" si="19"/>
        <v>0.64</v>
      </c>
      <c r="F227" s="132">
        <f t="shared" si="19"/>
        <v>0.64</v>
      </c>
      <c r="G227" s="132">
        <f t="shared" si="19"/>
        <v>0.64</v>
      </c>
      <c r="H227" s="132">
        <f t="shared" si="19"/>
        <v>0.64</v>
      </c>
      <c r="I227" s="132">
        <f t="shared" si="19"/>
        <v>0.64</v>
      </c>
      <c r="J227" s="132">
        <f t="shared" si="19"/>
        <v>0.64</v>
      </c>
      <c r="K227" s="132">
        <f t="shared" si="19"/>
        <v>0.64</v>
      </c>
      <c r="L227" s="132">
        <f t="shared" si="19"/>
        <v>0.64</v>
      </c>
      <c r="M227" s="132">
        <f t="shared" si="19"/>
        <v>0.64</v>
      </c>
      <c r="N227" s="132">
        <f t="shared" si="19"/>
        <v>0.64</v>
      </c>
      <c r="O227" s="132">
        <f t="shared" si="19"/>
        <v>0.64</v>
      </c>
      <c r="P227" s="132">
        <f t="shared" si="19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20">SUM(B222:B227)</f>
        <v>0</v>
      </c>
      <c r="C228" s="136">
        <f t="shared" si="20"/>
        <v>3.54</v>
      </c>
      <c r="D228" s="136">
        <f t="shared" si="20"/>
        <v>3.54</v>
      </c>
      <c r="E228" s="136">
        <f t="shared" si="20"/>
        <v>3.54</v>
      </c>
      <c r="F228" s="136">
        <f t="shared" si="20"/>
        <v>3.54</v>
      </c>
      <c r="G228" s="136">
        <f t="shared" si="20"/>
        <v>3.54</v>
      </c>
      <c r="H228" s="136">
        <f t="shared" si="20"/>
        <v>3.54</v>
      </c>
      <c r="I228" s="136">
        <f t="shared" ca="1" si="20"/>
        <v>3.54</v>
      </c>
      <c r="J228" s="136">
        <f t="shared" ca="1" si="20"/>
        <v>3.54</v>
      </c>
      <c r="K228" s="136">
        <f t="shared" ca="1" si="20"/>
        <v>3.54</v>
      </c>
      <c r="L228" s="136">
        <f t="shared" ca="1" si="20"/>
        <v>3.54</v>
      </c>
      <c r="M228" s="136">
        <f t="shared" ca="1" si="20"/>
        <v>3.54</v>
      </c>
      <c r="N228" s="136">
        <f t="shared" ca="1" si="20"/>
        <v>3.54</v>
      </c>
      <c r="O228" s="136">
        <f t="shared" ca="1" si="20"/>
        <v>3.54</v>
      </c>
      <c r="P228" s="136">
        <f t="shared" ca="1" si="20"/>
        <v>3.54</v>
      </c>
      <c r="Q228" s="136">
        <f t="shared" si="20"/>
        <v>0</v>
      </c>
      <c r="R228" s="136">
        <f t="shared" si="20"/>
        <v>0</v>
      </c>
      <c r="S228" s="136">
        <f t="shared" si="20"/>
        <v>0</v>
      </c>
      <c r="T228" s="136">
        <f t="shared" si="20"/>
        <v>0</v>
      </c>
      <c r="U228" s="136">
        <f t="shared" si="20"/>
        <v>0</v>
      </c>
      <c r="V228" s="136">
        <f t="shared" si="20"/>
        <v>0</v>
      </c>
      <c r="W228" s="136">
        <f t="shared" si="20"/>
        <v>0</v>
      </c>
      <c r="X228" s="136">
        <f t="shared" si="20"/>
        <v>0</v>
      </c>
      <c r="Y228" s="136">
        <f t="shared" si="20"/>
        <v>0</v>
      </c>
      <c r="Z228" s="136">
        <f t="shared" si="20"/>
        <v>0</v>
      </c>
      <c r="AA228" s="136">
        <f t="shared" si="20"/>
        <v>0</v>
      </c>
      <c r="AB228" s="136">
        <f t="shared" si="20"/>
        <v>0</v>
      </c>
      <c r="AC228" s="136">
        <f t="shared" si="20"/>
        <v>0</v>
      </c>
      <c r="AD228" s="136">
        <f t="shared" si="20"/>
        <v>0</v>
      </c>
      <c r="AE228" s="136">
        <f t="shared" si="20"/>
        <v>0</v>
      </c>
      <c r="AF228" s="136">
        <f t="shared" si="20"/>
        <v>0</v>
      </c>
      <c r="AG228" s="145">
        <f t="shared" si="20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1524.74</v>
      </c>
      <c r="C237" s="161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13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str">
        <f ca="1">"Pie Chart of Daily Peak Demand(Inclusive of Export) of Nepal ("&amp;A4&amp;" "&amp;B4&amp;")"</f>
        <v>Pie Chart of Daily Peak Demand(Inclusive of Export) of Nepal (Nepali Date: 2079/09/13)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2079/09/13)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1">B85</f>
        <v>1178.8399999999999</v>
      </c>
      <c r="U242" s="170">
        <f t="shared" si="21"/>
        <v>1068.1399999999999</v>
      </c>
      <c r="V242" s="170">
        <f t="shared" si="21"/>
        <v>1047.04</v>
      </c>
      <c r="W242" s="170">
        <f t="shared" si="21"/>
        <v>1044.94</v>
      </c>
      <c r="X242" s="170">
        <f t="shared" si="21"/>
        <v>1038.74</v>
      </c>
      <c r="Y242" s="170">
        <f t="shared" si="21"/>
        <v>1067.7399999999998</v>
      </c>
      <c r="Z242" s="170">
        <f t="shared" si="21"/>
        <v>1148.7399999999998</v>
      </c>
      <c r="AA242" s="170">
        <f t="shared" si="21"/>
        <v>1189.8399999999999</v>
      </c>
      <c r="AB242" s="170">
        <f t="shared" si="21"/>
        <v>1262.6399999999999</v>
      </c>
      <c r="AC242" s="170">
        <f t="shared" si="21"/>
        <v>1394.24</v>
      </c>
      <c r="AD242" s="170">
        <f t="shared" si="21"/>
        <v>1473.34</v>
      </c>
      <c r="AE242" s="170">
        <f t="shared" si="21"/>
        <v>1524.74</v>
      </c>
      <c r="AF242" s="170">
        <f t="shared" si="21"/>
        <v>1447.84</v>
      </c>
      <c r="AG242" s="170">
        <f t="shared" si="21"/>
        <v>1426.2399999999998</v>
      </c>
      <c r="AH242" s="170">
        <f t="shared" si="21"/>
        <v>1378.34</v>
      </c>
      <c r="AI242" s="170">
        <f t="shared" si="21"/>
        <v>1374.04</v>
      </c>
      <c r="AJ242" s="170">
        <f t="shared" si="21"/>
        <v>1290.54</v>
      </c>
      <c r="AK242" s="170">
        <f t="shared" si="21"/>
        <v>1274.7399999999998</v>
      </c>
      <c r="AL242" s="170">
        <f t="shared" si="21"/>
        <v>1316.94</v>
      </c>
      <c r="AM242" s="170">
        <f t="shared" si="21"/>
        <v>1328.7399999999998</v>
      </c>
      <c r="AN242" s="170">
        <f t="shared" si="21"/>
        <v>1247.94</v>
      </c>
      <c r="AO242" s="170">
        <f t="shared" si="21"/>
        <v>1407.54</v>
      </c>
      <c r="AP242" s="170">
        <f t="shared" si="21"/>
        <v>1555.44</v>
      </c>
      <c r="AQ242" s="170">
        <f t="shared" si="21"/>
        <v>1614.6399999999999</v>
      </c>
      <c r="AR242" s="170">
        <f t="shared" si="21"/>
        <v>1540.7400000000002</v>
      </c>
      <c r="AS242" s="170">
        <f t="shared" si="21"/>
        <v>1521.1399999999999</v>
      </c>
      <c r="AT242" s="170">
        <f t="shared" si="21"/>
        <v>1389.34</v>
      </c>
      <c r="AU242" s="170">
        <f t="shared" si="21"/>
        <v>1391.04</v>
      </c>
      <c r="AV242" s="170">
        <f t="shared" si="21"/>
        <v>1379.74</v>
      </c>
      <c r="AW242" s="170">
        <f t="shared" si="21"/>
        <v>1263.1399999999999</v>
      </c>
      <c r="AX242" s="170">
        <f t="shared" si="21"/>
        <v>1142.44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2">C227</f>
        <v>0.64</v>
      </c>
      <c r="C263" s="173">
        <f t="shared" si="22"/>
        <v>0.64</v>
      </c>
      <c r="D263" s="173">
        <f t="shared" si="22"/>
        <v>0.64</v>
      </c>
      <c r="E263" s="173">
        <f t="shared" si="22"/>
        <v>0.64</v>
      </c>
      <c r="F263" s="173">
        <f t="shared" si="22"/>
        <v>0.64</v>
      </c>
      <c r="G263" s="173">
        <f t="shared" si="22"/>
        <v>0.64</v>
      </c>
      <c r="H263" s="173">
        <f t="shared" si="22"/>
        <v>0.64</v>
      </c>
      <c r="I263" s="173">
        <f t="shared" si="22"/>
        <v>0.64</v>
      </c>
      <c r="J263" s="173">
        <f t="shared" si="22"/>
        <v>0.64</v>
      </c>
      <c r="K263" s="173">
        <f t="shared" si="22"/>
        <v>0.64</v>
      </c>
      <c r="L263" s="173">
        <f t="shared" si="22"/>
        <v>0.64</v>
      </c>
      <c r="M263" s="173">
        <f t="shared" si="22"/>
        <v>0.64</v>
      </c>
      <c r="N263" s="173">
        <f t="shared" si="22"/>
        <v>0.64</v>
      </c>
      <c r="O263" s="173">
        <f t="shared" si="22"/>
        <v>0.64</v>
      </c>
      <c r="P263" s="173">
        <f t="shared" si="22"/>
        <v>0</v>
      </c>
      <c r="Q263" s="173">
        <f t="shared" si="22"/>
        <v>0</v>
      </c>
      <c r="R263" s="173">
        <f t="shared" si="22"/>
        <v>0</v>
      </c>
      <c r="S263" s="173">
        <f t="shared" si="22"/>
        <v>0</v>
      </c>
      <c r="T263" s="173">
        <f t="shared" si="22"/>
        <v>0</v>
      </c>
      <c r="U263" s="173">
        <f t="shared" si="22"/>
        <v>0</v>
      </c>
      <c r="V263" s="173">
        <f t="shared" si="22"/>
        <v>0</v>
      </c>
      <c r="W263" s="173">
        <f t="shared" si="22"/>
        <v>0</v>
      </c>
      <c r="X263" s="173">
        <f t="shared" si="22"/>
        <v>0</v>
      </c>
      <c r="Y263" s="173">
        <f t="shared" si="22"/>
        <v>0</v>
      </c>
      <c r="Z263" s="173">
        <f t="shared" si="22"/>
        <v>0</v>
      </c>
      <c r="AA263" s="173">
        <f t="shared" si="22"/>
        <v>0</v>
      </c>
      <c r="AB263" s="173">
        <f t="shared" si="22"/>
        <v>0</v>
      </c>
      <c r="AC263" s="173">
        <f t="shared" si="22"/>
        <v>0</v>
      </c>
      <c r="AD263" s="173">
        <f t="shared" si="22"/>
        <v>0</v>
      </c>
      <c r="AE263" s="173">
        <f t="shared" si="22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3">IF(B231&lt;100,"",B231-520)</f>
        <v/>
      </c>
      <c r="C264" s="174" t="str">
        <f t="shared" si="23"/>
        <v/>
      </c>
      <c r="D264" s="174" t="str">
        <f t="shared" si="23"/>
        <v/>
      </c>
      <c r="E264" s="174" t="str">
        <f t="shared" si="23"/>
        <v/>
      </c>
      <c r="F264" s="174" t="str">
        <f t="shared" si="23"/>
        <v/>
      </c>
      <c r="G264" s="174" t="str">
        <f t="shared" si="23"/>
        <v/>
      </c>
      <c r="H264" s="174" t="str">
        <f t="shared" si="23"/>
        <v/>
      </c>
      <c r="I264" s="174" t="str">
        <f t="shared" si="23"/>
        <v/>
      </c>
      <c r="J264" s="174" t="str">
        <f t="shared" si="23"/>
        <v/>
      </c>
      <c r="K264" s="174" t="str">
        <f t="shared" si="23"/>
        <v/>
      </c>
      <c r="L264" s="174" t="str">
        <f t="shared" si="23"/>
        <v/>
      </c>
      <c r="M264" s="174" t="str">
        <f t="shared" si="23"/>
        <v/>
      </c>
      <c r="N264" s="174" t="str">
        <f t="shared" si="23"/>
        <v/>
      </c>
      <c r="O264" s="174" t="str">
        <f t="shared" si="23"/>
        <v/>
      </c>
      <c r="P264" s="174" t="str">
        <f t="shared" si="23"/>
        <v/>
      </c>
      <c r="Q264" s="174" t="str">
        <f t="shared" si="23"/>
        <v/>
      </c>
      <c r="R264" s="174" t="str">
        <f t="shared" si="23"/>
        <v/>
      </c>
      <c r="S264" s="174" t="str">
        <f t="shared" si="23"/>
        <v/>
      </c>
      <c r="T264" s="174" t="str">
        <f t="shared" si="23"/>
        <v/>
      </c>
      <c r="U264" s="174" t="str">
        <f t="shared" si="23"/>
        <v/>
      </c>
      <c r="V264" s="174" t="str">
        <f t="shared" si="23"/>
        <v/>
      </c>
      <c r="W264" s="174" t="str">
        <f t="shared" si="23"/>
        <v/>
      </c>
      <c r="X264" s="174" t="str">
        <f t="shared" si="23"/>
        <v/>
      </c>
      <c r="Y264" s="174" t="str">
        <f t="shared" si="23"/>
        <v/>
      </c>
      <c r="Z264" s="174" t="str">
        <f t="shared" si="23"/>
        <v/>
      </c>
      <c r="AA264" s="174" t="str">
        <f t="shared" si="23"/>
        <v/>
      </c>
      <c r="AB264" s="174" t="str">
        <f t="shared" si="23"/>
        <v/>
      </c>
      <c r="AC264" s="174" t="str">
        <f t="shared" si="23"/>
        <v/>
      </c>
      <c r="AD264" s="174" t="str">
        <f t="shared" si="23"/>
        <v/>
      </c>
      <c r="AE264" s="174" t="str">
        <f t="shared" si="23"/>
        <v/>
      </c>
      <c r="AF264" s="174" t="str">
        <f t="shared" si="23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4">IF(B232&lt;100,"",B232-620)</f>
        <v/>
      </c>
      <c r="C265" s="174" t="str">
        <f t="shared" si="24"/>
        <v/>
      </c>
      <c r="D265" s="174" t="str">
        <f t="shared" si="24"/>
        <v/>
      </c>
      <c r="E265" s="174" t="str">
        <f t="shared" si="24"/>
        <v/>
      </c>
      <c r="F265" s="174" t="str">
        <f t="shared" si="24"/>
        <v/>
      </c>
      <c r="G265" s="174" t="str">
        <f t="shared" si="24"/>
        <v/>
      </c>
      <c r="H265" s="174" t="str">
        <f t="shared" si="24"/>
        <v/>
      </c>
      <c r="I265" s="174" t="str">
        <f t="shared" si="24"/>
        <v/>
      </c>
      <c r="J265" s="174" t="str">
        <f t="shared" si="24"/>
        <v/>
      </c>
      <c r="K265" s="174" t="str">
        <f t="shared" si="24"/>
        <v/>
      </c>
      <c r="L265" s="174" t="str">
        <f t="shared" si="24"/>
        <v/>
      </c>
      <c r="M265" s="174" t="str">
        <f t="shared" si="24"/>
        <v/>
      </c>
      <c r="N265" s="174" t="str">
        <f t="shared" si="24"/>
        <v/>
      </c>
      <c r="O265" s="174" t="str">
        <f t="shared" si="24"/>
        <v/>
      </c>
      <c r="P265" s="174" t="str">
        <f t="shared" si="24"/>
        <v/>
      </c>
      <c r="Q265" s="174" t="str">
        <f t="shared" si="24"/>
        <v/>
      </c>
      <c r="R265" s="174" t="str">
        <f t="shared" si="24"/>
        <v/>
      </c>
      <c r="S265" s="174" t="str">
        <f t="shared" si="24"/>
        <v/>
      </c>
      <c r="T265" s="174" t="str">
        <f t="shared" si="24"/>
        <v/>
      </c>
      <c r="U265" s="174" t="str">
        <f t="shared" si="24"/>
        <v/>
      </c>
      <c r="V265" s="174" t="str">
        <f t="shared" si="24"/>
        <v/>
      </c>
      <c r="W265" s="174" t="str">
        <f t="shared" si="24"/>
        <v/>
      </c>
      <c r="X265" s="174" t="str">
        <f t="shared" si="24"/>
        <v/>
      </c>
      <c r="Y265" s="174" t="str">
        <f t="shared" si="24"/>
        <v/>
      </c>
      <c r="Z265" s="174" t="str">
        <f t="shared" si="24"/>
        <v/>
      </c>
      <c r="AA265" s="174" t="str">
        <f t="shared" si="24"/>
        <v/>
      </c>
      <c r="AB265" s="174" t="str">
        <f t="shared" si="24"/>
        <v/>
      </c>
      <c r="AC265" s="174" t="str">
        <f t="shared" si="24"/>
        <v/>
      </c>
      <c r="AD265" s="174" t="str">
        <f t="shared" si="24"/>
        <v/>
      </c>
      <c r="AE265" s="174" t="str">
        <f t="shared" si="24"/>
        <v/>
      </c>
      <c r="AF265" s="174" t="str">
        <f t="shared" si="24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5">IF(B233&lt;100,"",B233-330)</f>
        <v/>
      </c>
      <c r="C266" s="174" t="str">
        <f t="shared" si="25"/>
        <v/>
      </c>
      <c r="D266" s="174" t="str">
        <f t="shared" si="25"/>
        <v/>
      </c>
      <c r="E266" s="174" t="str">
        <f t="shared" si="25"/>
        <v/>
      </c>
      <c r="F266" s="174" t="str">
        <f t="shared" si="25"/>
        <v/>
      </c>
      <c r="G266" s="174" t="str">
        <f t="shared" si="25"/>
        <v/>
      </c>
      <c r="H266" s="174" t="str">
        <f t="shared" si="25"/>
        <v/>
      </c>
      <c r="I266" s="174" t="str">
        <f t="shared" si="25"/>
        <v/>
      </c>
      <c r="J266" s="174" t="str">
        <f t="shared" si="25"/>
        <v/>
      </c>
      <c r="K266" s="174" t="str">
        <f t="shared" si="25"/>
        <v/>
      </c>
      <c r="L266" s="174" t="str">
        <f t="shared" si="25"/>
        <v/>
      </c>
      <c r="M266" s="174" t="str">
        <f t="shared" si="25"/>
        <v/>
      </c>
      <c r="N266" s="174" t="str">
        <f t="shared" si="25"/>
        <v/>
      </c>
      <c r="O266" s="174" t="str">
        <f t="shared" si="25"/>
        <v/>
      </c>
      <c r="P266" s="174" t="str">
        <f t="shared" si="25"/>
        <v/>
      </c>
      <c r="Q266" s="174" t="str">
        <f t="shared" si="25"/>
        <v/>
      </c>
      <c r="R266" s="174" t="str">
        <f t="shared" si="25"/>
        <v/>
      </c>
      <c r="S266" s="174" t="str">
        <f t="shared" si="25"/>
        <v/>
      </c>
      <c r="T266" s="174" t="str">
        <f t="shared" si="25"/>
        <v/>
      </c>
      <c r="U266" s="174" t="str">
        <f t="shared" si="25"/>
        <v/>
      </c>
      <c r="V266" s="174" t="str">
        <f t="shared" si="25"/>
        <v/>
      </c>
      <c r="W266" s="174" t="str">
        <f t="shared" si="25"/>
        <v/>
      </c>
      <c r="X266" s="174" t="str">
        <f t="shared" si="25"/>
        <v/>
      </c>
      <c r="Y266" s="174" t="str">
        <f t="shared" si="25"/>
        <v/>
      </c>
      <c r="Z266" s="174" t="str">
        <f t="shared" si="25"/>
        <v/>
      </c>
      <c r="AA266" s="174" t="str">
        <f t="shared" si="25"/>
        <v/>
      </c>
      <c r="AB266" s="174" t="str">
        <f t="shared" si="25"/>
        <v/>
      </c>
      <c r="AC266" s="174" t="str">
        <f t="shared" si="25"/>
        <v/>
      </c>
      <c r="AD266" s="174" t="str">
        <f t="shared" si="25"/>
        <v/>
      </c>
      <c r="AE266" s="174" t="str">
        <f t="shared" si="25"/>
        <v/>
      </c>
      <c r="AF266" s="174" t="str">
        <f t="shared" si="25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6">IF(B234&lt;100,"",B234-1500)</f>
        <v/>
      </c>
      <c r="C267" s="174" t="str">
        <f t="shared" si="26"/>
        <v/>
      </c>
      <c r="D267" s="174" t="str">
        <f t="shared" si="26"/>
        <v/>
      </c>
      <c r="E267" s="174" t="str">
        <f t="shared" si="26"/>
        <v/>
      </c>
      <c r="F267" s="174" t="str">
        <f t="shared" si="26"/>
        <v/>
      </c>
      <c r="G267" s="174" t="str">
        <f t="shared" si="26"/>
        <v/>
      </c>
      <c r="H267" s="174" t="str">
        <f t="shared" si="26"/>
        <v/>
      </c>
      <c r="I267" s="174" t="str">
        <f t="shared" si="26"/>
        <v/>
      </c>
      <c r="J267" s="174" t="str">
        <f t="shared" si="26"/>
        <v/>
      </c>
      <c r="K267" s="174" t="str">
        <f t="shared" si="26"/>
        <v/>
      </c>
      <c r="L267" s="174" t="str">
        <f t="shared" si="26"/>
        <v/>
      </c>
      <c r="M267" s="174" t="str">
        <f t="shared" si="26"/>
        <v/>
      </c>
      <c r="N267" s="174" t="str">
        <f t="shared" si="26"/>
        <v/>
      </c>
      <c r="O267" s="174" t="str">
        <f t="shared" si="26"/>
        <v/>
      </c>
      <c r="P267" s="174" t="str">
        <f t="shared" si="26"/>
        <v/>
      </c>
      <c r="Q267" s="174" t="str">
        <f t="shared" si="26"/>
        <v/>
      </c>
      <c r="R267" s="174" t="str">
        <f t="shared" si="26"/>
        <v/>
      </c>
      <c r="S267" s="174" t="str">
        <f t="shared" si="26"/>
        <v/>
      </c>
      <c r="T267" s="174" t="str">
        <f t="shared" si="26"/>
        <v/>
      </c>
      <c r="U267" s="174" t="str">
        <f t="shared" si="26"/>
        <v/>
      </c>
      <c r="V267" s="174" t="str">
        <f t="shared" si="26"/>
        <v/>
      </c>
      <c r="W267" s="174" t="str">
        <f t="shared" si="26"/>
        <v/>
      </c>
      <c r="X267" s="174" t="str">
        <f t="shared" si="26"/>
        <v/>
      </c>
      <c r="Y267" s="174" t="str">
        <f t="shared" si="26"/>
        <v/>
      </c>
      <c r="Z267" s="174" t="str">
        <f t="shared" si="26"/>
        <v/>
      </c>
      <c r="AA267" s="174" t="str">
        <f t="shared" si="26"/>
        <v/>
      </c>
      <c r="AB267" s="174" t="str">
        <f t="shared" si="26"/>
        <v/>
      </c>
      <c r="AC267" s="174" t="str">
        <f t="shared" si="26"/>
        <v/>
      </c>
      <c r="AD267" s="174" t="str">
        <f t="shared" si="26"/>
        <v/>
      </c>
      <c r="AE267" s="174" t="str">
        <f t="shared" si="26"/>
        <v/>
      </c>
      <c r="AF267" s="174" t="str">
        <f t="shared" si="26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5:AF105 D107:AF112 Y11:AF41">
    <cfRule type="expression" dxfId="6171" priority="234">
      <formula>B$9&gt;=20/24</formula>
    </cfRule>
    <cfRule type="expression" dxfId="6170" priority="235">
      <formula>AND(B$9&gt;=14/24,B$9&lt;20/24)</formula>
    </cfRule>
    <cfRule type="expression" dxfId="6169" priority="236">
      <formula>AND(B$9&gt;=8/24,B$9&lt;14/24)</formula>
    </cfRule>
    <cfRule type="expression" dxfId="6168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G61 Y11:AF41">
    <cfRule type="expression" dxfId="6167" priority="232">
      <formula>Y11&gt;$AG11</formula>
    </cfRule>
  </conditionalFormatting>
  <conditionalFormatting sqref="A95:A105 A55:A82 A91:A93 A198:A228 A42:A53 A114:A185 A38:A39 A87:A89 A84:A85 A107:A109 A35:A36 A17:A18 A11:A15 A20:A33">
    <cfRule type="expression" dxfId="6166" priority="231">
      <formula>$AH11=0</formula>
    </cfRule>
  </conditionalFormatting>
  <conditionalFormatting sqref="A110">
    <cfRule type="expression" dxfId="6165" priority="230">
      <formula>$AH110=0</formula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6164" priority="228">
      <formula>$AH41=0</formula>
    </cfRule>
  </conditionalFormatting>
  <conditionalFormatting sqref="A94">
    <cfRule type="expression" dxfId="6163" priority="227">
      <formula>$AH94=0</formula>
    </cfRule>
  </conditionalFormatting>
  <conditionalFormatting sqref="A16">
    <cfRule type="expression" dxfId="6162" priority="226">
      <formula>$AH16=0</formula>
    </cfRule>
  </conditionalFormatting>
  <conditionalFormatting sqref="A192:A197">
    <cfRule type="expression" dxfId="6161" priority="225">
      <formula>$AH192=0</formula>
    </cfRule>
  </conditionalFormatting>
  <conditionalFormatting sqref="A186:A191">
    <cfRule type="expression" dxfId="6160" priority="224">
      <formula>$AH186=0</formula>
    </cfRule>
  </conditionalFormatting>
  <conditionalFormatting sqref="A54">
    <cfRule type="expression" dxfId="6159" priority="223">
      <formula>$AH54=0</formula>
    </cfRule>
  </conditionalFormatting>
  <conditionalFormatting sqref="A90">
    <cfRule type="expression" dxfId="6158" priority="222">
      <formula>$AH90=0</formula>
    </cfRule>
  </conditionalFormatting>
  <conditionalFormatting sqref="AD95:AF95 E95:X95">
    <cfRule type="expression" dxfId="6157" priority="218">
      <formula>E$9&gt;=20/24</formula>
    </cfRule>
    <cfRule type="expression" dxfId="6156" priority="219">
      <formula>AND(E$9&gt;=14/24,E$9&lt;20/24)</formula>
    </cfRule>
    <cfRule type="expression" dxfId="6155" priority="220">
      <formula>AND(E$9&gt;=8/24,E$9&lt;14/24)</formula>
    </cfRule>
    <cfRule type="expression" dxfId="6154" priority="221">
      <formula>E$9&lt;8/24</formula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153" priority="240">
      <formula>C$9&gt;=20/24</formula>
    </cfRule>
    <cfRule type="expression" dxfId="6152" priority="241">
      <formula>AND(C$9&gt;=14/24,C$9&lt;20/24)</formula>
    </cfRule>
    <cfRule type="expression" dxfId="6151" priority="242">
      <formula>AND(C$9&gt;=8/24,C$9&lt;14/24)</formula>
    </cfRule>
    <cfRule type="expression" dxfId="6150" priority="243">
      <formula>C$9&lt;8/24</formula>
    </cfRule>
  </conditionalFormatting>
  <conditionalFormatting sqref="A229">
    <cfRule type="expression" dxfId="6149" priority="244">
      <formula>$AH229=0</formula>
    </cfRule>
  </conditionalFormatting>
  <conditionalFormatting sqref="AG241">
    <cfRule type="expression" dxfId="6148" priority="245">
      <formula>B$9&gt;=20/24</formula>
    </cfRule>
    <cfRule type="expression" dxfId="6147" priority="246">
      <formula>AND(B$9&gt;=14/24,B$9&lt;20/24)</formula>
    </cfRule>
    <cfRule type="expression" dxfId="6146" priority="247">
      <formula>AND(B$9&gt;=8/24,B$9&lt;14/24)</formula>
    </cfRule>
    <cfRule type="expression" dxfId="6145" priority="248">
      <formula>B$9&lt;8/24</formula>
    </cfRule>
  </conditionalFormatting>
  <conditionalFormatting sqref="S8">
    <cfRule type="expression" dxfId="6144" priority="213">
      <formula>U$9&gt;=20/24</formula>
    </cfRule>
    <cfRule type="expression" dxfId="6143" priority="214">
      <formula>AND(U$9&gt;=14/24,U$9&lt;20/24)</formula>
    </cfRule>
    <cfRule type="expression" dxfId="6142" priority="215">
      <formula>AND(U$9&gt;=8/24,U$9&lt;14/24)</formula>
    </cfRule>
    <cfRule type="expression" dxfId="6141" priority="216">
      <formula>U$9&lt;8/24</formula>
    </cfRule>
  </conditionalFormatting>
  <conditionalFormatting sqref="AB8">
    <cfRule type="expression" dxfId="6140" priority="209">
      <formula>AD$9&gt;=20/24</formula>
    </cfRule>
    <cfRule type="expression" dxfId="6139" priority="210">
      <formula>AND(AD$9&gt;=14/24,AD$9&lt;20/24)</formula>
    </cfRule>
    <cfRule type="expression" dxfId="6138" priority="211">
      <formula>AND(AD$9&gt;=8/24,AD$9&lt;14/24)</formula>
    </cfRule>
    <cfRule type="expression" dxfId="6137" priority="212">
      <formula>AD$9&lt;8/24</formula>
    </cfRule>
  </conditionalFormatting>
  <conditionalFormatting sqref="AH241:AX241">
    <cfRule type="expression" dxfId="6136" priority="249">
      <formula>AG$9&gt;=20/24</formula>
    </cfRule>
    <cfRule type="expression" dxfId="6135" priority="250">
      <formula>AND(AG$9&gt;=14/24,AG$9&lt;20/24)</formula>
    </cfRule>
    <cfRule type="expression" dxfId="6134" priority="251">
      <formula>AND(AG$9&gt;=8/24,AG$9&lt;14/24)</formula>
    </cfRule>
    <cfRule type="expression" dxfId="6133" priority="252">
      <formula>AG$9&lt;8/24</formula>
    </cfRule>
  </conditionalFormatting>
  <conditionalFormatting sqref="T241">
    <cfRule type="expression" dxfId="6132" priority="253">
      <formula>AX$9&gt;=20/24</formula>
    </cfRule>
    <cfRule type="expression" dxfId="6131" priority="254">
      <formula>AND(AX$9&gt;=14/24,AX$9&lt;20/24)</formula>
    </cfRule>
    <cfRule type="expression" dxfId="6130" priority="255">
      <formula>AND(AX$9&gt;=8/24,AX$9&lt;14/24)</formula>
    </cfRule>
    <cfRule type="expression" dxfId="6129" priority="256">
      <formula>AX$9&lt;8/24</formula>
    </cfRule>
  </conditionalFormatting>
  <conditionalFormatting sqref="A111:A112">
    <cfRule type="expression" dxfId="6128" priority="208">
      <formula>$AH111=0</formula>
    </cfRule>
  </conditionalFormatting>
  <conditionalFormatting sqref="M50:N53 O50:Q54 Y52:AA53 AB50:AF53 E67:AF67">
    <cfRule type="expression" dxfId="6127" priority="204">
      <formula>E$9&gt;=20/24</formula>
    </cfRule>
    <cfRule type="expression" dxfId="6126" priority="205">
      <formula>AND(E$9&gt;=14/24,E$9&lt;20/24)</formula>
    </cfRule>
    <cfRule type="expression" dxfId="6125" priority="206">
      <formula>AND(E$9&gt;=8/24,E$9&lt;14/24)</formula>
    </cfRule>
    <cfRule type="expression" dxfId="6124" priority="207">
      <formula>E$9&lt;8/24</formula>
    </cfRule>
  </conditionalFormatting>
  <conditionalFormatting sqref="M49:Q49 AB49:AF49">
    <cfRule type="expression" dxfId="6123" priority="200">
      <formula>M$9&gt;=20/24</formula>
    </cfRule>
    <cfRule type="expression" dxfId="6122" priority="201">
      <formula>AND(M$9&gt;=14/24,M$9&lt;20/24)</formula>
    </cfRule>
    <cfRule type="expression" dxfId="6121" priority="202">
      <formula>AND(M$9&gt;=8/24,M$9&lt;14/24)</formula>
    </cfRule>
    <cfRule type="expression" dxfId="6120" priority="203">
      <formula>M$9&lt;8/24</formula>
    </cfRule>
  </conditionalFormatting>
  <conditionalFormatting sqref="M49:N53 O49:Q54 Y52:AA53 AB49:AF53">
    <cfRule type="expression" dxfId="6119" priority="199">
      <formula>M49&gt;$AG49</formula>
    </cfRule>
  </conditionalFormatting>
  <conditionalFormatting sqref="D82:AF82 X43:AF43 X63:AF65 X92:AF92 AD96:AF102 N96:X102 E68:W69 X68:AF70">
    <cfRule type="expression" dxfId="6118" priority="195">
      <formula>D$9&gt;=20/24</formula>
    </cfRule>
    <cfRule type="expression" dxfId="6117" priority="196">
      <formula>AND(D$9&gt;=14/24,D$9&lt;20/24)</formula>
    </cfRule>
    <cfRule type="expression" dxfId="6116" priority="197">
      <formula>AND(D$9&gt;=8/24,D$9&lt;14/24)</formula>
    </cfRule>
    <cfRule type="expression" dxfId="6115" priority="198">
      <formula>D$9&lt;8/24</formula>
    </cfRule>
  </conditionalFormatting>
  <conditionalFormatting sqref="X43:AF43 X63:AF65">
    <cfRule type="expression" dxfId="6114" priority="194">
      <formula>X43&gt;$AG43</formula>
    </cfRule>
  </conditionalFormatting>
  <conditionalFormatting sqref="R49:X54 Y49:AA51">
    <cfRule type="expression" dxfId="6113" priority="190">
      <formula>R$9&gt;=20/24</formula>
    </cfRule>
    <cfRule type="expression" dxfId="6112" priority="191">
      <formula>AND(R$9&gt;=14/24,R$9&lt;20/24)</formula>
    </cfRule>
    <cfRule type="expression" dxfId="6111" priority="192">
      <formula>AND(R$9&gt;=8/24,R$9&lt;14/24)</formula>
    </cfRule>
    <cfRule type="expression" dxfId="6110" priority="193">
      <formula>R$9&lt;8/24</formula>
    </cfRule>
  </conditionalFormatting>
  <conditionalFormatting sqref="R49:X54 Y49:AA51">
    <cfRule type="expression" dxfId="6109" priority="189">
      <formula>R49&gt;$AG49</formula>
    </cfRule>
  </conditionalFormatting>
  <conditionalFormatting sqref="C93:AF93 C84:AF84">
    <cfRule type="expression" dxfId="6108" priority="185">
      <formula>C$9&gt;=20/24</formula>
    </cfRule>
    <cfRule type="expression" dxfId="6107" priority="186">
      <formula>AND(C$9&gt;=14/24,C$9&lt;20/24)</formula>
    </cfRule>
    <cfRule type="expression" dxfId="6106" priority="187">
      <formula>AND(C$9&gt;=8/24,C$9&lt;14/24)</formula>
    </cfRule>
    <cfRule type="expression" dxfId="6105" priority="188">
      <formula>C$9&lt;8/24</formula>
    </cfRule>
  </conditionalFormatting>
  <conditionalFormatting sqref="T43:W43">
    <cfRule type="expression" dxfId="6104" priority="181">
      <formula>T$9&gt;=20/24</formula>
    </cfRule>
    <cfRule type="expression" dxfId="6103" priority="182">
      <formula>AND(T$9&gt;=14/24,T$9&lt;20/24)</formula>
    </cfRule>
    <cfRule type="expression" dxfId="6102" priority="183">
      <formula>AND(T$9&gt;=8/24,T$9&lt;14/24)</formula>
    </cfRule>
    <cfRule type="expression" dxfId="6101" priority="184">
      <formula>T$9&lt;8/24</formula>
    </cfRule>
  </conditionalFormatting>
  <conditionalFormatting sqref="T43:W43">
    <cfRule type="expression" dxfId="6100" priority="180">
      <formula>T43&gt;$AG43</formula>
    </cfRule>
  </conditionalFormatting>
  <conditionalFormatting sqref="E50:L51 Y42:AF42">
    <cfRule type="expression" dxfId="6099" priority="176">
      <formula>E$9&gt;=20/24</formula>
    </cfRule>
    <cfRule type="expression" dxfId="6098" priority="177">
      <formula>AND(E$9&gt;=14/24,E$9&lt;20/24)</formula>
    </cfRule>
    <cfRule type="expression" dxfId="6097" priority="178">
      <formula>AND(E$9&gt;=8/24,E$9&lt;14/24)</formula>
    </cfRule>
    <cfRule type="expression" dxfId="6096" priority="179">
      <formula>E$9&lt;8/24</formula>
    </cfRule>
  </conditionalFormatting>
  <conditionalFormatting sqref="E49:L49">
    <cfRule type="expression" dxfId="6095" priority="172">
      <formula>E$9&gt;=20/24</formula>
    </cfRule>
    <cfRule type="expression" dxfId="6094" priority="173">
      <formula>AND(E$9&gt;=14/24,E$9&lt;20/24)</formula>
    </cfRule>
    <cfRule type="expression" dxfId="6093" priority="174">
      <formula>AND(E$9&gt;=8/24,E$9&lt;14/24)</formula>
    </cfRule>
    <cfRule type="expression" dxfId="6092" priority="175">
      <formula>E$9&lt;8/24</formula>
    </cfRule>
  </conditionalFormatting>
  <conditionalFormatting sqref="E49:L51 Y42:AF42">
    <cfRule type="expression" dxfId="6091" priority="171">
      <formula>E42&gt;$AG42</formula>
    </cfRule>
  </conditionalFormatting>
  <conditionalFormatting sqref="AG66 AG83 E96:M102 S63:W65">
    <cfRule type="expression" dxfId="6090" priority="167">
      <formula>E$9&gt;=20/24</formula>
    </cfRule>
    <cfRule type="expression" dxfId="6089" priority="168">
      <formula>AND(E$9&gt;=14/24,E$9&lt;20/24)</formula>
    </cfRule>
    <cfRule type="expression" dxfId="6088" priority="169">
      <formula>AND(E$9&gt;=8/24,E$9&lt;14/24)</formula>
    </cfRule>
    <cfRule type="expression" dxfId="6087" priority="170">
      <formula>E$9&lt;8/24</formula>
    </cfRule>
  </conditionalFormatting>
  <conditionalFormatting sqref="AG44 AG62 AG66 S63:W65">
    <cfRule type="expression" dxfId="6086" priority="166">
      <formula>S44&gt;$AG44</formula>
    </cfRule>
  </conditionalFormatting>
  <conditionalFormatting sqref="Y54:AF54">
    <cfRule type="expression" dxfId="6085" priority="162">
      <formula>Y$9&gt;=20/24</formula>
    </cfRule>
    <cfRule type="expression" dxfId="6084" priority="163">
      <formula>AND(Y$9&gt;=14/24,Y$9&lt;20/24)</formula>
    </cfRule>
    <cfRule type="expression" dxfId="6083" priority="164">
      <formula>AND(Y$9&gt;=8/24,Y$9&lt;14/24)</formula>
    </cfRule>
    <cfRule type="expression" dxfId="6082" priority="165">
      <formula>Y$9&lt;8/24</formula>
    </cfRule>
  </conditionalFormatting>
  <conditionalFormatting sqref="Y54:AF54">
    <cfRule type="expression" dxfId="6081" priority="161">
      <formula>Y54&gt;$AG54</formula>
    </cfRule>
  </conditionalFormatting>
  <conditionalFormatting sqref="A40">
    <cfRule type="expression" dxfId="6080" priority="160">
      <formula>$AH40=0</formula>
    </cfRule>
  </conditionalFormatting>
  <conditionalFormatting sqref="X87:AF91">
    <cfRule type="expression" dxfId="6079" priority="156">
      <formula>X$9&gt;=20/24</formula>
    </cfRule>
    <cfRule type="expression" dxfId="6078" priority="157">
      <formula>AND(X$9&gt;=14/24,X$9&lt;20/24)</formula>
    </cfRule>
    <cfRule type="expression" dxfId="6077" priority="158">
      <formula>AND(X$9&gt;=8/24,X$9&lt;14/24)</formula>
    </cfRule>
    <cfRule type="expression" dxfId="6076" priority="159">
      <formula>X$9&lt;8/24</formula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E45:AF47">
    <cfRule type="expression" dxfId="6075" priority="152">
      <formula>E$9&gt;=20/24</formula>
    </cfRule>
    <cfRule type="expression" dxfId="6074" priority="153">
      <formula>AND(E$9&gt;=14/24,E$9&lt;20/24)</formula>
    </cfRule>
    <cfRule type="expression" dxfId="6073" priority="154">
      <formula>AND(E$9&gt;=8/24,E$9&lt;14/24)</formula>
    </cfRule>
    <cfRule type="expression" dxfId="6072" priority="155">
      <formula>E$9&lt;8/24</formula>
    </cfRule>
  </conditionalFormatting>
  <conditionalFormatting sqref="E45:AF47">
    <cfRule type="expression" dxfId="6071" priority="151">
      <formula>E45&gt;$AG45</formula>
    </cfRule>
  </conditionalFormatting>
  <conditionalFormatting sqref="AG48">
    <cfRule type="expression" dxfId="6070" priority="147">
      <formula>AG$9&gt;=20/24</formula>
    </cfRule>
    <cfRule type="expression" dxfId="6069" priority="148">
      <formula>AND(AG$9&gt;=14/24,AG$9&lt;20/24)</formula>
    </cfRule>
    <cfRule type="expression" dxfId="6068" priority="149">
      <formula>AND(AG$9&gt;=8/24,AG$9&lt;14/24)</formula>
    </cfRule>
    <cfRule type="expression" dxfId="6067" priority="150">
      <formula>AG$9&lt;8/24</formula>
    </cfRule>
  </conditionalFormatting>
  <conditionalFormatting sqref="AG48">
    <cfRule type="expression" dxfId="6066" priority="146">
      <formula>AG48&gt;$AG48</formula>
    </cfRule>
  </conditionalFormatting>
  <conditionalFormatting sqref="C103:AF103">
    <cfRule type="expression" dxfId="6065" priority="142">
      <formula>C$9&gt;=20/24</formula>
    </cfRule>
    <cfRule type="expression" dxfId="6064" priority="143">
      <formula>AND(C$9&gt;=14/24,C$9&lt;20/24)</formula>
    </cfRule>
    <cfRule type="expression" dxfId="6063" priority="144">
      <formula>AND(C$9&gt;=8/24,C$9&lt;14/24)</formula>
    </cfRule>
    <cfRule type="expression" dxfId="6062" priority="145">
      <formula>C$9&lt;8/24</formula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6061" priority="140">
      <formula>$AH37=0</formula>
    </cfRule>
  </conditionalFormatting>
  <conditionalFormatting sqref="A86">
    <cfRule type="expression" dxfId="6060" priority="138">
      <formula>$AH86=0</formula>
    </cfRule>
  </conditionalFormatting>
  <conditionalFormatting sqref="A83">
    <cfRule type="expression" dxfId="6059" priority="139">
      <formula>$AH83=0</formula>
    </cfRule>
  </conditionalFormatting>
  <conditionalFormatting sqref="A113">
    <cfRule type="expression" dxfId="6058" priority="129">
      <formula>$AH113=0</formula>
    </cfRule>
  </conditionalFormatting>
  <conditionalFormatting sqref="D106:AF106">
    <cfRule type="expression" dxfId="6057" priority="125">
      <formula>D$9&gt;=20/24</formula>
    </cfRule>
    <cfRule type="expression" dxfId="6056" priority="126">
      <formula>AND(D$9&gt;=14/24,D$9&lt;20/24)</formula>
    </cfRule>
    <cfRule type="expression" dxfId="6055" priority="127">
      <formula>AND(D$9&gt;=8/24,D$9&lt;14/24)</formula>
    </cfRule>
    <cfRule type="expression" dxfId="6054" priority="128">
      <formula>D$9&lt;8/24</formula>
    </cfRule>
  </conditionalFormatting>
  <conditionalFormatting sqref="A106">
    <cfRule type="expression" dxfId="6053" priority="124">
      <formula>$AH106=0</formula>
    </cfRule>
  </conditionalFormatting>
  <conditionalFormatting sqref="A19">
    <cfRule type="expression" dxfId="6052" priority="122">
      <formula>$AH19=0</formula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6051" priority="120">
      <formula>$AH34=0</formula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6050" priority="116">
      <formula>Y$9&gt;=20/24</formula>
    </cfRule>
    <cfRule type="expression" dxfId="6049" priority="117">
      <formula>AND(Y$9&gt;=14/24,Y$9&lt;20/24)</formula>
    </cfRule>
    <cfRule type="expression" dxfId="6048" priority="118">
      <formula>AND(Y$9&gt;=8/24,Y$9&lt;14/24)</formula>
    </cfRule>
    <cfRule type="expression" dxfId="6047" priority="119">
      <formula>Y$9&lt;8/24</formula>
    </cfRule>
  </conditionalFormatting>
  <conditionalFormatting sqref="Y96:AC102">
    <cfRule type="expression" dxfId="6046" priority="112">
      <formula>Y$9&gt;=20/24</formula>
    </cfRule>
    <cfRule type="expression" dxfId="6045" priority="113">
      <formula>AND(Y$9&gt;=14/24,Y$9&lt;20/24)</formula>
    </cfRule>
    <cfRule type="expression" dxfId="6044" priority="114">
      <formula>AND(Y$9&gt;=8/24,Y$9&lt;14/24)</formula>
    </cfRule>
    <cfRule type="expression" dxfId="6043" priority="115">
      <formula>Y$9&lt;8/24</formula>
    </cfRule>
  </conditionalFormatting>
  <conditionalFormatting sqref="B105:C105 B107:C112 B15:X40">
    <cfRule type="expression" dxfId="6042" priority="108">
      <formula>B$9&gt;=20/24</formula>
    </cfRule>
    <cfRule type="expression" dxfId="6041" priority="109">
      <formula>AND(B$9&gt;=14/24,B$9&lt;20/24)</formula>
    </cfRule>
    <cfRule type="expression" dxfId="6040" priority="110">
      <formula>AND(B$9&gt;=8/24,B$9&lt;14/24)</formula>
    </cfRule>
    <cfRule type="expression" dxfId="6039" priority="111">
      <formula>B$9&lt;8/24</formula>
    </cfRule>
  </conditionalFormatting>
  <conditionalFormatting sqref="B43:S43">
    <cfRule type="expression" dxfId="6038" priority="104">
      <formula>B$9&gt;=20/24</formula>
    </cfRule>
    <cfRule type="expression" dxfId="6037" priority="105">
      <formula>AND(B$9&gt;=14/24,B$9&lt;20/24)</formula>
    </cfRule>
    <cfRule type="expression" dxfId="6036" priority="106">
      <formula>AND(B$9&gt;=8/24,B$9&lt;14/24)</formula>
    </cfRule>
    <cfRule type="expression" dxfId="6035" priority="107">
      <formula>B$9&lt;8/24</formula>
    </cfRule>
  </conditionalFormatting>
  <conditionalFormatting sqref="B43:S43 B15:X40">
    <cfRule type="expression" dxfId="6034" priority="103">
      <formula>B15&gt;$AG15</formula>
    </cfRule>
  </conditionalFormatting>
  <conditionalFormatting sqref="B95:D95">
    <cfRule type="expression" dxfId="6033" priority="99">
      <formula>B$9&gt;=20/24</formula>
    </cfRule>
    <cfRule type="expression" dxfId="6032" priority="100">
      <formula>AND(B$9&gt;=14/24,B$9&lt;20/24)</formula>
    </cfRule>
    <cfRule type="expression" dxfId="6031" priority="101">
      <formula>AND(B$9&gt;=8/24,B$9&lt;14/24)</formula>
    </cfRule>
    <cfRule type="expression" dxfId="6030" priority="102">
      <formula>B$9&lt;8/24</formula>
    </cfRule>
  </conditionalFormatting>
  <conditionalFormatting sqref="B67:D67 B50:D51">
    <cfRule type="expression" dxfId="6029" priority="95">
      <formula>B$9&gt;=20/24</formula>
    </cfRule>
    <cfRule type="expression" dxfId="6028" priority="96">
      <formula>AND(B$9&gt;=14/24,B$9&lt;20/24)</formula>
    </cfRule>
    <cfRule type="expression" dxfId="6027" priority="97">
      <formula>AND(B$9&gt;=8/24,B$9&lt;14/24)</formula>
    </cfRule>
    <cfRule type="expression" dxfId="6026" priority="98">
      <formula>B$9&lt;8/24</formula>
    </cfRule>
  </conditionalFormatting>
  <conditionalFormatting sqref="B49:D49">
    <cfRule type="expression" dxfId="6025" priority="91">
      <formula>B$9&gt;=20/24</formula>
    </cfRule>
    <cfRule type="expression" dxfId="6024" priority="92">
      <formula>AND(B$9&gt;=14/24,B$9&lt;20/24)</formula>
    </cfRule>
    <cfRule type="expression" dxfId="6023" priority="93">
      <formula>AND(B$9&gt;=8/24,B$9&lt;14/24)</formula>
    </cfRule>
    <cfRule type="expression" dxfId="6022" priority="94">
      <formula>B$9&lt;8/24</formula>
    </cfRule>
  </conditionalFormatting>
  <conditionalFormatting sqref="B49:D51">
    <cfRule type="expression" dxfId="6021" priority="90">
      <formula>B49&gt;$AG49</formula>
    </cfRule>
  </conditionalFormatting>
  <conditionalFormatting sqref="B82:C82 B96:D102 B92:W92 B79:AF81 B68:D72 B63:R65 E70:W72 X71:AF72">
    <cfRule type="expression" dxfId="6020" priority="86">
      <formula>B$9&gt;=20/24</formula>
    </cfRule>
    <cfRule type="expression" dxfId="6019" priority="87">
      <formula>AND(B$9&gt;=14/24,B$9&lt;20/24)</formula>
    </cfRule>
    <cfRule type="expression" dxfId="6018" priority="88">
      <formula>AND(B$9&gt;=8/24,B$9&lt;14/24)</formula>
    </cfRule>
    <cfRule type="expression" dxfId="6017" priority="89">
      <formula>B$9&lt;8/24</formula>
    </cfRule>
  </conditionalFormatting>
  <conditionalFormatting sqref="B52:L53 B63:R65">
    <cfRule type="expression" dxfId="6016" priority="85">
      <formula>B52&gt;$AG52</formula>
    </cfRule>
  </conditionalFormatting>
  <conditionalFormatting sqref="B54:N54">
    <cfRule type="expression" dxfId="6015" priority="81">
      <formula>B$9&gt;=20/24</formula>
    </cfRule>
    <cfRule type="expression" dxfId="6014" priority="82">
      <formula>AND(B$9&gt;=14/24,B$9&lt;20/24)</formula>
    </cfRule>
    <cfRule type="expression" dxfId="6013" priority="83">
      <formula>AND(B$9&gt;=8/24,B$9&lt;14/24)</formula>
    </cfRule>
    <cfRule type="expression" dxfId="6012" priority="84">
      <formula>B$9&lt;8/24</formula>
    </cfRule>
  </conditionalFormatting>
  <conditionalFormatting sqref="B54:N54">
    <cfRule type="expression" dxfId="6011" priority="80">
      <formula>B54&gt;$AG54</formula>
    </cfRule>
  </conditionalFormatting>
  <conditionalFormatting sqref="B84 B93">
    <cfRule type="expression" dxfId="6010" priority="76">
      <formula>B$9&gt;=20/24</formula>
    </cfRule>
    <cfRule type="expression" dxfId="6009" priority="77">
      <formula>AND(B$9&gt;=14/24,B$9&lt;20/24)</formula>
    </cfRule>
    <cfRule type="expression" dxfId="6008" priority="78">
      <formula>AND(B$9&gt;=8/24,B$9&lt;14/24)</formula>
    </cfRule>
    <cfRule type="expression" dxfId="6007" priority="79">
      <formula>B$9&lt;8/24</formula>
    </cfRule>
  </conditionalFormatting>
  <conditionalFormatting sqref="B42:X42">
    <cfRule type="expression" dxfId="6006" priority="72">
      <formula>B$9&gt;=20/24</formula>
    </cfRule>
    <cfRule type="expression" dxfId="6005" priority="73">
      <formula>AND(B$9&gt;=14/24,B$9&lt;20/24)</formula>
    </cfRule>
    <cfRule type="expression" dxfId="6004" priority="74">
      <formula>AND(B$9&gt;=8/24,B$9&lt;14/24)</formula>
    </cfRule>
    <cfRule type="expression" dxfId="6003" priority="75">
      <formula>B$9&lt;8/24</formula>
    </cfRule>
  </conditionalFormatting>
  <conditionalFormatting sqref="B42:X42">
    <cfRule type="expression" dxfId="6002" priority="71">
      <formula>B42&gt;$AG42</formula>
    </cfRule>
  </conditionalFormatting>
  <conditionalFormatting sqref="B83:AF83 B85:AF85 B94:AF94 B66:AF66">
    <cfRule type="expression" dxfId="6001" priority="67">
      <formula>B$9&gt;=20/24</formula>
    </cfRule>
    <cfRule type="expression" dxfId="6000" priority="68">
      <formula>AND(B$9&gt;=14/24,B$9&lt;20/24)</formula>
    </cfRule>
    <cfRule type="expression" dxfId="5999" priority="69">
      <formula>AND(B$9&gt;=8/24,B$9&lt;14/24)</formula>
    </cfRule>
    <cfRule type="expression" dxfId="5998" priority="70">
      <formula>B$9&lt;8/24</formula>
    </cfRule>
  </conditionalFormatting>
  <conditionalFormatting sqref="B44:AF44 B61:AF62 B66:AF66">
    <cfRule type="expression" dxfId="5997" priority="66">
      <formula>B44&gt;$AG44</formula>
    </cfRule>
  </conditionalFormatting>
  <conditionalFormatting sqref="B78:AF78">
    <cfRule type="expression" dxfId="5996" priority="62">
      <formula>B$9&gt;=20/24</formula>
    </cfRule>
    <cfRule type="expression" dxfId="5995" priority="63">
      <formula>AND(B$9&gt;=14/24,B$9&lt;20/24)</formula>
    </cfRule>
    <cfRule type="expression" dxfId="5994" priority="64">
      <formula>AND(B$9&gt;=8/24,B$9&lt;14/24)</formula>
    </cfRule>
    <cfRule type="expression" dxfId="5993" priority="65">
      <formula>B$9&lt;8/24</formula>
    </cfRule>
  </conditionalFormatting>
  <conditionalFormatting sqref="B87:W91">
    <cfRule type="expression" dxfId="5992" priority="58">
      <formula>B$9&gt;=20/24</formula>
    </cfRule>
    <cfRule type="expression" dxfId="5991" priority="59">
      <formula>AND(B$9&gt;=14/24,B$9&lt;20/24)</formula>
    </cfRule>
    <cfRule type="expression" dxfId="5990" priority="60">
      <formula>AND(B$9&gt;=8/24,B$9&lt;14/24)</formula>
    </cfRule>
    <cfRule type="expression" dxfId="5989" priority="61">
      <formula>B$9&lt;8/24</formula>
    </cfRule>
  </conditionalFormatting>
  <conditionalFormatting sqref="B45:D47">
    <cfRule type="expression" dxfId="5988" priority="54">
      <formula>B$9&gt;=20/24</formula>
    </cfRule>
    <cfRule type="expression" dxfId="5987" priority="55">
      <formula>AND(B$9&gt;=14/24,B$9&lt;20/24)</formula>
    </cfRule>
    <cfRule type="expression" dxfId="5986" priority="56">
      <formula>AND(B$9&gt;=8/24,B$9&lt;14/24)</formula>
    </cfRule>
    <cfRule type="expression" dxfId="5985" priority="57">
      <formula>B$9&lt;8/24</formula>
    </cfRule>
  </conditionalFormatting>
  <conditionalFormatting sqref="B45:D47">
    <cfRule type="expression" dxfId="5984" priority="53">
      <formula>B45&gt;$AG45</formula>
    </cfRule>
  </conditionalFormatting>
  <conditionalFormatting sqref="B48:AF48">
    <cfRule type="expression" dxfId="5983" priority="49">
      <formula>B$9&gt;=20/24</formula>
    </cfRule>
    <cfRule type="expression" dxfId="5982" priority="50">
      <formula>AND(B$9&gt;=14/24,B$9&lt;20/24)</formula>
    </cfRule>
    <cfRule type="expression" dxfId="5981" priority="51">
      <formula>AND(B$9&gt;=8/24,B$9&lt;14/24)</formula>
    </cfRule>
    <cfRule type="expression" dxfId="5980" priority="52">
      <formula>B$9&lt;8/24</formula>
    </cfRule>
  </conditionalFormatting>
  <conditionalFormatting sqref="B48:AF48">
    <cfRule type="expression" dxfId="5979" priority="48">
      <formula>B48&gt;$AG48</formula>
    </cfRule>
  </conditionalFormatting>
  <conditionalFormatting sqref="B103">
    <cfRule type="expression" dxfId="5978" priority="44">
      <formula>B$9&gt;=20/24</formula>
    </cfRule>
    <cfRule type="expression" dxfId="5977" priority="45">
      <formula>AND(B$9&gt;=14/24,B$9&lt;20/24)</formula>
    </cfRule>
    <cfRule type="expression" dxfId="5976" priority="46">
      <formula>AND(B$9&gt;=8/24,B$9&lt;14/24)</formula>
    </cfRule>
    <cfRule type="expression" dxfId="5975" priority="47">
      <formula>B$9&lt;8/24</formula>
    </cfRule>
  </conditionalFormatting>
  <conditionalFormatting sqref="B106:C106">
    <cfRule type="expression" dxfId="5974" priority="32">
      <formula>B$9&gt;=20/24</formula>
    </cfRule>
    <cfRule type="expression" dxfId="5973" priority="33">
      <formula>AND(B$9&gt;=14/24,B$9&lt;20/24)</formula>
    </cfRule>
    <cfRule type="expression" dxfId="5972" priority="34">
      <formula>AND(B$9&gt;=8/24,B$9&lt;14/24)</formula>
    </cfRule>
    <cfRule type="expression" dxfId="5971" priority="35">
      <formula>B$9&lt;8/24</formula>
    </cfRule>
  </conditionalFormatting>
  <conditionalFormatting sqref="B55:AF60">
    <cfRule type="expression" dxfId="5970" priority="28">
      <formula>B$9&gt;=20/24</formula>
    </cfRule>
    <cfRule type="expression" dxfId="5969" priority="29">
      <formula>AND(B$9&gt;=14/24,B$9&lt;20/24)</formula>
    </cfRule>
    <cfRule type="expression" dxfId="5968" priority="30">
      <formula>AND(B$9&gt;=8/24,B$9&lt;14/24)</formula>
    </cfRule>
    <cfRule type="expression" dxfId="5967" priority="31">
      <formula>B$9&lt;8/24</formula>
    </cfRule>
  </conditionalFormatting>
  <conditionalFormatting sqref="B55:AF60">
    <cfRule type="expression" dxfId="5966" priority="27">
      <formula>B55&gt;$AG55</formula>
    </cfRule>
  </conditionalFormatting>
  <conditionalFormatting sqref="B12:X14 B41:X41">
    <cfRule type="expression" dxfId="5965" priority="26">
      <formula>B12&gt;$AG12</formula>
    </cfRule>
  </conditionalFormatting>
  <conditionalFormatting sqref="B11:X11">
    <cfRule type="expression" dxfId="5964" priority="22">
      <formula>B$9&gt;=20/24</formula>
    </cfRule>
    <cfRule type="expression" dxfId="5963" priority="23">
      <formula>AND(B$9&gt;=14/24,B$9&lt;20/24)</formula>
    </cfRule>
    <cfRule type="expression" dxfId="5962" priority="24">
      <formula>AND(B$9&gt;=8/24,B$9&lt;14/24)</formula>
    </cfRule>
    <cfRule type="expression" dxfId="5961" priority="25">
      <formula>B$9&lt;8/24</formula>
    </cfRule>
  </conditionalFormatting>
  <conditionalFormatting sqref="B11:X11">
    <cfRule type="expression" dxfId="5960" priority="21">
      <formula>B11&gt;$AG11</formula>
    </cfRule>
  </conditionalFormatting>
  <conditionalFormatting sqref="B12:X14">
    <cfRule type="expression" dxfId="5959" priority="17">
      <formula>B$9&gt;=20/24</formula>
    </cfRule>
    <cfRule type="expression" dxfId="5958" priority="18">
      <formula>AND(B$9&gt;=14/24,B$9&lt;20/24)</formula>
    </cfRule>
    <cfRule type="expression" dxfId="5957" priority="19">
      <formula>AND(B$9&gt;=8/24,B$9&lt;14/24)</formula>
    </cfRule>
    <cfRule type="expression" dxfId="5956" priority="20">
      <formula>B$9&lt;8/24</formula>
    </cfRule>
  </conditionalFormatting>
  <conditionalFormatting sqref="B41:X41">
    <cfRule type="expression" dxfId="5955" priority="13">
      <formula>B$9&gt;=20/24</formula>
    </cfRule>
    <cfRule type="expression" dxfId="5954" priority="14">
      <formula>AND(B$9&gt;=14/24,B$9&lt;20/24)</formula>
    </cfRule>
    <cfRule type="expression" dxfId="5953" priority="15">
      <formula>AND(B$9&gt;=8/24,B$9&lt;14/24)</formula>
    </cfRule>
    <cfRule type="expression" dxfId="5952" priority="16">
      <formula>B$9&lt;8/24</formula>
    </cfRule>
  </conditionalFormatting>
  <conditionalFormatting sqref="B73:AF77">
    <cfRule type="expression" dxfId="5951" priority="9">
      <formula>B$9&gt;=20/24</formula>
    </cfRule>
    <cfRule type="expression" dxfId="5950" priority="10">
      <formula>AND(B$9&gt;=14/24,B$9&lt;20/24)</formula>
    </cfRule>
    <cfRule type="expression" dxfId="5949" priority="11">
      <formula>AND(B$9&gt;=8/24,B$9&lt;14/24)</formula>
    </cfRule>
    <cfRule type="expression" dxfId="5948" priority="12">
      <formula>B$9&lt;8/24</formula>
    </cfRule>
  </conditionalFormatting>
  <conditionalFormatting sqref="AL74:AN74 AL80:AN80 AN75:AN76">
    <cfRule type="expression" dxfId="5947" priority="5">
      <formula>AL$9&gt;=20/24</formula>
    </cfRule>
    <cfRule type="expression" dxfId="5946" priority="6">
      <formula>AND(AL$9&gt;=14/24,AL$9&lt;20/24)</formula>
    </cfRule>
    <cfRule type="expression" dxfId="5945" priority="7">
      <formula>AND(AL$9&gt;=8/24,AL$9&lt;14/24)</formula>
    </cfRule>
    <cfRule type="expression" dxfId="5944" priority="8">
      <formula>AL$9&lt;8/24</formula>
    </cfRule>
  </conditionalFormatting>
  <conditionalFormatting sqref="AN77:AN78">
    <cfRule type="expression" dxfId="5943" priority="1">
      <formula>AN$9&gt;=20/24</formula>
    </cfRule>
    <cfRule type="expression" dxfId="5942" priority="2">
      <formula>AND(AN$9&gt;=14/24,AN$9&lt;20/24)</formula>
    </cfRule>
    <cfRule type="expression" dxfId="5941" priority="3">
      <formula>AND(AN$9&gt;=8/24,AN$9&lt;14/24)</formula>
    </cfRule>
    <cfRule type="expression" dxfId="5940" priority="4">
      <formula>AN$9&lt;8/24</formula>
    </cfRule>
  </conditionalFormatting>
  <conditionalFormatting sqref="AL75:AM79">
    <cfRule type="expression" dxfId="5939" priority="258">
      <formula>AJ$9&gt;=20/24</formula>
    </cfRule>
    <cfRule type="expression" dxfId="5938" priority="259">
      <formula>AND(AJ$9&gt;=14/24,AJ$9&lt;20/24)</formula>
    </cfRule>
    <cfRule type="expression" dxfId="5937" priority="260">
      <formula>AND(AJ$9&gt;=8/24,AJ$9&lt;14/24)</formula>
    </cfRule>
    <cfRule type="expression" dxfId="5936" priority="261">
      <formula>AJ$9&lt;8/24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4" id="{6E4F71B2-881F-49C8-ADF8-C5E88FB4F443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87AD2ABC-CB3C-48FA-86AF-E64B6F71EEF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063677D8-7CE6-4BC3-9385-804BC2C971A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D2EB4ABD-71A4-43CB-98A5-C64ADAE0FC82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30" id="{5C8E278B-C85D-454E-A76C-D1B25A53B01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F945E95C-A031-491F-B31A-5B0027A0D230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670B1C2E-CD0E-475F-B3F8-7B15F2D7F0BA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3E873FCA-5313-48BE-B9DE-ABEB9FAA95CA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40" id="{F55845D6-0918-4B35-A72F-17F3A1033B41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1DD541AB-5C77-405D-B377-55FCBCC805D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" id="{4FFCE174-31FF-47BA-827E-1AECBD6B2D4C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" id="{F06380FD-6F53-4E62-B683-F380A214726E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6" id="{A34333A3-6DA7-4975-BB33-570BBE046C6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3780C4CB-27E1-4854-956C-E4FAD7467393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9D1E97BE-4810-42AF-8A28-9D729957E14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0763BB41-F328-494B-848D-B243A17916B9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J274"/>
  <sheetViews>
    <sheetView workbookViewId="0">
      <pane ySplit="10" topLeftCell="A82" activePane="bottomLeft" state="frozen"/>
      <selection activeCell="U80" sqref="U80"/>
      <selection pane="bottomLeft" activeCell="AC71" sqref="AC71:AC74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38" width="18.42578125" style="1" bestFit="1" customWidth="1"/>
    <col min="39" max="41" width="9.140625" style="1" customWidth="1"/>
    <col min="42" max="16384" width="9.140625" style="1"/>
  </cols>
  <sheetData>
    <row r="1" spans="1:88" ht="36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/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str">
        <f ca="1">"2079/"&amp;"09/"&amp;INT(MID(CELL("filename",D6),FIND("]",CELL("filename",D6))+1,200))</f>
        <v>2079/09/14</v>
      </c>
      <c r="C4" s="771"/>
      <c r="D4" s="771"/>
      <c r="E4" s="772" t="str">
        <f ca="1">"2079/"&amp;"09/"&amp;INT(MID(CELL("filename",G6),FIND("]",CELL("filename",G6))+1,200))</f>
        <v>2079/09/14</v>
      </c>
      <c r="F4" s="772"/>
      <c r="G4" s="772"/>
      <c r="H4" s="772" t="str">
        <f ca="1">TEXT(E4,"dddd")</f>
        <v>Thursday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480.90000000000003</v>
      </c>
      <c r="C5" s="30">
        <f t="shared" si="0"/>
        <v>444.59999999999997</v>
      </c>
      <c r="D5" s="30">
        <f t="shared" si="0"/>
        <v>441.3</v>
      </c>
      <c r="E5" s="30">
        <f t="shared" si="0"/>
        <v>452.6</v>
      </c>
      <c r="F5" s="30">
        <f t="shared" si="0"/>
        <v>463.09999999999997</v>
      </c>
      <c r="G5" s="30">
        <f t="shared" si="0"/>
        <v>470.6</v>
      </c>
      <c r="H5" s="30">
        <f t="shared" si="0"/>
        <v>465.2</v>
      </c>
      <c r="I5" s="30">
        <f t="shared" si="0"/>
        <v>472.59999999999997</v>
      </c>
      <c r="J5" s="30">
        <f t="shared" si="0"/>
        <v>412.9</v>
      </c>
      <c r="K5" s="30">
        <f t="shared" si="0"/>
        <v>423.7</v>
      </c>
      <c r="L5" s="30">
        <f t="shared" si="0"/>
        <v>427.7</v>
      </c>
      <c r="M5" s="30">
        <f t="shared" si="0"/>
        <v>433.6</v>
      </c>
      <c r="N5" s="30">
        <f t="shared" si="0"/>
        <v>478.8</v>
      </c>
      <c r="O5" s="30">
        <f t="shared" si="0"/>
        <v>449</v>
      </c>
      <c r="P5" s="30">
        <f t="shared" si="0"/>
        <v>377.7</v>
      </c>
      <c r="Q5" s="30">
        <f t="shared" si="0"/>
        <v>369.5</v>
      </c>
      <c r="R5" s="30">
        <f t="shared" si="0"/>
        <v>389.1</v>
      </c>
      <c r="S5" s="30">
        <f t="shared" si="0"/>
        <v>446.5</v>
      </c>
      <c r="T5" s="30">
        <f t="shared" si="0"/>
        <v>454.3</v>
      </c>
      <c r="U5" s="30">
        <f t="shared" si="0"/>
        <v>422.1</v>
      </c>
      <c r="V5" s="30">
        <f t="shared" si="0"/>
        <v>446</v>
      </c>
      <c r="W5" s="30">
        <f t="shared" si="0"/>
        <v>479.2</v>
      </c>
      <c r="X5" s="30">
        <f t="shared" si="0"/>
        <v>284</v>
      </c>
      <c r="Y5" s="30">
        <f t="shared" si="0"/>
        <v>223.39999999999998</v>
      </c>
      <c r="Z5" s="30">
        <f t="shared" si="0"/>
        <v>238.79999999999998</v>
      </c>
      <c r="AA5" s="30">
        <f t="shared" si="0"/>
        <v>366.2</v>
      </c>
      <c r="AB5" s="30">
        <f t="shared" si="0"/>
        <v>462.79999999999995</v>
      </c>
      <c r="AC5" s="30">
        <f t="shared" si="0"/>
        <v>456.2</v>
      </c>
      <c r="AD5" s="30">
        <f t="shared" si="0"/>
        <v>417</v>
      </c>
      <c r="AE5" s="30">
        <f t="shared" si="0"/>
        <v>459</v>
      </c>
      <c r="AF5" s="30">
        <f>B78</f>
        <v>488.9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1398MW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Load=1011</v>
      </c>
      <c r="B7" s="35">
        <f t="shared" ref="B7:AF7" si="1">B85</f>
        <v>1106.04</v>
      </c>
      <c r="C7" s="35">
        <f t="shared" si="1"/>
        <v>1063.3400000000001</v>
      </c>
      <c r="D7" s="35">
        <f t="shared" si="1"/>
        <v>1031.6400000000001</v>
      </c>
      <c r="E7" s="35">
        <f t="shared" si="1"/>
        <v>1010.94</v>
      </c>
      <c r="F7" s="35">
        <f t="shared" si="1"/>
        <v>1017.24</v>
      </c>
      <c r="G7" s="35">
        <f t="shared" si="1"/>
        <v>1039.24</v>
      </c>
      <c r="H7" s="35">
        <f t="shared" si="1"/>
        <v>1111.54</v>
      </c>
      <c r="I7" s="35">
        <f t="shared" si="1"/>
        <v>1134.3399999999999</v>
      </c>
      <c r="J7" s="35">
        <f t="shared" si="1"/>
        <v>1207.54</v>
      </c>
      <c r="K7" s="35">
        <f t="shared" si="1"/>
        <v>1228.1399999999999</v>
      </c>
      <c r="L7" s="35">
        <f t="shared" si="1"/>
        <v>1278.6400000000001</v>
      </c>
      <c r="M7" s="35">
        <f t="shared" si="1"/>
        <v>1303.8400000000001</v>
      </c>
      <c r="N7" s="35">
        <f>N85</f>
        <v>1398.44</v>
      </c>
      <c r="O7" s="35">
        <f t="shared" si="1"/>
        <v>1323.34</v>
      </c>
      <c r="P7" s="35">
        <f t="shared" si="1"/>
        <v>1229.94</v>
      </c>
      <c r="Q7" s="35">
        <f t="shared" si="1"/>
        <v>1164.44</v>
      </c>
      <c r="R7" s="35">
        <f t="shared" si="1"/>
        <v>1108.74</v>
      </c>
      <c r="S7" s="35">
        <f t="shared" si="1"/>
        <v>1139.1399999999999</v>
      </c>
      <c r="T7" s="35">
        <f t="shared" si="1"/>
        <v>1127.1399999999999</v>
      </c>
      <c r="U7" s="35">
        <f t="shared" si="1"/>
        <v>1064.6399999999999</v>
      </c>
      <c r="V7" s="35">
        <f t="shared" si="1"/>
        <v>1023.84</v>
      </c>
      <c r="W7" s="35">
        <f t="shared" si="1"/>
        <v>1125.54</v>
      </c>
      <c r="X7" s="35">
        <f t="shared" si="1"/>
        <v>1404.34</v>
      </c>
      <c r="Y7" s="35">
        <f t="shared" si="1"/>
        <v>1485.44</v>
      </c>
      <c r="Z7" s="35">
        <f t="shared" si="1"/>
        <v>1418.6399999999999</v>
      </c>
      <c r="AA7" s="35">
        <f t="shared" si="1"/>
        <v>1468.84</v>
      </c>
      <c r="AB7" s="35">
        <f t="shared" si="1"/>
        <v>1356.8400000000001</v>
      </c>
      <c r="AC7" s="35">
        <f t="shared" si="1"/>
        <v>1353.74</v>
      </c>
      <c r="AD7" s="35">
        <f t="shared" si="1"/>
        <v>1293.8399999999999</v>
      </c>
      <c r="AE7" s="35">
        <f t="shared" si="1"/>
        <v>1114.04</v>
      </c>
      <c r="AF7" s="35">
        <f t="shared" si="1"/>
        <v>1051.94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15.8</v>
      </c>
      <c r="C11" s="45">
        <v>15.8</v>
      </c>
      <c r="D11" s="45">
        <v>15.8</v>
      </c>
      <c r="E11" s="45">
        <v>17</v>
      </c>
      <c r="F11" s="45">
        <v>17</v>
      </c>
      <c r="G11" s="45">
        <v>17</v>
      </c>
      <c r="H11" s="45">
        <v>17</v>
      </c>
      <c r="I11" s="45">
        <v>17</v>
      </c>
      <c r="J11" s="45">
        <v>17</v>
      </c>
      <c r="K11" s="45">
        <v>17</v>
      </c>
      <c r="L11" s="45">
        <v>17</v>
      </c>
      <c r="M11" s="45">
        <v>17.600000000000001</v>
      </c>
      <c r="N11" s="45">
        <v>17.600000000000001</v>
      </c>
      <c r="O11" s="45">
        <v>17.8</v>
      </c>
      <c r="P11" s="45">
        <v>22.5</v>
      </c>
      <c r="Q11" s="45">
        <v>16.2</v>
      </c>
      <c r="R11" s="45">
        <v>16.600000000000001</v>
      </c>
      <c r="S11" s="45">
        <v>16.600000000000001</v>
      </c>
      <c r="T11" s="45">
        <v>16.7</v>
      </c>
      <c r="U11" s="45">
        <v>17</v>
      </c>
      <c r="V11" s="45">
        <v>16.899999999999999</v>
      </c>
      <c r="W11" s="45">
        <v>16.899999999999999</v>
      </c>
      <c r="X11" s="45">
        <v>16.100000000000001</v>
      </c>
      <c r="Y11" s="45">
        <v>16.100000000000001</v>
      </c>
      <c r="Z11" s="45">
        <v>16</v>
      </c>
      <c r="AA11" s="45">
        <v>16</v>
      </c>
      <c r="AB11" s="45">
        <v>16</v>
      </c>
      <c r="AC11" s="45">
        <v>16</v>
      </c>
      <c r="AD11" s="45">
        <v>16</v>
      </c>
      <c r="AE11" s="45">
        <v>16</v>
      </c>
      <c r="AF11" s="45">
        <v>16</v>
      </c>
      <c r="AG11" s="46">
        <v>52.4</v>
      </c>
      <c r="AH11" s="47">
        <f t="shared" ref="AH11:AH74" si="2">MAX(B11:AF11)</f>
        <v>22.5</v>
      </c>
      <c r="AI11" s="48">
        <f t="shared" ref="AI11:AI74" si="3">MIN(B11:AF11)</f>
        <v>15.8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33.5</v>
      </c>
      <c r="C12" s="45">
        <v>33.5</v>
      </c>
      <c r="D12" s="45">
        <v>33.5</v>
      </c>
      <c r="E12" s="45">
        <v>34.200000000000003</v>
      </c>
      <c r="F12" s="45">
        <v>34.200000000000003</v>
      </c>
      <c r="G12" s="45">
        <v>34.200000000000003</v>
      </c>
      <c r="H12" s="45">
        <v>34.200000000000003</v>
      </c>
      <c r="I12" s="45">
        <v>34.200000000000003</v>
      </c>
      <c r="J12" s="45">
        <v>34.200000000000003</v>
      </c>
      <c r="K12" s="45">
        <v>34.200000000000003</v>
      </c>
      <c r="L12" s="45">
        <v>34.200000000000003</v>
      </c>
      <c r="M12" s="45">
        <v>33.6</v>
      </c>
      <c r="N12" s="45">
        <v>33.6</v>
      </c>
      <c r="O12" s="45">
        <v>34.200000000000003</v>
      </c>
      <c r="P12" s="45">
        <v>33.4</v>
      </c>
      <c r="Q12" s="45">
        <v>33.5</v>
      </c>
      <c r="R12" s="45">
        <v>34.200000000000003</v>
      </c>
      <c r="S12" s="45">
        <v>33.299999999999997</v>
      </c>
      <c r="T12" s="45">
        <v>33.799999999999997</v>
      </c>
      <c r="U12" s="45">
        <v>33.799999999999997</v>
      </c>
      <c r="V12" s="45">
        <v>33.299999999999997</v>
      </c>
      <c r="W12" s="45">
        <v>33.299999999999997</v>
      </c>
      <c r="X12" s="45">
        <v>33.299999999999997</v>
      </c>
      <c r="Y12" s="45">
        <v>33.299999999999997</v>
      </c>
      <c r="Z12" s="45">
        <v>32.700000000000003</v>
      </c>
      <c r="AA12" s="45">
        <v>32.700000000000003</v>
      </c>
      <c r="AB12" s="45">
        <v>32.700000000000003</v>
      </c>
      <c r="AC12" s="45">
        <v>32.700000000000003</v>
      </c>
      <c r="AD12" s="45">
        <v>32.700000000000003</v>
      </c>
      <c r="AE12" s="45">
        <v>32.700000000000003</v>
      </c>
      <c r="AF12" s="45">
        <v>32.700000000000003</v>
      </c>
      <c r="AG12" s="50">
        <v>50</v>
      </c>
      <c r="AH12" s="47">
        <f t="shared" si="2"/>
        <v>34.200000000000003</v>
      </c>
      <c r="AI12" s="48">
        <f t="shared" si="3"/>
        <v>32.700000000000003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19.7</v>
      </c>
      <c r="C13" s="45">
        <v>19.7</v>
      </c>
      <c r="D13" s="45">
        <v>19.7</v>
      </c>
      <c r="E13" s="45">
        <v>19.5</v>
      </c>
      <c r="F13" s="45">
        <v>19.5</v>
      </c>
      <c r="G13" s="45">
        <v>19.5</v>
      </c>
      <c r="H13" s="45">
        <v>19.5</v>
      </c>
      <c r="I13" s="45">
        <v>19.5</v>
      </c>
      <c r="J13" s="45">
        <v>19.5</v>
      </c>
      <c r="K13" s="45">
        <v>19.5</v>
      </c>
      <c r="L13" s="45">
        <v>19.5</v>
      </c>
      <c r="M13" s="45">
        <v>18.600000000000001</v>
      </c>
      <c r="N13" s="45">
        <v>18.600000000000001</v>
      </c>
      <c r="O13" s="45">
        <v>18.399999999999999</v>
      </c>
      <c r="P13" s="45">
        <v>15.8</v>
      </c>
      <c r="Q13" s="45">
        <v>18.5</v>
      </c>
      <c r="R13" s="45">
        <v>16.399999999999999</v>
      </c>
      <c r="S13" s="45">
        <v>16.5</v>
      </c>
      <c r="T13" s="45">
        <v>16.5</v>
      </c>
      <c r="U13" s="45">
        <v>16.5</v>
      </c>
      <c r="V13" s="45">
        <v>20.8</v>
      </c>
      <c r="W13" s="45">
        <v>20.8</v>
      </c>
      <c r="X13" s="45">
        <v>20.8</v>
      </c>
      <c r="Y13" s="45">
        <v>20.8</v>
      </c>
      <c r="Z13" s="45">
        <v>21</v>
      </c>
      <c r="AA13" s="45">
        <v>21</v>
      </c>
      <c r="AB13" s="45">
        <v>21</v>
      </c>
      <c r="AC13" s="45">
        <v>21</v>
      </c>
      <c r="AD13" s="45">
        <v>21</v>
      </c>
      <c r="AE13" s="45">
        <v>21</v>
      </c>
      <c r="AF13" s="45">
        <v>21</v>
      </c>
      <c r="AG13" s="50">
        <v>45</v>
      </c>
      <c r="AH13" s="47">
        <f t="shared" si="2"/>
        <v>21</v>
      </c>
      <c r="AI13" s="48">
        <f t="shared" si="3"/>
        <v>15.8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9</v>
      </c>
      <c r="C14" s="45">
        <v>9</v>
      </c>
      <c r="D14" s="45">
        <v>9</v>
      </c>
      <c r="E14" s="45">
        <v>9.5</v>
      </c>
      <c r="F14" s="45">
        <v>9.5</v>
      </c>
      <c r="G14" s="45">
        <v>9.5</v>
      </c>
      <c r="H14" s="45">
        <v>9.5</v>
      </c>
      <c r="I14" s="45">
        <v>9.5</v>
      </c>
      <c r="J14" s="45">
        <v>9.5</v>
      </c>
      <c r="K14" s="45">
        <v>9.5</v>
      </c>
      <c r="L14" s="45">
        <v>9.5</v>
      </c>
      <c r="M14" s="45">
        <v>9</v>
      </c>
      <c r="N14" s="45">
        <v>9</v>
      </c>
      <c r="O14" s="45">
        <v>8.1999999999999993</v>
      </c>
      <c r="P14" s="45">
        <v>8.1999999999999993</v>
      </c>
      <c r="Q14" s="45">
        <v>8</v>
      </c>
      <c r="R14" s="45">
        <v>8</v>
      </c>
      <c r="S14" s="45">
        <v>8</v>
      </c>
      <c r="T14" s="45">
        <v>8</v>
      </c>
      <c r="U14" s="45">
        <v>8</v>
      </c>
      <c r="V14" s="45">
        <v>8.5</v>
      </c>
      <c r="W14" s="45">
        <v>8.5</v>
      </c>
      <c r="X14" s="45">
        <v>8.5</v>
      </c>
      <c r="Y14" s="45">
        <v>8.5</v>
      </c>
      <c r="Z14" s="45">
        <v>8.5</v>
      </c>
      <c r="AA14" s="45">
        <v>8.5</v>
      </c>
      <c r="AB14" s="45">
        <v>8.5</v>
      </c>
      <c r="AC14" s="45">
        <v>8.5</v>
      </c>
      <c r="AD14" s="45">
        <v>8.5</v>
      </c>
      <c r="AE14" s="45">
        <v>8.5</v>
      </c>
      <c r="AF14" s="45">
        <v>8.5</v>
      </c>
      <c r="AG14" s="50">
        <v>42</v>
      </c>
      <c r="AH14" s="47">
        <f t="shared" si="2"/>
        <v>9.5</v>
      </c>
      <c r="AI14" s="48">
        <f t="shared" si="3"/>
        <v>8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13</v>
      </c>
      <c r="C15" s="45">
        <v>13</v>
      </c>
      <c r="D15" s="45">
        <v>13</v>
      </c>
      <c r="E15" s="45">
        <v>13</v>
      </c>
      <c r="F15" s="45">
        <v>13</v>
      </c>
      <c r="G15" s="45">
        <v>13</v>
      </c>
      <c r="H15" s="45">
        <v>13</v>
      </c>
      <c r="I15" s="45">
        <v>13</v>
      </c>
      <c r="J15" s="45">
        <v>13</v>
      </c>
      <c r="K15" s="45">
        <v>13</v>
      </c>
      <c r="L15" s="45">
        <v>13</v>
      </c>
      <c r="M15" s="45">
        <v>13</v>
      </c>
      <c r="N15" s="45">
        <v>13</v>
      </c>
      <c r="O15" s="45">
        <v>13</v>
      </c>
      <c r="P15" s="45">
        <v>13</v>
      </c>
      <c r="Q15" s="45">
        <v>13</v>
      </c>
      <c r="R15" s="45">
        <v>13</v>
      </c>
      <c r="S15" s="45">
        <v>13</v>
      </c>
      <c r="T15" s="45">
        <v>13</v>
      </c>
      <c r="U15" s="45">
        <v>13</v>
      </c>
      <c r="V15" s="45">
        <v>13</v>
      </c>
      <c r="W15" s="45">
        <v>13</v>
      </c>
      <c r="X15" s="45">
        <v>13</v>
      </c>
      <c r="Y15" s="45">
        <v>13</v>
      </c>
      <c r="Z15" s="45">
        <v>13</v>
      </c>
      <c r="AA15" s="45">
        <v>13</v>
      </c>
      <c r="AB15" s="45">
        <v>13</v>
      </c>
      <c r="AC15" s="45">
        <v>13</v>
      </c>
      <c r="AD15" s="45">
        <v>13</v>
      </c>
      <c r="AE15" s="45">
        <v>13</v>
      </c>
      <c r="AF15" s="45">
        <v>13</v>
      </c>
      <c r="AG15" s="50">
        <v>36</v>
      </c>
      <c r="AH15" s="47">
        <f t="shared" si="2"/>
        <v>13</v>
      </c>
      <c r="AI15" s="48">
        <f t="shared" si="3"/>
        <v>13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8.1999999999999993</v>
      </c>
      <c r="C16" s="45">
        <v>8.1999999999999993</v>
      </c>
      <c r="D16" s="45">
        <v>8.1999999999999993</v>
      </c>
      <c r="E16" s="45">
        <v>8.5</v>
      </c>
      <c r="F16" s="45">
        <v>8.5</v>
      </c>
      <c r="G16" s="45">
        <v>8.5</v>
      </c>
      <c r="H16" s="45">
        <v>8.5</v>
      </c>
      <c r="I16" s="45">
        <v>8.5</v>
      </c>
      <c r="J16" s="45">
        <v>8.5</v>
      </c>
      <c r="K16" s="45">
        <v>8.5</v>
      </c>
      <c r="L16" s="45">
        <v>8.5</v>
      </c>
      <c r="M16" s="45">
        <v>8.5</v>
      </c>
      <c r="N16" s="45">
        <v>8.5</v>
      </c>
      <c r="O16" s="45">
        <v>8.5</v>
      </c>
      <c r="P16" s="45">
        <v>8.5</v>
      </c>
      <c r="Q16" s="45">
        <v>8.5</v>
      </c>
      <c r="R16" s="45">
        <v>8.5</v>
      </c>
      <c r="S16" s="45">
        <v>8.5</v>
      </c>
      <c r="T16" s="45">
        <v>8.5</v>
      </c>
      <c r="U16" s="45">
        <v>8.5</v>
      </c>
      <c r="V16" s="45">
        <v>8.4</v>
      </c>
      <c r="W16" s="45">
        <v>8.4</v>
      </c>
      <c r="X16" s="45">
        <v>8.4</v>
      </c>
      <c r="Y16" s="45">
        <v>8.4</v>
      </c>
      <c r="Z16" s="45">
        <v>8.4</v>
      </c>
      <c r="AA16" s="45">
        <v>8.4</v>
      </c>
      <c r="AB16" s="45">
        <v>8.4</v>
      </c>
      <c r="AC16" s="45">
        <v>8.4</v>
      </c>
      <c r="AD16" s="45">
        <v>8.4</v>
      </c>
      <c r="AE16" s="45">
        <v>8.4</v>
      </c>
      <c r="AF16" s="45">
        <v>8.4</v>
      </c>
      <c r="AG16" s="51">
        <v>30</v>
      </c>
      <c r="AH16" s="47">
        <f t="shared" si="2"/>
        <v>8.5</v>
      </c>
      <c r="AI16" s="48">
        <f t="shared" si="3"/>
        <v>8.1999999999999993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8.1</v>
      </c>
      <c r="C17" s="45">
        <v>8.1</v>
      </c>
      <c r="D17" s="45">
        <v>8.1</v>
      </c>
      <c r="E17" s="45">
        <v>8</v>
      </c>
      <c r="F17" s="45">
        <v>8</v>
      </c>
      <c r="G17" s="45">
        <v>8</v>
      </c>
      <c r="H17" s="45">
        <v>8</v>
      </c>
      <c r="I17" s="45">
        <v>8</v>
      </c>
      <c r="J17" s="45">
        <v>8</v>
      </c>
      <c r="K17" s="45">
        <v>8</v>
      </c>
      <c r="L17" s="45">
        <v>8</v>
      </c>
      <c r="M17" s="45">
        <v>8</v>
      </c>
      <c r="N17" s="45">
        <v>8</v>
      </c>
      <c r="O17" s="45">
        <v>8</v>
      </c>
      <c r="P17" s="45">
        <v>8</v>
      </c>
      <c r="Q17" s="45">
        <v>8</v>
      </c>
      <c r="R17" s="45">
        <v>8</v>
      </c>
      <c r="S17" s="45">
        <v>8</v>
      </c>
      <c r="T17" s="45">
        <v>8</v>
      </c>
      <c r="U17" s="45">
        <v>8</v>
      </c>
      <c r="V17" s="45">
        <v>7.2</v>
      </c>
      <c r="W17" s="45">
        <v>7.2</v>
      </c>
      <c r="X17" s="45">
        <v>7.2</v>
      </c>
      <c r="Y17" s="45">
        <v>7.2</v>
      </c>
      <c r="Z17" s="45">
        <v>7.2</v>
      </c>
      <c r="AA17" s="45">
        <v>7.2</v>
      </c>
      <c r="AB17" s="45">
        <v>7.2</v>
      </c>
      <c r="AC17" s="45">
        <v>7.2</v>
      </c>
      <c r="AD17" s="45">
        <v>7.2</v>
      </c>
      <c r="AE17" s="45">
        <v>7.2</v>
      </c>
      <c r="AF17" s="45">
        <v>7.2</v>
      </c>
      <c r="AG17" s="50">
        <v>24.2</v>
      </c>
      <c r="AH17" s="47">
        <f t="shared" si="2"/>
        <v>8.1</v>
      </c>
      <c r="AI17" s="48">
        <f t="shared" si="3"/>
        <v>7.2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13</v>
      </c>
      <c r="C18" s="45">
        <v>13</v>
      </c>
      <c r="D18" s="45">
        <v>13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50">
        <v>28</v>
      </c>
      <c r="AH18" s="47">
        <f t="shared" si="2"/>
        <v>13</v>
      </c>
      <c r="AI18" s="48">
        <f t="shared" si="3"/>
        <v>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9.3000000000000007</v>
      </c>
      <c r="C20" s="45">
        <v>9.3000000000000007</v>
      </c>
      <c r="D20" s="45">
        <v>9.3000000000000007</v>
      </c>
      <c r="E20" s="45">
        <v>9.3000000000000007</v>
      </c>
      <c r="F20" s="45">
        <v>9.3000000000000007</v>
      </c>
      <c r="G20" s="45">
        <v>9.3000000000000007</v>
      </c>
      <c r="H20" s="45">
        <v>9.3000000000000007</v>
      </c>
      <c r="I20" s="45">
        <v>9.3000000000000007</v>
      </c>
      <c r="J20" s="45">
        <v>9.3000000000000007</v>
      </c>
      <c r="K20" s="45">
        <v>9.3000000000000007</v>
      </c>
      <c r="L20" s="45">
        <v>9.3000000000000007</v>
      </c>
      <c r="M20" s="45">
        <v>9.3000000000000007</v>
      </c>
      <c r="N20" s="45">
        <v>9.3000000000000007</v>
      </c>
      <c r="O20" s="45">
        <v>9.3000000000000007</v>
      </c>
      <c r="P20" s="45">
        <v>9.3000000000000007</v>
      </c>
      <c r="Q20" s="45">
        <v>9.3000000000000007</v>
      </c>
      <c r="R20" s="45">
        <v>9.3000000000000007</v>
      </c>
      <c r="S20" s="45">
        <v>9.3000000000000007</v>
      </c>
      <c r="T20" s="45">
        <v>9.3000000000000007</v>
      </c>
      <c r="U20" s="45">
        <v>9.3000000000000007</v>
      </c>
      <c r="V20" s="45">
        <v>7</v>
      </c>
      <c r="W20" s="45">
        <v>7</v>
      </c>
      <c r="X20" s="45">
        <v>7</v>
      </c>
      <c r="Y20" s="45">
        <v>7</v>
      </c>
      <c r="Z20" s="45">
        <v>7</v>
      </c>
      <c r="AA20" s="45">
        <v>7</v>
      </c>
      <c r="AB20" s="45">
        <v>7</v>
      </c>
      <c r="AC20" s="45">
        <v>7</v>
      </c>
      <c r="AD20" s="45">
        <v>7</v>
      </c>
      <c r="AE20" s="45">
        <v>7</v>
      </c>
      <c r="AF20" s="45">
        <v>7</v>
      </c>
      <c r="AG20" s="50">
        <v>25</v>
      </c>
      <c r="AH20" s="47">
        <f t="shared" si="2"/>
        <v>9.3000000000000007</v>
      </c>
      <c r="AI20" s="48">
        <f t="shared" si="3"/>
        <v>7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0">
        <v>25</v>
      </c>
      <c r="AH22" s="47">
        <f t="shared" si="2"/>
        <v>11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8.6</v>
      </c>
      <c r="C24" s="45">
        <v>8.6</v>
      </c>
      <c r="D24" s="45">
        <v>8.6</v>
      </c>
      <c r="E24" s="45">
        <v>8.6</v>
      </c>
      <c r="F24" s="45">
        <v>8.6</v>
      </c>
      <c r="G24" s="45">
        <v>8.6</v>
      </c>
      <c r="H24" s="45">
        <v>8.6</v>
      </c>
      <c r="I24" s="45">
        <v>8.6</v>
      </c>
      <c r="J24" s="45">
        <v>8.6</v>
      </c>
      <c r="K24" s="45">
        <v>8.6</v>
      </c>
      <c r="L24" s="45">
        <v>8.6</v>
      </c>
      <c r="M24" s="45">
        <v>8.6</v>
      </c>
      <c r="N24" s="45">
        <v>8.6</v>
      </c>
      <c r="O24" s="45">
        <v>8.6</v>
      </c>
      <c r="P24" s="45">
        <v>8.6</v>
      </c>
      <c r="Q24" s="45">
        <v>8.6</v>
      </c>
      <c r="R24" s="45">
        <v>8.6</v>
      </c>
      <c r="S24" s="45">
        <v>8.6</v>
      </c>
      <c r="T24" s="45">
        <v>8.6</v>
      </c>
      <c r="U24" s="45">
        <v>8.6</v>
      </c>
      <c r="V24" s="45">
        <v>7.5</v>
      </c>
      <c r="W24" s="45">
        <v>7.5</v>
      </c>
      <c r="X24" s="45">
        <v>7.5</v>
      </c>
      <c r="Y24" s="45">
        <v>7.5</v>
      </c>
      <c r="Z24" s="45">
        <v>7.5</v>
      </c>
      <c r="AA24" s="45">
        <v>7.5</v>
      </c>
      <c r="AB24" s="45">
        <v>7.5</v>
      </c>
      <c r="AC24" s="45">
        <v>7.5</v>
      </c>
      <c r="AD24" s="45">
        <v>7.5</v>
      </c>
      <c r="AE24" s="45">
        <v>7.5</v>
      </c>
      <c r="AF24" s="45">
        <v>7.5</v>
      </c>
      <c r="AG24" s="50">
        <v>23.5</v>
      </c>
      <c r="AH24" s="47">
        <f t="shared" si="2"/>
        <v>8.6</v>
      </c>
      <c r="AI24" s="48">
        <f t="shared" si="3"/>
        <v>7.5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11</v>
      </c>
      <c r="C28" s="45">
        <v>11</v>
      </c>
      <c r="D28" s="45">
        <v>11</v>
      </c>
      <c r="E28" s="45">
        <v>11</v>
      </c>
      <c r="F28" s="45">
        <v>11</v>
      </c>
      <c r="G28" s="45">
        <v>11</v>
      </c>
      <c r="H28" s="45">
        <v>11</v>
      </c>
      <c r="I28" s="45">
        <v>11</v>
      </c>
      <c r="J28" s="45">
        <v>11</v>
      </c>
      <c r="K28" s="45">
        <v>11</v>
      </c>
      <c r="L28" s="45">
        <v>11</v>
      </c>
      <c r="M28" s="45">
        <v>11</v>
      </c>
      <c r="N28" s="45">
        <v>11</v>
      </c>
      <c r="O28" s="45">
        <v>11</v>
      </c>
      <c r="P28" s="45">
        <v>11</v>
      </c>
      <c r="Q28" s="45">
        <v>11</v>
      </c>
      <c r="R28" s="45">
        <v>11</v>
      </c>
      <c r="S28" s="45">
        <v>11</v>
      </c>
      <c r="T28" s="45">
        <v>11</v>
      </c>
      <c r="U28" s="45">
        <v>11</v>
      </c>
      <c r="V28" s="45">
        <v>11</v>
      </c>
      <c r="W28" s="45">
        <v>11</v>
      </c>
      <c r="X28" s="45">
        <v>11</v>
      </c>
      <c r="Y28" s="45">
        <v>11</v>
      </c>
      <c r="Z28" s="45">
        <v>11</v>
      </c>
      <c r="AA28" s="45">
        <v>11</v>
      </c>
      <c r="AB28" s="45">
        <v>11</v>
      </c>
      <c r="AC28" s="45">
        <v>11</v>
      </c>
      <c r="AD28" s="45">
        <v>11</v>
      </c>
      <c r="AE28" s="45">
        <v>11</v>
      </c>
      <c r="AF28" s="45">
        <v>11</v>
      </c>
      <c r="AG28" s="50">
        <v>22</v>
      </c>
      <c r="AH28" s="47">
        <f t="shared" si="2"/>
        <v>11</v>
      </c>
      <c r="AI28" s="48">
        <f t="shared" si="3"/>
        <v>11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>
        <v>10</v>
      </c>
      <c r="L35" s="45">
        <v>10</v>
      </c>
      <c r="M35" s="45">
        <v>10</v>
      </c>
      <c r="N35" s="45">
        <v>10</v>
      </c>
      <c r="O35" s="45">
        <v>10</v>
      </c>
      <c r="P35" s="45">
        <v>10</v>
      </c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45">
        <v>10</v>
      </c>
      <c r="Z35" s="45">
        <v>10</v>
      </c>
      <c r="AA35" s="45">
        <v>10</v>
      </c>
      <c r="AB35" s="45">
        <v>10</v>
      </c>
      <c r="AC35" s="45">
        <v>10</v>
      </c>
      <c r="AD35" s="45">
        <v>10</v>
      </c>
      <c r="AE35" s="45">
        <v>10</v>
      </c>
      <c r="AF35" s="45">
        <v>10</v>
      </c>
      <c r="AG35" s="50">
        <v>12</v>
      </c>
      <c r="AH35" s="47">
        <f t="shared" si="2"/>
        <v>10</v>
      </c>
      <c r="AI35" s="48">
        <f t="shared" si="3"/>
        <v>10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120</v>
      </c>
      <c r="C42" s="56">
        <v>120</v>
      </c>
      <c r="D42" s="56">
        <v>120</v>
      </c>
      <c r="E42" s="56">
        <v>120</v>
      </c>
      <c r="F42" s="56">
        <v>120</v>
      </c>
      <c r="G42" s="56">
        <v>120</v>
      </c>
      <c r="H42" s="56">
        <v>120</v>
      </c>
      <c r="I42" s="56">
        <v>120</v>
      </c>
      <c r="J42" s="56">
        <v>120</v>
      </c>
      <c r="K42" s="56">
        <v>120</v>
      </c>
      <c r="L42" s="56">
        <v>120</v>
      </c>
      <c r="M42" s="56">
        <v>120</v>
      </c>
      <c r="N42" s="56">
        <v>120</v>
      </c>
      <c r="O42" s="56">
        <v>120</v>
      </c>
      <c r="P42" s="56">
        <v>120</v>
      </c>
      <c r="Q42" s="56">
        <v>120</v>
      </c>
      <c r="R42" s="56">
        <v>120</v>
      </c>
      <c r="S42" s="56">
        <v>120</v>
      </c>
      <c r="T42" s="56">
        <v>120</v>
      </c>
      <c r="U42" s="56">
        <v>120</v>
      </c>
      <c r="V42" s="56">
        <v>120</v>
      </c>
      <c r="W42" s="56">
        <v>120</v>
      </c>
      <c r="X42" s="56">
        <v>120</v>
      </c>
      <c r="Y42" s="56">
        <v>120</v>
      </c>
      <c r="Z42" s="56">
        <v>120</v>
      </c>
      <c r="AA42" s="56">
        <v>120</v>
      </c>
      <c r="AB42" s="56">
        <v>120</v>
      </c>
      <c r="AC42" s="56">
        <v>120</v>
      </c>
      <c r="AD42" s="56">
        <v>120</v>
      </c>
      <c r="AE42" s="56">
        <v>120</v>
      </c>
      <c r="AF42" s="56">
        <v>120</v>
      </c>
      <c r="AG42" s="54">
        <v>85</v>
      </c>
      <c r="AH42" s="47">
        <f t="shared" si="2"/>
        <v>120</v>
      </c>
      <c r="AI42" s="48">
        <f t="shared" si="3"/>
        <v>120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:AG44" si="4">SUM(B11:B42)</f>
        <v>407.90000000000003</v>
      </c>
      <c r="C44" s="60">
        <f t="shared" si="4"/>
        <v>407.90000000000003</v>
      </c>
      <c r="D44" s="60">
        <f t="shared" si="4"/>
        <v>407.90000000000003</v>
      </c>
      <c r="E44" s="60">
        <f t="shared" si="4"/>
        <v>405.3</v>
      </c>
      <c r="F44" s="60">
        <f t="shared" si="4"/>
        <v>405.3</v>
      </c>
      <c r="G44" s="60">
        <f t="shared" si="4"/>
        <v>405.3</v>
      </c>
      <c r="H44" s="60">
        <f t="shared" si="4"/>
        <v>405.3</v>
      </c>
      <c r="I44" s="60">
        <f t="shared" si="4"/>
        <v>405.3</v>
      </c>
      <c r="J44" s="60">
        <f t="shared" si="4"/>
        <v>405.3</v>
      </c>
      <c r="K44" s="60">
        <f t="shared" si="4"/>
        <v>405.3</v>
      </c>
      <c r="L44" s="60">
        <f t="shared" si="4"/>
        <v>405.3</v>
      </c>
      <c r="M44" s="60">
        <f t="shared" si="4"/>
        <v>403.90000000000003</v>
      </c>
      <c r="N44" s="60">
        <f t="shared" si="4"/>
        <v>403.90000000000003</v>
      </c>
      <c r="O44" s="60">
        <f t="shared" si="4"/>
        <v>403.7</v>
      </c>
      <c r="P44" s="60">
        <f t="shared" si="4"/>
        <v>405</v>
      </c>
      <c r="Q44" s="60">
        <f t="shared" si="4"/>
        <v>401.3</v>
      </c>
      <c r="R44" s="60">
        <f t="shared" si="4"/>
        <v>400.3</v>
      </c>
      <c r="S44" s="60">
        <f t="shared" si="4"/>
        <v>399.5</v>
      </c>
      <c r="T44" s="60">
        <f t="shared" si="4"/>
        <v>400.09999999999997</v>
      </c>
      <c r="U44" s="60">
        <f t="shared" si="4"/>
        <v>400.4</v>
      </c>
      <c r="V44" s="60">
        <f t="shared" si="4"/>
        <v>400.3</v>
      </c>
      <c r="W44" s="60">
        <f t="shared" si="4"/>
        <v>400.3</v>
      </c>
      <c r="X44" s="60">
        <f t="shared" si="4"/>
        <v>399.5</v>
      </c>
      <c r="Y44" s="60">
        <v>399.5</v>
      </c>
      <c r="Z44" s="60">
        <f t="shared" si="4"/>
        <v>399</v>
      </c>
      <c r="AA44" s="60">
        <f t="shared" si="4"/>
        <v>399</v>
      </c>
      <c r="AB44" s="60">
        <f t="shared" si="4"/>
        <v>399</v>
      </c>
      <c r="AC44" s="60">
        <f t="shared" si="4"/>
        <v>399</v>
      </c>
      <c r="AD44" s="60">
        <f t="shared" si="4"/>
        <v>399</v>
      </c>
      <c r="AE44" s="60">
        <f t="shared" si="4"/>
        <v>399</v>
      </c>
      <c r="AF44" s="60">
        <f t="shared" si="4"/>
        <v>399</v>
      </c>
      <c r="AG44" s="61">
        <f t="shared" si="4"/>
        <v>814.78000000000009</v>
      </c>
      <c r="AH44" s="47">
        <f t="shared" si="2"/>
        <v>407.90000000000003</v>
      </c>
      <c r="AI44" s="48">
        <f t="shared" si="3"/>
        <v>399</v>
      </c>
      <c r="AK44" s="49"/>
    </row>
    <row r="45" spans="1:88" x14ac:dyDescent="0.25">
      <c r="A45" s="62" t="s">
        <v>53</v>
      </c>
      <c r="B45" s="45">
        <v>30</v>
      </c>
      <c r="C45" s="45">
        <v>15</v>
      </c>
      <c r="D45" s="45">
        <v>15</v>
      </c>
      <c r="E45" s="45">
        <v>25</v>
      </c>
      <c r="F45" s="45">
        <v>20</v>
      </c>
      <c r="G45" s="45">
        <v>15</v>
      </c>
      <c r="H45" s="45">
        <v>30</v>
      </c>
      <c r="I45" s="45">
        <v>40</v>
      </c>
      <c r="J45" s="45">
        <v>55</v>
      </c>
      <c r="K45" s="45">
        <v>100</v>
      </c>
      <c r="L45" s="45">
        <v>125</v>
      </c>
      <c r="M45" s="63">
        <v>150</v>
      </c>
      <c r="N45" s="63">
        <v>145</v>
      </c>
      <c r="O45" s="45">
        <v>60</v>
      </c>
      <c r="P45" s="45">
        <v>40</v>
      </c>
      <c r="Q45" s="45">
        <v>90</v>
      </c>
      <c r="R45" s="45">
        <v>90</v>
      </c>
      <c r="S45" s="45">
        <v>90</v>
      </c>
      <c r="T45" s="45">
        <v>20</v>
      </c>
      <c r="U45" s="45">
        <v>0</v>
      </c>
      <c r="V45" s="45">
        <v>0</v>
      </c>
      <c r="W45" s="45">
        <v>0</v>
      </c>
      <c r="X45" s="45">
        <v>35</v>
      </c>
      <c r="Y45" s="45">
        <v>260</v>
      </c>
      <c r="Z45" s="45">
        <v>260</v>
      </c>
      <c r="AA45" s="45">
        <v>305</v>
      </c>
      <c r="AB45" s="45">
        <v>185</v>
      </c>
      <c r="AC45" s="45">
        <v>100</v>
      </c>
      <c r="AD45" s="45">
        <v>90</v>
      </c>
      <c r="AE45" s="45">
        <v>50</v>
      </c>
      <c r="AF45" s="45">
        <v>20</v>
      </c>
      <c r="AG45" s="51">
        <v>456</v>
      </c>
      <c r="AH45" s="47">
        <f t="shared" si="2"/>
        <v>305</v>
      </c>
      <c r="AI45" s="48">
        <f t="shared" si="3"/>
        <v>0</v>
      </c>
      <c r="AK45" s="49"/>
    </row>
    <row r="46" spans="1:88" x14ac:dyDescent="0.25">
      <c r="A46" s="64" t="s">
        <v>54</v>
      </c>
      <c r="B46" s="65">
        <v>35</v>
      </c>
      <c r="C46" s="65">
        <v>35</v>
      </c>
      <c r="D46" s="65">
        <v>35</v>
      </c>
      <c r="E46" s="65">
        <v>35</v>
      </c>
      <c r="F46" s="65">
        <v>35</v>
      </c>
      <c r="G46" s="65">
        <v>35</v>
      </c>
      <c r="H46" s="65">
        <v>35</v>
      </c>
      <c r="I46" s="65">
        <v>35</v>
      </c>
      <c r="J46" s="65">
        <v>35</v>
      </c>
      <c r="K46" s="65">
        <v>35</v>
      </c>
      <c r="L46" s="65">
        <v>35</v>
      </c>
      <c r="M46" s="65">
        <v>35</v>
      </c>
      <c r="N46" s="65">
        <v>35</v>
      </c>
      <c r="O46" s="65">
        <v>35</v>
      </c>
      <c r="P46" s="65">
        <v>35</v>
      </c>
      <c r="Q46" s="65">
        <v>35</v>
      </c>
      <c r="R46" s="65">
        <v>35</v>
      </c>
      <c r="S46" s="65">
        <v>35</v>
      </c>
      <c r="T46" s="65">
        <v>35</v>
      </c>
      <c r="U46" s="65">
        <v>35</v>
      </c>
      <c r="V46" s="65">
        <v>35</v>
      </c>
      <c r="W46" s="65">
        <v>35</v>
      </c>
      <c r="X46" s="65">
        <v>35</v>
      </c>
      <c r="Y46" s="65">
        <v>35</v>
      </c>
      <c r="Z46" s="65">
        <v>35</v>
      </c>
      <c r="AA46" s="65">
        <v>35</v>
      </c>
      <c r="AB46" s="65">
        <v>35</v>
      </c>
      <c r="AC46" s="65">
        <v>35</v>
      </c>
      <c r="AD46" s="65">
        <v>35</v>
      </c>
      <c r="AE46" s="65">
        <v>35</v>
      </c>
      <c r="AF46" s="65">
        <v>35</v>
      </c>
      <c r="AG46" s="54">
        <v>60</v>
      </c>
      <c r="AH46" s="47">
        <f t="shared" si="2"/>
        <v>35</v>
      </c>
      <c r="AI46" s="48">
        <f t="shared" si="3"/>
        <v>35</v>
      </c>
      <c r="AK46" s="49"/>
    </row>
    <row r="47" spans="1:88" ht="15.75" thickBot="1" x14ac:dyDescent="0.3">
      <c r="A47" s="66" t="s">
        <v>55</v>
      </c>
      <c r="B47" s="67">
        <v>11</v>
      </c>
      <c r="C47" s="67">
        <v>11</v>
      </c>
      <c r="D47" s="67">
        <v>11</v>
      </c>
      <c r="E47" s="67">
        <v>11.2</v>
      </c>
      <c r="F47" s="67">
        <v>11.2</v>
      </c>
      <c r="G47" s="67">
        <v>11.2</v>
      </c>
      <c r="H47" s="67">
        <v>11.2</v>
      </c>
      <c r="I47" s="67">
        <v>11.2</v>
      </c>
      <c r="J47" s="67">
        <v>11.2</v>
      </c>
      <c r="K47" s="67">
        <v>11.2</v>
      </c>
      <c r="L47" s="67">
        <v>11.2</v>
      </c>
      <c r="M47" s="67">
        <v>11.1</v>
      </c>
      <c r="N47" s="67">
        <v>11</v>
      </c>
      <c r="O47" s="67">
        <v>10.6</v>
      </c>
      <c r="P47" s="67">
        <v>10.6</v>
      </c>
      <c r="Q47" s="67">
        <v>10.6</v>
      </c>
      <c r="R47" s="67">
        <v>10.7</v>
      </c>
      <c r="S47" s="67">
        <v>10.7</v>
      </c>
      <c r="T47" s="67">
        <v>10.7</v>
      </c>
      <c r="U47" s="67">
        <v>10.7</v>
      </c>
      <c r="V47" s="67">
        <v>9.6999999999999993</v>
      </c>
      <c r="W47" s="67">
        <v>9.6999999999999993</v>
      </c>
      <c r="X47" s="67">
        <v>9.6999999999999993</v>
      </c>
      <c r="Y47" s="67">
        <v>12</v>
      </c>
      <c r="Z47" s="67">
        <v>12</v>
      </c>
      <c r="AA47" s="67">
        <v>12</v>
      </c>
      <c r="AB47" s="67">
        <v>11.2</v>
      </c>
      <c r="AC47" s="67">
        <v>11.1</v>
      </c>
      <c r="AD47" s="67">
        <v>16.100000000000001</v>
      </c>
      <c r="AE47" s="67">
        <v>16.100000000000001</v>
      </c>
      <c r="AF47" s="67">
        <v>16</v>
      </c>
      <c r="AG47" s="68">
        <v>22.1</v>
      </c>
      <c r="AH47" s="47">
        <f t="shared" si="2"/>
        <v>16.100000000000001</v>
      </c>
      <c r="AI47" s="48">
        <f t="shared" si="3"/>
        <v>9.6999999999999993</v>
      </c>
      <c r="AK47" s="49"/>
    </row>
    <row r="48" spans="1:88" ht="15.75" thickBot="1" x14ac:dyDescent="0.3">
      <c r="A48" s="69" t="s">
        <v>56</v>
      </c>
      <c r="B48" s="60">
        <f t="shared" ref="B48:AG48" si="5">SUM(B45:B47)</f>
        <v>76</v>
      </c>
      <c r="C48" s="60">
        <f t="shared" si="5"/>
        <v>61</v>
      </c>
      <c r="D48" s="60">
        <f t="shared" si="5"/>
        <v>61</v>
      </c>
      <c r="E48" s="60">
        <f t="shared" si="5"/>
        <v>71.2</v>
      </c>
      <c r="F48" s="60">
        <f t="shared" si="5"/>
        <v>66.2</v>
      </c>
      <c r="G48" s="60">
        <f t="shared" si="5"/>
        <v>61.2</v>
      </c>
      <c r="H48" s="60">
        <f t="shared" si="5"/>
        <v>76.2</v>
      </c>
      <c r="I48" s="60">
        <f t="shared" si="5"/>
        <v>86.2</v>
      </c>
      <c r="J48" s="60">
        <f t="shared" si="5"/>
        <v>101.2</v>
      </c>
      <c r="K48" s="60">
        <f t="shared" si="5"/>
        <v>146.19999999999999</v>
      </c>
      <c r="L48" s="60">
        <f t="shared" si="5"/>
        <v>171.2</v>
      </c>
      <c r="M48" s="60">
        <f t="shared" si="5"/>
        <v>196.1</v>
      </c>
      <c r="N48" s="60">
        <f t="shared" si="5"/>
        <v>191</v>
      </c>
      <c r="O48" s="60">
        <f t="shared" si="5"/>
        <v>105.6</v>
      </c>
      <c r="P48" s="60">
        <f t="shared" si="5"/>
        <v>85.6</v>
      </c>
      <c r="Q48" s="60">
        <f t="shared" si="5"/>
        <v>135.6</v>
      </c>
      <c r="R48" s="60">
        <f t="shared" si="5"/>
        <v>135.69999999999999</v>
      </c>
      <c r="S48" s="60">
        <f t="shared" si="5"/>
        <v>135.69999999999999</v>
      </c>
      <c r="T48" s="60">
        <f t="shared" si="5"/>
        <v>65.7</v>
      </c>
      <c r="U48" s="60">
        <f t="shared" si="5"/>
        <v>45.7</v>
      </c>
      <c r="V48" s="60">
        <f t="shared" si="5"/>
        <v>44.7</v>
      </c>
      <c r="W48" s="60">
        <f t="shared" si="5"/>
        <v>44.7</v>
      </c>
      <c r="X48" s="60">
        <f t="shared" si="5"/>
        <v>79.7</v>
      </c>
      <c r="Y48" s="60">
        <v>304.7</v>
      </c>
      <c r="Z48" s="60">
        <f t="shared" si="5"/>
        <v>307</v>
      </c>
      <c r="AA48" s="60">
        <f t="shared" si="5"/>
        <v>352</v>
      </c>
      <c r="AB48" s="60">
        <f t="shared" si="5"/>
        <v>231.2</v>
      </c>
      <c r="AC48" s="60">
        <f t="shared" si="5"/>
        <v>146.1</v>
      </c>
      <c r="AD48" s="60">
        <f t="shared" si="5"/>
        <v>141.1</v>
      </c>
      <c r="AE48" s="60">
        <f t="shared" si="5"/>
        <v>101.1</v>
      </c>
      <c r="AF48" s="60">
        <f t="shared" si="5"/>
        <v>71</v>
      </c>
      <c r="AG48" s="61">
        <f t="shared" si="5"/>
        <v>538.1</v>
      </c>
      <c r="AH48" s="47">
        <f t="shared" si="2"/>
        <v>352</v>
      </c>
      <c r="AI48" s="48">
        <f t="shared" si="3"/>
        <v>44.7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22</v>
      </c>
      <c r="I49" s="45">
        <v>22.3</v>
      </c>
      <c r="J49" s="45">
        <v>66.400000000000006</v>
      </c>
      <c r="K49" s="45">
        <v>76.7</v>
      </c>
      <c r="L49" s="45">
        <v>76</v>
      </c>
      <c r="M49" s="45">
        <v>73.400000000000006</v>
      </c>
      <c r="N49" s="45">
        <v>137</v>
      </c>
      <c r="O49" s="45">
        <v>122.5</v>
      </c>
      <c r="P49" s="45">
        <v>91.7</v>
      </c>
      <c r="Q49" s="45">
        <v>61</v>
      </c>
      <c r="R49" s="45">
        <v>30.5</v>
      </c>
      <c r="S49" s="45">
        <v>35.299999999999997</v>
      </c>
      <c r="T49" s="45">
        <v>35.299999999999997</v>
      </c>
      <c r="U49" s="45">
        <v>20.5</v>
      </c>
      <c r="V49" s="45">
        <v>30</v>
      </c>
      <c r="W49" s="45">
        <v>72</v>
      </c>
      <c r="X49" s="45">
        <v>114.2</v>
      </c>
      <c r="Y49" s="45">
        <v>114.1</v>
      </c>
      <c r="Z49" s="45">
        <v>141</v>
      </c>
      <c r="AA49" s="45">
        <v>141</v>
      </c>
      <c r="AB49" s="45">
        <v>131.9</v>
      </c>
      <c r="AC49" s="45">
        <v>116</v>
      </c>
      <c r="AD49" s="45">
        <v>93.4</v>
      </c>
      <c r="AE49" s="45">
        <v>40</v>
      </c>
      <c r="AF49" s="45">
        <v>0</v>
      </c>
      <c r="AG49" s="51">
        <v>144</v>
      </c>
      <c r="AH49" s="47">
        <f t="shared" si="2"/>
        <v>141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21.2</v>
      </c>
      <c r="K50" s="65">
        <v>45.2</v>
      </c>
      <c r="L50" s="65">
        <v>46.4</v>
      </c>
      <c r="M50" s="65">
        <v>46.7</v>
      </c>
      <c r="N50" s="65">
        <v>65</v>
      </c>
      <c r="O50" s="65">
        <v>46.8</v>
      </c>
      <c r="P50" s="65">
        <v>45</v>
      </c>
      <c r="Q50" s="65">
        <v>29.5</v>
      </c>
      <c r="R50" s="45">
        <v>26.8</v>
      </c>
      <c r="S50" s="45">
        <v>33.5</v>
      </c>
      <c r="T50" s="45">
        <v>33.5</v>
      </c>
      <c r="U50" s="45">
        <v>27</v>
      </c>
      <c r="V50" s="45">
        <v>0</v>
      </c>
      <c r="W50" s="45">
        <v>24.1</v>
      </c>
      <c r="X50" s="45">
        <v>54.1</v>
      </c>
      <c r="Y50" s="45">
        <v>71.400000000000006</v>
      </c>
      <c r="Z50" s="45">
        <v>68.2</v>
      </c>
      <c r="AA50" s="45">
        <v>68.099999999999994</v>
      </c>
      <c r="AB50" s="65">
        <v>67.400000000000006</v>
      </c>
      <c r="AC50" s="65">
        <v>69</v>
      </c>
      <c r="AD50" s="65">
        <v>50.3</v>
      </c>
      <c r="AE50" s="65">
        <v>25</v>
      </c>
      <c r="AF50" s="65">
        <v>0</v>
      </c>
      <c r="AG50" s="54">
        <v>70</v>
      </c>
      <c r="AH50" s="47">
        <f t="shared" si="2"/>
        <v>71.400000000000006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36</v>
      </c>
      <c r="C51" s="65">
        <v>16.3</v>
      </c>
      <c r="D51" s="65">
        <v>22.3</v>
      </c>
      <c r="E51" s="65">
        <v>0</v>
      </c>
      <c r="F51" s="65">
        <v>0</v>
      </c>
      <c r="G51" s="65">
        <v>16.5</v>
      </c>
      <c r="H51" s="65">
        <v>35</v>
      </c>
      <c r="I51" s="65">
        <v>46.9</v>
      </c>
      <c r="J51" s="65">
        <v>35.6</v>
      </c>
      <c r="K51" s="65">
        <v>35</v>
      </c>
      <c r="L51" s="65">
        <v>45.2</v>
      </c>
      <c r="M51" s="65">
        <v>45.5</v>
      </c>
      <c r="N51" s="65">
        <v>46</v>
      </c>
      <c r="O51" s="65">
        <v>46.2</v>
      </c>
      <c r="P51" s="65">
        <v>35</v>
      </c>
      <c r="Q51" s="65">
        <v>46.3</v>
      </c>
      <c r="R51" s="45">
        <v>45.5</v>
      </c>
      <c r="S51" s="45">
        <v>45.9</v>
      </c>
      <c r="T51" s="45">
        <v>45.9</v>
      </c>
      <c r="U51" s="45">
        <v>16.600000000000001</v>
      </c>
      <c r="V51" s="45">
        <v>31</v>
      </c>
      <c r="W51" s="45">
        <v>34.4</v>
      </c>
      <c r="X51" s="45">
        <v>33.6</v>
      </c>
      <c r="Y51" s="45">
        <v>46.5</v>
      </c>
      <c r="Z51" s="45">
        <v>46.1</v>
      </c>
      <c r="AA51" s="45">
        <v>46.3</v>
      </c>
      <c r="AB51" s="65">
        <v>46.2</v>
      </c>
      <c r="AC51" s="65">
        <v>45.9</v>
      </c>
      <c r="AD51" s="65">
        <v>45.9</v>
      </c>
      <c r="AE51" s="65">
        <v>32</v>
      </c>
      <c r="AF51" s="65">
        <v>33</v>
      </c>
      <c r="AG51" s="54">
        <v>69</v>
      </c>
      <c r="AH51" s="47">
        <f t="shared" si="2"/>
        <v>46.9</v>
      </c>
      <c r="AI51" s="48">
        <f t="shared" si="3"/>
        <v>0</v>
      </c>
      <c r="AK51" s="49"/>
    </row>
    <row r="52" spans="1:41" x14ac:dyDescent="0.25">
      <c r="A52" s="53" t="s">
        <v>60</v>
      </c>
      <c r="B52" s="56">
        <v>48</v>
      </c>
      <c r="C52" s="56">
        <v>48</v>
      </c>
      <c r="D52" s="56">
        <v>48</v>
      </c>
      <c r="E52" s="56">
        <v>45.3</v>
      </c>
      <c r="F52" s="56">
        <v>45.3</v>
      </c>
      <c r="G52" s="56">
        <v>45.3</v>
      </c>
      <c r="H52" s="56">
        <v>45.3</v>
      </c>
      <c r="I52" s="56">
        <v>45.6</v>
      </c>
      <c r="J52" s="56">
        <v>47.4</v>
      </c>
      <c r="K52" s="56">
        <v>49</v>
      </c>
      <c r="L52" s="56">
        <v>49</v>
      </c>
      <c r="M52" s="65">
        <v>47.8</v>
      </c>
      <c r="N52" s="65">
        <v>48.3</v>
      </c>
      <c r="O52" s="65">
        <v>46.3</v>
      </c>
      <c r="P52" s="65">
        <v>39.799999999999997</v>
      </c>
      <c r="Q52" s="65">
        <v>46.9</v>
      </c>
      <c r="R52" s="45">
        <v>46.6</v>
      </c>
      <c r="S52" s="45">
        <v>46.3</v>
      </c>
      <c r="T52" s="45">
        <v>46.3</v>
      </c>
      <c r="U52" s="45">
        <v>46.3</v>
      </c>
      <c r="V52" s="45">
        <v>44.6</v>
      </c>
      <c r="W52" s="45">
        <v>44.6</v>
      </c>
      <c r="X52" s="45">
        <v>44.6</v>
      </c>
      <c r="Y52" s="65">
        <v>44.3</v>
      </c>
      <c r="Z52" s="65">
        <v>44.6</v>
      </c>
      <c r="AA52" s="65">
        <v>44.6</v>
      </c>
      <c r="AB52" s="65">
        <v>39.799999999999997</v>
      </c>
      <c r="AC52" s="65">
        <v>39.799999999999997</v>
      </c>
      <c r="AD52" s="65">
        <v>39.799999999999997</v>
      </c>
      <c r="AE52" s="65">
        <v>39.799999999999997</v>
      </c>
      <c r="AF52" s="65">
        <v>39.799999999999997</v>
      </c>
      <c r="AG52" s="54">
        <v>60</v>
      </c>
      <c r="AH52" s="47">
        <f t="shared" si="2"/>
        <v>49</v>
      </c>
      <c r="AI52" s="48">
        <f t="shared" si="3"/>
        <v>39.799999999999997</v>
      </c>
      <c r="AK52" s="49"/>
    </row>
    <row r="53" spans="1:41" x14ac:dyDescent="0.25">
      <c r="A53" s="53" t="s">
        <v>61</v>
      </c>
      <c r="B53" s="56">
        <v>0</v>
      </c>
      <c r="C53" s="56">
        <v>0</v>
      </c>
      <c r="D53" s="56">
        <v>0</v>
      </c>
      <c r="E53" s="56">
        <v>0</v>
      </c>
      <c r="F53" s="56">
        <v>0</v>
      </c>
      <c r="G53" s="56">
        <v>0</v>
      </c>
      <c r="H53" s="56">
        <v>9.3000000000000007</v>
      </c>
      <c r="I53" s="56">
        <v>15</v>
      </c>
      <c r="J53" s="56">
        <v>10</v>
      </c>
      <c r="K53" s="56">
        <v>10</v>
      </c>
      <c r="L53" s="56">
        <v>14</v>
      </c>
      <c r="M53" s="65">
        <v>14.9</v>
      </c>
      <c r="N53" s="65">
        <v>25.8</v>
      </c>
      <c r="O53" s="65">
        <v>25.6</v>
      </c>
      <c r="P53" s="65">
        <v>25</v>
      </c>
      <c r="Q53" s="65">
        <v>12.3</v>
      </c>
      <c r="R53" s="45">
        <v>0</v>
      </c>
      <c r="S53" s="45">
        <v>0</v>
      </c>
      <c r="T53" s="45">
        <v>0</v>
      </c>
      <c r="U53" s="45">
        <v>0</v>
      </c>
      <c r="V53" s="45">
        <v>0</v>
      </c>
      <c r="W53" s="45">
        <v>8.3000000000000007</v>
      </c>
      <c r="X53" s="45">
        <v>8.3000000000000007</v>
      </c>
      <c r="Y53" s="65">
        <v>29.8</v>
      </c>
      <c r="Z53" s="65">
        <v>29.2</v>
      </c>
      <c r="AA53" s="65">
        <v>28.9</v>
      </c>
      <c r="AB53" s="65">
        <v>25</v>
      </c>
      <c r="AC53" s="65">
        <v>25</v>
      </c>
      <c r="AD53" s="65">
        <v>18</v>
      </c>
      <c r="AE53" s="65">
        <v>10</v>
      </c>
      <c r="AF53" s="65">
        <v>0</v>
      </c>
      <c r="AG53" s="54">
        <v>30</v>
      </c>
      <c r="AH53" s="47">
        <f t="shared" si="2"/>
        <v>29.8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6</v>
      </c>
      <c r="Q54" s="45">
        <v>6</v>
      </c>
      <c r="R54" s="45">
        <v>6</v>
      </c>
      <c r="S54" s="45">
        <v>6</v>
      </c>
      <c r="T54" s="45">
        <v>6</v>
      </c>
      <c r="U54" s="45">
        <v>6</v>
      </c>
      <c r="V54" s="45">
        <v>1</v>
      </c>
      <c r="W54" s="45">
        <v>1</v>
      </c>
      <c r="X54" s="45">
        <v>1</v>
      </c>
      <c r="Y54" s="65">
        <v>1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6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17</v>
      </c>
      <c r="C55" s="65">
        <v>17</v>
      </c>
      <c r="D55" s="65">
        <v>17</v>
      </c>
      <c r="E55" s="65">
        <v>17</v>
      </c>
      <c r="F55" s="65">
        <v>17</v>
      </c>
      <c r="G55" s="65">
        <v>17</v>
      </c>
      <c r="H55" s="65">
        <v>17</v>
      </c>
      <c r="I55" s="65">
        <v>17</v>
      </c>
      <c r="J55" s="65">
        <v>17</v>
      </c>
      <c r="K55" s="65">
        <v>17</v>
      </c>
      <c r="L55" s="65">
        <v>17</v>
      </c>
      <c r="M55" s="65">
        <v>17</v>
      </c>
      <c r="N55" s="65">
        <v>17</v>
      </c>
      <c r="O55" s="65">
        <v>17</v>
      </c>
      <c r="P55" s="65">
        <v>17</v>
      </c>
      <c r="Q55" s="65">
        <v>17</v>
      </c>
      <c r="R55" s="65">
        <v>17</v>
      </c>
      <c r="S55" s="65">
        <v>17</v>
      </c>
      <c r="T55" s="65">
        <v>17</v>
      </c>
      <c r="U55" s="65">
        <v>17</v>
      </c>
      <c r="V55" s="45">
        <v>17</v>
      </c>
      <c r="W55" s="45">
        <v>17</v>
      </c>
      <c r="X55" s="45">
        <v>17</v>
      </c>
      <c r="Y55" s="65">
        <v>17</v>
      </c>
      <c r="Z55" s="65">
        <v>17</v>
      </c>
      <c r="AA55" s="65">
        <v>17</v>
      </c>
      <c r="AB55" s="65">
        <v>17</v>
      </c>
      <c r="AC55" s="65">
        <v>17</v>
      </c>
      <c r="AD55" s="65">
        <v>17</v>
      </c>
      <c r="AE55" s="65">
        <v>17</v>
      </c>
      <c r="AF55" s="65">
        <v>17</v>
      </c>
      <c r="AG55" s="54">
        <v>24</v>
      </c>
      <c r="AH55" s="47">
        <f t="shared" si="2"/>
        <v>17</v>
      </c>
      <c r="AI55" s="48">
        <f t="shared" si="3"/>
        <v>17</v>
      </c>
      <c r="AK55" s="49"/>
    </row>
    <row r="56" spans="1:41" x14ac:dyDescent="0.25">
      <c r="A56" s="53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4">
        <v>15</v>
      </c>
      <c r="AH56" s="47">
        <f t="shared" si="2"/>
        <v>3.2</v>
      </c>
      <c r="AI56" s="48">
        <f t="shared" si="3"/>
        <v>3.2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12.6</v>
      </c>
      <c r="C57" s="65">
        <v>12.6</v>
      </c>
      <c r="D57" s="65">
        <v>12.6</v>
      </c>
      <c r="E57" s="65">
        <v>12.6</v>
      </c>
      <c r="F57" s="65">
        <v>12.6</v>
      </c>
      <c r="G57" s="65">
        <v>12.6</v>
      </c>
      <c r="H57" s="65">
        <v>12.6</v>
      </c>
      <c r="I57" s="65">
        <v>12.6</v>
      </c>
      <c r="J57" s="65">
        <v>12.6</v>
      </c>
      <c r="K57" s="65">
        <v>12.6</v>
      </c>
      <c r="L57" s="65">
        <v>12.6</v>
      </c>
      <c r="M57" s="65">
        <v>12.6</v>
      </c>
      <c r="N57" s="65">
        <v>12.6</v>
      </c>
      <c r="O57" s="65">
        <v>12.6</v>
      </c>
      <c r="P57" s="65">
        <v>12.6</v>
      </c>
      <c r="Q57" s="65">
        <v>12.6</v>
      </c>
      <c r="R57" s="65">
        <v>12.6</v>
      </c>
      <c r="S57" s="65">
        <v>12.6</v>
      </c>
      <c r="T57" s="65">
        <v>12.6</v>
      </c>
      <c r="U57" s="65">
        <v>12.6</v>
      </c>
      <c r="V57" s="65">
        <v>14.9</v>
      </c>
      <c r="W57" s="65">
        <v>14.9</v>
      </c>
      <c r="X57" s="65">
        <v>14.9</v>
      </c>
      <c r="Y57" s="65">
        <v>14.9</v>
      </c>
      <c r="Z57" s="65">
        <v>14.9</v>
      </c>
      <c r="AA57" s="65">
        <v>14.9</v>
      </c>
      <c r="AB57" s="65">
        <v>14.9</v>
      </c>
      <c r="AC57" s="65">
        <v>14.9</v>
      </c>
      <c r="AD57" s="65">
        <v>14.9</v>
      </c>
      <c r="AE57" s="65">
        <v>14.9</v>
      </c>
      <c r="AF57" s="65">
        <v>14.9</v>
      </c>
      <c r="AG57" s="54">
        <v>14.1</v>
      </c>
      <c r="AH57" s="47">
        <f t="shared" si="2"/>
        <v>14.9</v>
      </c>
      <c r="AI57" s="48">
        <f t="shared" si="3"/>
        <v>12.6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4.5</v>
      </c>
      <c r="C58" s="65">
        <v>4.5</v>
      </c>
      <c r="D58" s="65">
        <v>3.1</v>
      </c>
      <c r="E58" s="65">
        <v>3.1</v>
      </c>
      <c r="F58" s="65">
        <v>3.1</v>
      </c>
      <c r="G58" s="65">
        <v>3.1</v>
      </c>
      <c r="H58" s="65">
        <v>3.1</v>
      </c>
      <c r="I58" s="65">
        <v>3.1</v>
      </c>
      <c r="J58" s="65">
        <v>3.1</v>
      </c>
      <c r="K58" s="65">
        <v>3.1</v>
      </c>
      <c r="L58" s="65">
        <v>3.1</v>
      </c>
      <c r="M58" s="65">
        <v>3.1</v>
      </c>
      <c r="N58" s="65">
        <v>3.1</v>
      </c>
      <c r="O58" s="65">
        <v>3.1</v>
      </c>
      <c r="P58" s="65">
        <v>3.1</v>
      </c>
      <c r="Q58" s="65">
        <v>3.1</v>
      </c>
      <c r="R58" s="65">
        <v>3.1</v>
      </c>
      <c r="S58" s="65">
        <v>3.1</v>
      </c>
      <c r="T58" s="65">
        <v>3.1</v>
      </c>
      <c r="U58" s="65">
        <v>3.1</v>
      </c>
      <c r="V58" s="65">
        <v>3.1</v>
      </c>
      <c r="W58" s="65">
        <v>3.1</v>
      </c>
      <c r="X58" s="65">
        <v>3.1</v>
      </c>
      <c r="Y58" s="65">
        <v>3.1</v>
      </c>
      <c r="Z58" s="65">
        <v>3.1</v>
      </c>
      <c r="AA58" s="65">
        <v>3.1</v>
      </c>
      <c r="AB58" s="65">
        <v>3.1</v>
      </c>
      <c r="AC58" s="65">
        <v>3.1</v>
      </c>
      <c r="AD58" s="65">
        <v>3.1</v>
      </c>
      <c r="AE58" s="65">
        <v>3.1</v>
      </c>
      <c r="AF58" s="65">
        <v>3.1</v>
      </c>
      <c r="AG58" s="54">
        <v>14</v>
      </c>
      <c r="AH58" s="47">
        <f t="shared" si="2"/>
        <v>4.5</v>
      </c>
      <c r="AI58" s="48">
        <f t="shared" si="3"/>
        <v>3.1</v>
      </c>
      <c r="AK58" s="49"/>
    </row>
    <row r="59" spans="1:41" x14ac:dyDescent="0.25">
      <c r="A59" s="53" t="s">
        <v>67</v>
      </c>
      <c r="B59" s="65">
        <v>5.2</v>
      </c>
      <c r="C59" s="65">
        <v>5.2</v>
      </c>
      <c r="D59" s="65">
        <v>5.2</v>
      </c>
      <c r="E59" s="65">
        <v>5.2</v>
      </c>
      <c r="F59" s="65">
        <v>5.2</v>
      </c>
      <c r="G59" s="65">
        <v>5.2</v>
      </c>
      <c r="H59" s="65">
        <v>5.2</v>
      </c>
      <c r="I59" s="65">
        <v>5.2</v>
      </c>
      <c r="J59" s="65">
        <v>5.2</v>
      </c>
      <c r="K59" s="65">
        <v>5.2</v>
      </c>
      <c r="L59" s="65">
        <v>5.2</v>
      </c>
      <c r="M59" s="65">
        <v>5.2</v>
      </c>
      <c r="N59" s="65">
        <v>5.2</v>
      </c>
      <c r="O59" s="65">
        <v>5.2</v>
      </c>
      <c r="P59" s="65">
        <v>5.2</v>
      </c>
      <c r="Q59" s="65">
        <v>5.2</v>
      </c>
      <c r="R59" s="65">
        <v>5.2</v>
      </c>
      <c r="S59" s="65">
        <v>5.2</v>
      </c>
      <c r="T59" s="65">
        <v>5.2</v>
      </c>
      <c r="U59" s="65">
        <v>5.2</v>
      </c>
      <c r="V59" s="65">
        <v>5.2</v>
      </c>
      <c r="W59" s="65">
        <v>5.2</v>
      </c>
      <c r="X59" s="65">
        <v>5.2</v>
      </c>
      <c r="Y59" s="65">
        <v>5.2</v>
      </c>
      <c r="Z59" s="65">
        <v>5.2</v>
      </c>
      <c r="AA59" s="65">
        <v>5.2</v>
      </c>
      <c r="AB59" s="65">
        <v>5.2</v>
      </c>
      <c r="AC59" s="65">
        <v>5.2</v>
      </c>
      <c r="AD59" s="65">
        <v>5.2</v>
      </c>
      <c r="AE59" s="65">
        <v>5.2</v>
      </c>
      <c r="AF59" s="65">
        <v>5.2</v>
      </c>
      <c r="AG59" s="54">
        <v>10.050000000000001</v>
      </c>
      <c r="AH59" s="47">
        <f t="shared" si="2"/>
        <v>5.2</v>
      </c>
      <c r="AI59" s="48">
        <f t="shared" si="3"/>
        <v>5.2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 t="shared" ref="B62:AG62" si="6">SUM(B49:B61)</f>
        <v>133.23999999999998</v>
      </c>
      <c r="C62" s="60">
        <f t="shared" si="6"/>
        <v>113.54</v>
      </c>
      <c r="D62" s="60">
        <f t="shared" si="6"/>
        <v>118.14</v>
      </c>
      <c r="E62" s="60">
        <f t="shared" si="6"/>
        <v>93.14</v>
      </c>
      <c r="F62" s="60">
        <f t="shared" si="6"/>
        <v>93.14</v>
      </c>
      <c r="G62" s="60">
        <f t="shared" si="6"/>
        <v>109.64</v>
      </c>
      <c r="H62" s="60">
        <f t="shared" si="6"/>
        <v>159.43999999999994</v>
      </c>
      <c r="I62" s="60">
        <f t="shared" si="6"/>
        <v>177.63999999999996</v>
      </c>
      <c r="J62" s="60">
        <f t="shared" si="6"/>
        <v>228.43999999999997</v>
      </c>
      <c r="K62" s="60">
        <f t="shared" si="6"/>
        <v>263.74</v>
      </c>
      <c r="L62" s="60">
        <f t="shared" si="6"/>
        <v>278.44000000000005</v>
      </c>
      <c r="M62" s="60">
        <f t="shared" si="6"/>
        <v>276.14000000000004</v>
      </c>
      <c r="N62" s="60">
        <f t="shared" si="6"/>
        <v>369.94000000000005</v>
      </c>
      <c r="O62" s="60">
        <f t="shared" si="6"/>
        <v>335.24000000000007</v>
      </c>
      <c r="P62" s="60">
        <f t="shared" si="6"/>
        <v>290.34000000000003</v>
      </c>
      <c r="Q62" s="60">
        <f t="shared" si="6"/>
        <v>249.83999999999997</v>
      </c>
      <c r="R62" s="60">
        <f t="shared" si="6"/>
        <v>203.23999999999995</v>
      </c>
      <c r="S62" s="60">
        <f t="shared" si="6"/>
        <v>214.83999999999995</v>
      </c>
      <c r="T62" s="60">
        <f t="shared" si="6"/>
        <v>214.83999999999995</v>
      </c>
      <c r="U62" s="60">
        <f t="shared" si="6"/>
        <v>164.23999999999992</v>
      </c>
      <c r="V62" s="60">
        <f t="shared" si="6"/>
        <v>156.73999999999995</v>
      </c>
      <c r="W62" s="60">
        <f t="shared" si="6"/>
        <v>234.53999999999996</v>
      </c>
      <c r="X62" s="60">
        <f t="shared" si="6"/>
        <v>305.94</v>
      </c>
      <c r="Y62" s="60">
        <v>357.24</v>
      </c>
      <c r="Z62" s="60">
        <f t="shared" si="6"/>
        <v>379.23999999999995</v>
      </c>
      <c r="AA62" s="60">
        <f t="shared" si="6"/>
        <v>379.03999999999996</v>
      </c>
      <c r="AB62" s="60">
        <f t="shared" si="6"/>
        <v>360.44</v>
      </c>
      <c r="AC62" s="60">
        <f t="shared" si="6"/>
        <v>345.84</v>
      </c>
      <c r="AD62" s="60">
        <f t="shared" si="6"/>
        <v>297.53999999999996</v>
      </c>
      <c r="AE62" s="60">
        <f t="shared" si="6"/>
        <v>196.93999999999997</v>
      </c>
      <c r="AF62" s="60">
        <f t="shared" si="6"/>
        <v>122.94000000000001</v>
      </c>
      <c r="AG62" s="61">
        <f t="shared" si="6"/>
        <v>489.91</v>
      </c>
      <c r="AH62" s="47">
        <f t="shared" si="2"/>
        <v>379.23999999999995</v>
      </c>
      <c r="AI62" s="48">
        <f t="shared" si="3"/>
        <v>93.14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1">
        <v>60</v>
      </c>
      <c r="AH63" s="47">
        <f t="shared" si="2"/>
        <v>0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4">
        <v>32</v>
      </c>
      <c r="AH64" s="47">
        <f t="shared" si="2"/>
        <v>0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0</v>
      </c>
      <c r="N65" s="67">
        <v>0</v>
      </c>
      <c r="O65" s="67">
        <v>0</v>
      </c>
      <c r="P65" s="67">
        <v>0</v>
      </c>
      <c r="Q65" s="67">
        <v>0</v>
      </c>
      <c r="R65" s="67">
        <v>0</v>
      </c>
      <c r="S65" s="67">
        <v>0</v>
      </c>
      <c r="T65" s="67">
        <v>0</v>
      </c>
      <c r="U65" s="67">
        <v>0</v>
      </c>
      <c r="V65" s="67">
        <v>0</v>
      </c>
      <c r="W65" s="67">
        <v>0</v>
      </c>
      <c r="X65" s="67">
        <v>0</v>
      </c>
      <c r="Y65" s="67">
        <v>0</v>
      </c>
      <c r="Z65" s="67">
        <v>0</v>
      </c>
      <c r="AA65" s="67">
        <v>0</v>
      </c>
      <c r="AB65" s="67">
        <v>0</v>
      </c>
      <c r="AC65" s="67">
        <v>0</v>
      </c>
      <c r="AD65" s="67">
        <v>0</v>
      </c>
      <c r="AE65" s="67">
        <v>0</v>
      </c>
      <c r="AF65" s="67">
        <v>0</v>
      </c>
      <c r="AG65" s="68">
        <v>14</v>
      </c>
      <c r="AH65" s="47">
        <f t="shared" si="2"/>
        <v>0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0</v>
      </c>
      <c r="M66" s="60">
        <f t="shared" ref="M66:AF66" si="7">M63+M64+M65</f>
        <v>0</v>
      </c>
      <c r="N66" s="60">
        <f t="shared" si="7"/>
        <v>0</v>
      </c>
      <c r="O66" s="60">
        <f t="shared" si="7"/>
        <v>0</v>
      </c>
      <c r="P66" s="60">
        <f t="shared" si="7"/>
        <v>0</v>
      </c>
      <c r="Q66" s="60">
        <f t="shared" si="7"/>
        <v>0</v>
      </c>
      <c r="R66" s="60">
        <f t="shared" si="7"/>
        <v>0</v>
      </c>
      <c r="S66" s="60">
        <f t="shared" si="7"/>
        <v>0</v>
      </c>
      <c r="T66" s="60">
        <f t="shared" si="7"/>
        <v>0</v>
      </c>
      <c r="U66" s="60">
        <f t="shared" si="7"/>
        <v>0</v>
      </c>
      <c r="V66" s="60">
        <f t="shared" si="7"/>
        <v>0</v>
      </c>
      <c r="W66" s="60">
        <v>0</v>
      </c>
      <c r="X66" s="60">
        <f t="shared" si="7"/>
        <v>0</v>
      </c>
      <c r="Y66" s="60">
        <v>0</v>
      </c>
      <c r="Z66" s="60">
        <f t="shared" si="7"/>
        <v>0</v>
      </c>
      <c r="AA66" s="60">
        <v>0</v>
      </c>
      <c r="AB66" s="60">
        <f t="shared" si="7"/>
        <v>0</v>
      </c>
      <c r="AC66" s="60">
        <f t="shared" si="7"/>
        <v>0</v>
      </c>
      <c r="AD66" s="60">
        <f t="shared" si="7"/>
        <v>0</v>
      </c>
      <c r="AE66" s="60">
        <f t="shared" si="7"/>
        <v>0</v>
      </c>
      <c r="AF66" s="60">
        <f t="shared" si="7"/>
        <v>0</v>
      </c>
      <c r="AG66" s="61">
        <f>SUM(AG63:AG65)</f>
        <v>106</v>
      </c>
      <c r="AH66" s="47">
        <f t="shared" si="2"/>
        <v>0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59.4</v>
      </c>
      <c r="C67" s="45">
        <v>63.3</v>
      </c>
      <c r="D67" s="45">
        <v>61.4</v>
      </c>
      <c r="E67" s="45">
        <v>57</v>
      </c>
      <c r="F67" s="45">
        <v>57.6</v>
      </c>
      <c r="G67" s="45">
        <v>60.8</v>
      </c>
      <c r="H67" s="45">
        <v>59.6</v>
      </c>
      <c r="I67" s="45">
        <v>61</v>
      </c>
      <c r="J67" s="45">
        <v>57</v>
      </c>
      <c r="K67" s="45">
        <v>64</v>
      </c>
      <c r="L67" s="45">
        <v>67</v>
      </c>
      <c r="M67" s="45">
        <v>70</v>
      </c>
      <c r="N67" s="45">
        <v>65</v>
      </c>
      <c r="O67" s="45">
        <v>65.8</v>
      </c>
      <c r="P67" s="45">
        <v>52</v>
      </c>
      <c r="Q67" s="45">
        <v>58</v>
      </c>
      <c r="R67" s="45">
        <v>57.9</v>
      </c>
      <c r="S67" s="45">
        <v>52.5</v>
      </c>
      <c r="T67" s="45">
        <v>53.5</v>
      </c>
      <c r="U67" s="45">
        <v>57.7</v>
      </c>
      <c r="V67" s="45">
        <v>50</v>
      </c>
      <c r="W67" s="45">
        <v>50</v>
      </c>
      <c r="X67" s="45">
        <v>59.3</v>
      </c>
      <c r="Y67" s="45">
        <v>47</v>
      </c>
      <c r="Z67" s="45">
        <v>48.6</v>
      </c>
      <c r="AA67" s="45">
        <v>45.7</v>
      </c>
      <c r="AB67" s="45">
        <v>52</v>
      </c>
      <c r="AC67" s="45">
        <v>57.4</v>
      </c>
      <c r="AD67" s="45">
        <v>54.5</v>
      </c>
      <c r="AE67" s="45">
        <v>50</v>
      </c>
      <c r="AF67" s="45">
        <v>40</v>
      </c>
      <c r="AG67" s="51"/>
      <c r="AH67" s="47">
        <f t="shared" si="2"/>
        <v>70</v>
      </c>
      <c r="AI67" s="48">
        <f t="shared" si="3"/>
        <v>40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347</v>
      </c>
      <c r="C69" s="65">
        <v>336</v>
      </c>
      <c r="D69" s="65">
        <v>330</v>
      </c>
      <c r="E69" s="65">
        <v>327</v>
      </c>
      <c r="F69" s="65">
        <v>321</v>
      </c>
      <c r="G69" s="65">
        <v>334.7</v>
      </c>
      <c r="H69" s="65">
        <v>340</v>
      </c>
      <c r="I69" s="65">
        <v>333</v>
      </c>
      <c r="J69" s="65">
        <v>335</v>
      </c>
      <c r="K69" s="65">
        <v>273</v>
      </c>
      <c r="L69" s="65">
        <v>271</v>
      </c>
      <c r="M69" s="65">
        <v>284.2</v>
      </c>
      <c r="N69" s="65">
        <v>289</v>
      </c>
      <c r="O69" s="65">
        <v>328.2</v>
      </c>
      <c r="P69" s="65">
        <v>310</v>
      </c>
      <c r="Q69" s="65">
        <v>240</v>
      </c>
      <c r="R69" s="65">
        <v>235</v>
      </c>
      <c r="S69" s="65">
        <v>260</v>
      </c>
      <c r="T69" s="65">
        <v>330</v>
      </c>
      <c r="U69" s="65">
        <v>330</v>
      </c>
      <c r="V69" s="65">
        <v>315</v>
      </c>
      <c r="W69" s="65">
        <v>322</v>
      </c>
      <c r="X69" s="65">
        <v>340</v>
      </c>
      <c r="Y69" s="65">
        <v>165</v>
      </c>
      <c r="Z69" s="65">
        <v>90</v>
      </c>
      <c r="AA69" s="65">
        <v>110</v>
      </c>
      <c r="AB69" s="65">
        <v>233</v>
      </c>
      <c r="AC69" s="65">
        <v>325</v>
      </c>
      <c r="AD69" s="65">
        <v>328</v>
      </c>
      <c r="AE69" s="65">
        <v>307</v>
      </c>
      <c r="AF69" s="65">
        <v>356</v>
      </c>
      <c r="AG69" s="75"/>
      <c r="AH69" s="47">
        <f t="shared" si="2"/>
        <v>356</v>
      </c>
      <c r="AI69" s="48">
        <f t="shared" si="3"/>
        <v>90</v>
      </c>
      <c r="AK69" s="49"/>
    </row>
    <row r="70" spans="1:40" x14ac:dyDescent="0.25">
      <c r="A70" s="53" t="s">
        <v>78</v>
      </c>
      <c r="B70" s="76">
        <v>54.3</v>
      </c>
      <c r="C70" s="76">
        <v>54.3</v>
      </c>
      <c r="D70" s="76">
        <v>24.5</v>
      </c>
      <c r="E70" s="76">
        <v>29.3</v>
      </c>
      <c r="F70" s="76">
        <v>53</v>
      </c>
      <c r="G70" s="76">
        <v>47.4</v>
      </c>
      <c r="H70" s="76">
        <v>49.6</v>
      </c>
      <c r="I70" s="76">
        <v>50.3</v>
      </c>
      <c r="J70" s="76">
        <v>57.7</v>
      </c>
      <c r="K70" s="76">
        <v>55</v>
      </c>
      <c r="L70" s="76">
        <v>63</v>
      </c>
      <c r="M70" s="76">
        <v>56.5</v>
      </c>
      <c r="N70" s="76">
        <v>59.6</v>
      </c>
      <c r="O70" s="76">
        <v>60.8</v>
      </c>
      <c r="P70" s="76">
        <v>63</v>
      </c>
      <c r="Q70" s="76">
        <v>55.7</v>
      </c>
      <c r="R70" s="76">
        <v>51.6</v>
      </c>
      <c r="S70" s="76">
        <v>51.6</v>
      </c>
      <c r="T70" s="76">
        <v>43</v>
      </c>
      <c r="U70" s="76">
        <v>46.6</v>
      </c>
      <c r="V70" s="76">
        <v>40.1</v>
      </c>
      <c r="W70" s="76">
        <v>52</v>
      </c>
      <c r="X70" s="76">
        <v>57.9</v>
      </c>
      <c r="Y70" s="65">
        <v>50</v>
      </c>
      <c r="Z70" s="65">
        <v>62.8</v>
      </c>
      <c r="AA70" s="65">
        <v>61.1</v>
      </c>
      <c r="AB70" s="65">
        <v>58.2</v>
      </c>
      <c r="AC70" s="65">
        <v>57.4</v>
      </c>
      <c r="AD70" s="65">
        <v>50.7</v>
      </c>
      <c r="AE70" s="65">
        <v>45</v>
      </c>
      <c r="AF70" s="65">
        <v>48</v>
      </c>
      <c r="AG70" s="75"/>
      <c r="AH70" s="47">
        <f t="shared" si="2"/>
        <v>63</v>
      </c>
      <c r="AI70" s="48">
        <f t="shared" si="3"/>
        <v>24.5</v>
      </c>
      <c r="AK70" s="49"/>
    </row>
    <row r="71" spans="1:40" x14ac:dyDescent="0.25">
      <c r="A71" s="53" t="s">
        <v>79</v>
      </c>
      <c r="B71" s="45">
        <v>23.2</v>
      </c>
      <c r="C71" s="45">
        <v>22.3</v>
      </c>
      <c r="D71" s="45">
        <v>23.7</v>
      </c>
      <c r="E71" s="45">
        <v>23</v>
      </c>
      <c r="F71" s="45">
        <v>21</v>
      </c>
      <c r="G71" s="45">
        <v>20.2</v>
      </c>
      <c r="H71" s="45">
        <v>21.4</v>
      </c>
      <c r="I71" s="45">
        <v>20.9</v>
      </c>
      <c r="J71" s="45">
        <v>22.9</v>
      </c>
      <c r="K71" s="45">
        <v>20.9</v>
      </c>
      <c r="L71" s="45">
        <v>22.7</v>
      </c>
      <c r="M71" s="45">
        <v>17</v>
      </c>
      <c r="N71" s="45">
        <v>20</v>
      </c>
      <c r="O71" s="45">
        <v>24</v>
      </c>
      <c r="P71" s="45">
        <v>24</v>
      </c>
      <c r="Q71" s="45">
        <v>24</v>
      </c>
      <c r="R71" s="45">
        <v>25</v>
      </c>
      <c r="S71" s="45">
        <v>25</v>
      </c>
      <c r="T71" s="45">
        <v>20</v>
      </c>
      <c r="U71" s="45">
        <v>20</v>
      </c>
      <c r="V71" s="45">
        <v>17</v>
      </c>
      <c r="W71" s="45">
        <v>22</v>
      </c>
      <c r="X71" s="45">
        <v>22</v>
      </c>
      <c r="Y71" s="45">
        <v>22</v>
      </c>
      <c r="Z71" s="45">
        <v>22</v>
      </c>
      <c r="AA71" s="45">
        <v>22</v>
      </c>
      <c r="AB71" s="45">
        <v>23</v>
      </c>
      <c r="AC71" s="45">
        <v>23</v>
      </c>
      <c r="AD71" s="45">
        <v>23</v>
      </c>
      <c r="AE71" s="45">
        <v>15</v>
      </c>
      <c r="AF71" s="45">
        <v>15</v>
      </c>
      <c r="AG71" s="75"/>
      <c r="AH71" s="47">
        <f t="shared" si="2"/>
        <v>25</v>
      </c>
      <c r="AI71" s="48">
        <f t="shared" si="3"/>
        <v>15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5"/>
      <c r="AH72" s="47">
        <f t="shared" si="2"/>
        <v>5</v>
      </c>
      <c r="AI72" s="48">
        <f t="shared" si="3"/>
        <v>0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664">
        <v>0.45833333333333331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8">MAX(B75:AF75)</f>
        <v>0</v>
      </c>
      <c r="AI75" s="48">
        <f t="shared" ref="AI75:AI113" si="9">MIN(B75:AF75)</f>
        <v>0</v>
      </c>
      <c r="AK75" s="82" t="s">
        <v>85</v>
      </c>
      <c r="AL75" s="65">
        <v>575556.43000000005</v>
      </c>
      <c r="AM75" s="76"/>
      <c r="AN75" s="83"/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8"/>
        <v>0</v>
      </c>
      <c r="AI76" s="48">
        <f t="shared" si="9"/>
        <v>0</v>
      </c>
      <c r="AK76" s="82" t="s">
        <v>87</v>
      </c>
      <c r="AL76" s="76">
        <v>419156.35</v>
      </c>
      <c r="AM76" s="76"/>
      <c r="AN76" s="83"/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8"/>
        <v>0</v>
      </c>
      <c r="AI77" s="48">
        <f t="shared" si="9"/>
        <v>0</v>
      </c>
      <c r="AK77" s="86"/>
      <c r="AL77" s="45"/>
      <c r="AM77" s="45"/>
      <c r="AN77" s="87"/>
    </row>
    <row r="78" spans="1:40" ht="15.75" thickBot="1" x14ac:dyDescent="0.3">
      <c r="A78" s="74" t="s">
        <v>89</v>
      </c>
      <c r="B78" s="60">
        <f t="shared" ref="B78:AF78" si="10">SUMIF(B67:B77,"&gt;0")</f>
        <v>488.9</v>
      </c>
      <c r="C78" s="60">
        <f t="shared" si="10"/>
        <v>480.90000000000003</v>
      </c>
      <c r="D78" s="60">
        <f t="shared" si="10"/>
        <v>444.59999999999997</v>
      </c>
      <c r="E78" s="60">
        <f t="shared" si="10"/>
        <v>441.3</v>
      </c>
      <c r="F78" s="60">
        <f t="shared" si="10"/>
        <v>452.6</v>
      </c>
      <c r="G78" s="60">
        <f t="shared" si="10"/>
        <v>463.09999999999997</v>
      </c>
      <c r="H78" s="60">
        <f t="shared" si="10"/>
        <v>470.6</v>
      </c>
      <c r="I78" s="60">
        <f t="shared" si="10"/>
        <v>465.2</v>
      </c>
      <c r="J78" s="60">
        <f t="shared" si="10"/>
        <v>472.59999999999997</v>
      </c>
      <c r="K78" s="60">
        <f t="shared" si="10"/>
        <v>412.9</v>
      </c>
      <c r="L78" s="60">
        <f t="shared" si="10"/>
        <v>423.7</v>
      </c>
      <c r="M78" s="60">
        <f t="shared" si="10"/>
        <v>427.7</v>
      </c>
      <c r="N78" s="60">
        <f t="shared" si="10"/>
        <v>433.6</v>
      </c>
      <c r="O78" s="60">
        <f t="shared" si="10"/>
        <v>478.8</v>
      </c>
      <c r="P78" s="60">
        <f t="shared" si="10"/>
        <v>449</v>
      </c>
      <c r="Q78" s="60">
        <f t="shared" si="10"/>
        <v>377.7</v>
      </c>
      <c r="R78" s="60">
        <f t="shared" si="10"/>
        <v>369.5</v>
      </c>
      <c r="S78" s="60">
        <f t="shared" si="10"/>
        <v>389.1</v>
      </c>
      <c r="T78" s="60">
        <f t="shared" si="10"/>
        <v>446.5</v>
      </c>
      <c r="U78" s="60">
        <f t="shared" si="10"/>
        <v>454.3</v>
      </c>
      <c r="V78" s="60">
        <f t="shared" si="10"/>
        <v>422.1</v>
      </c>
      <c r="W78" s="60">
        <f t="shared" si="10"/>
        <v>446</v>
      </c>
      <c r="X78" s="60">
        <f t="shared" si="10"/>
        <v>479.2</v>
      </c>
      <c r="Y78" s="60">
        <v>284</v>
      </c>
      <c r="Z78" s="60">
        <f t="shared" si="10"/>
        <v>223.39999999999998</v>
      </c>
      <c r="AA78" s="60">
        <f t="shared" si="10"/>
        <v>238.79999999999998</v>
      </c>
      <c r="AB78" s="60">
        <f t="shared" si="10"/>
        <v>366.2</v>
      </c>
      <c r="AC78" s="60">
        <f t="shared" si="10"/>
        <v>462.79999999999995</v>
      </c>
      <c r="AD78" s="60">
        <f t="shared" si="10"/>
        <v>456.2</v>
      </c>
      <c r="AE78" s="60">
        <f t="shared" si="10"/>
        <v>417</v>
      </c>
      <c r="AF78" s="60">
        <f t="shared" si="10"/>
        <v>459</v>
      </c>
      <c r="AG78" s="88">
        <f>SUM(AG67:AG77)</f>
        <v>0</v>
      </c>
      <c r="AH78" s="47">
        <f t="shared" si="8"/>
        <v>488.9</v>
      </c>
      <c r="AI78" s="48">
        <f t="shared" si="9"/>
        <v>223.39999999999998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8"/>
        <v>0</v>
      </c>
      <c r="AI79" s="48">
        <f t="shared" si="9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8"/>
        <v>0</v>
      </c>
      <c r="AI80" s="48">
        <f t="shared" si="9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8"/>
        <v>0</v>
      </c>
      <c r="AI81" s="48">
        <f t="shared" si="9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>
        <v>0</v>
      </c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8"/>
        <v>0</v>
      </c>
      <c r="AI82" s="48">
        <f t="shared" si="9"/>
        <v>0</v>
      </c>
    </row>
    <row r="83" spans="1:37" ht="15.75" thickBot="1" x14ac:dyDescent="0.3">
      <c r="A83" s="74" t="s">
        <v>94</v>
      </c>
      <c r="B83" s="95">
        <f>B44+B48+B66+B62+B78+B82</f>
        <v>1106.04</v>
      </c>
      <c r="C83" s="95">
        <f t="shared" ref="C83:AG83" si="11">C44+C48+C66+C62+C78+C82</f>
        <v>1063.3400000000001</v>
      </c>
      <c r="D83" s="95">
        <f t="shared" si="11"/>
        <v>1031.6400000000001</v>
      </c>
      <c r="E83" s="95">
        <f t="shared" si="11"/>
        <v>1010.94</v>
      </c>
      <c r="F83" s="95">
        <f t="shared" si="11"/>
        <v>1017.24</v>
      </c>
      <c r="G83" s="95">
        <f t="shared" si="11"/>
        <v>1039.24</v>
      </c>
      <c r="H83" s="95">
        <f t="shared" si="11"/>
        <v>1111.54</v>
      </c>
      <c r="I83" s="95">
        <f t="shared" si="11"/>
        <v>1134.3399999999999</v>
      </c>
      <c r="J83" s="95">
        <f t="shared" si="11"/>
        <v>1207.54</v>
      </c>
      <c r="K83" s="95">
        <f t="shared" si="11"/>
        <v>1228.1399999999999</v>
      </c>
      <c r="L83" s="95">
        <f t="shared" si="11"/>
        <v>1278.6400000000001</v>
      </c>
      <c r="M83" s="95">
        <f t="shared" si="11"/>
        <v>1303.8400000000001</v>
      </c>
      <c r="N83" s="95">
        <f t="shared" si="11"/>
        <v>1398.44</v>
      </c>
      <c r="O83" s="95">
        <f t="shared" si="11"/>
        <v>1323.34</v>
      </c>
      <c r="P83" s="95">
        <f t="shared" si="11"/>
        <v>1229.94</v>
      </c>
      <c r="Q83" s="95">
        <f t="shared" si="11"/>
        <v>1164.44</v>
      </c>
      <c r="R83" s="95">
        <f t="shared" si="11"/>
        <v>1108.74</v>
      </c>
      <c r="S83" s="95">
        <f t="shared" si="11"/>
        <v>1139.1399999999999</v>
      </c>
      <c r="T83" s="95">
        <f t="shared" si="11"/>
        <v>1127.1399999999999</v>
      </c>
      <c r="U83" s="95">
        <f t="shared" si="11"/>
        <v>1064.6399999999999</v>
      </c>
      <c r="V83" s="95">
        <f t="shared" si="11"/>
        <v>1023.84</v>
      </c>
      <c r="W83" s="95">
        <f t="shared" si="11"/>
        <v>1125.54</v>
      </c>
      <c r="X83" s="95">
        <f t="shared" si="11"/>
        <v>1264.3399999999999</v>
      </c>
      <c r="Y83" s="95">
        <v>1345.44</v>
      </c>
      <c r="Z83" s="95">
        <f t="shared" si="11"/>
        <v>1308.6399999999999</v>
      </c>
      <c r="AA83" s="95">
        <f t="shared" si="11"/>
        <v>1368.84</v>
      </c>
      <c r="AB83" s="95">
        <f t="shared" si="11"/>
        <v>1356.8400000000001</v>
      </c>
      <c r="AC83" s="95">
        <f t="shared" si="11"/>
        <v>1353.74</v>
      </c>
      <c r="AD83" s="95">
        <f t="shared" si="11"/>
        <v>1293.8399999999999</v>
      </c>
      <c r="AE83" s="95">
        <f t="shared" si="11"/>
        <v>1114.04</v>
      </c>
      <c r="AF83" s="95">
        <f t="shared" si="11"/>
        <v>1051.94</v>
      </c>
      <c r="AG83" s="61">
        <f t="shared" si="11"/>
        <v>2004.1900000000003</v>
      </c>
      <c r="AH83" s="47">
        <f>MAX(B83:AF83)</f>
        <v>1398.44</v>
      </c>
      <c r="AI83" s="48">
        <f>MIN(B83:AF83)</f>
        <v>1010.94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>
        <v>140</v>
      </c>
      <c r="Y84" s="97">
        <v>140</v>
      </c>
      <c r="Z84" s="97">
        <v>110</v>
      </c>
      <c r="AA84" s="97">
        <v>100</v>
      </c>
      <c r="AB84" s="97"/>
      <c r="AC84" s="97"/>
      <c r="AD84" s="97"/>
      <c r="AE84" s="97"/>
      <c r="AF84" s="97"/>
      <c r="AG84" s="88"/>
      <c r="AH84" s="47">
        <f t="shared" si="8"/>
        <v>140</v>
      </c>
      <c r="AI84" s="48">
        <f t="shared" si="9"/>
        <v>100</v>
      </c>
    </row>
    <row r="85" spans="1:37" ht="15.75" thickBot="1" x14ac:dyDescent="0.3">
      <c r="A85" s="74" t="s">
        <v>96</v>
      </c>
      <c r="B85" s="95">
        <f>B83+B84</f>
        <v>1106.04</v>
      </c>
      <c r="C85" s="95">
        <f t="shared" ref="C85:AF85" si="12">C83+C84</f>
        <v>1063.3400000000001</v>
      </c>
      <c r="D85" s="95">
        <f t="shared" si="12"/>
        <v>1031.6400000000001</v>
      </c>
      <c r="E85" s="95">
        <f t="shared" si="12"/>
        <v>1010.94</v>
      </c>
      <c r="F85" s="95">
        <f t="shared" si="12"/>
        <v>1017.24</v>
      </c>
      <c r="G85" s="95">
        <f t="shared" si="12"/>
        <v>1039.24</v>
      </c>
      <c r="H85" s="95">
        <f t="shared" si="12"/>
        <v>1111.54</v>
      </c>
      <c r="I85" s="95">
        <f t="shared" si="12"/>
        <v>1134.3399999999999</v>
      </c>
      <c r="J85" s="95">
        <f t="shared" si="12"/>
        <v>1207.54</v>
      </c>
      <c r="K85" s="95">
        <f t="shared" si="12"/>
        <v>1228.1399999999999</v>
      </c>
      <c r="L85" s="95">
        <f t="shared" si="12"/>
        <v>1278.6400000000001</v>
      </c>
      <c r="M85" s="95">
        <f t="shared" si="12"/>
        <v>1303.8400000000001</v>
      </c>
      <c r="N85" s="95">
        <f t="shared" si="12"/>
        <v>1398.44</v>
      </c>
      <c r="O85" s="95">
        <f t="shared" si="12"/>
        <v>1323.34</v>
      </c>
      <c r="P85" s="95">
        <f t="shared" si="12"/>
        <v>1229.94</v>
      </c>
      <c r="Q85" s="95">
        <f t="shared" si="12"/>
        <v>1164.44</v>
      </c>
      <c r="R85" s="95">
        <f t="shared" si="12"/>
        <v>1108.74</v>
      </c>
      <c r="S85" s="95">
        <f t="shared" si="12"/>
        <v>1139.1399999999999</v>
      </c>
      <c r="T85" s="95">
        <f t="shared" si="12"/>
        <v>1127.1399999999999</v>
      </c>
      <c r="U85" s="95">
        <f t="shared" si="12"/>
        <v>1064.6399999999999</v>
      </c>
      <c r="V85" s="95">
        <f t="shared" si="12"/>
        <v>1023.84</v>
      </c>
      <c r="W85" s="95">
        <f t="shared" si="12"/>
        <v>1125.54</v>
      </c>
      <c r="X85" s="95">
        <f t="shared" si="12"/>
        <v>1404.34</v>
      </c>
      <c r="Y85" s="95">
        <v>1485.44</v>
      </c>
      <c r="Z85" s="95">
        <f t="shared" si="12"/>
        <v>1418.6399999999999</v>
      </c>
      <c r="AA85" s="95">
        <f t="shared" si="12"/>
        <v>1468.84</v>
      </c>
      <c r="AB85" s="95">
        <f t="shared" si="12"/>
        <v>1356.8400000000001</v>
      </c>
      <c r="AC85" s="95">
        <f t="shared" si="12"/>
        <v>1353.74</v>
      </c>
      <c r="AD85" s="95">
        <f t="shared" si="12"/>
        <v>1293.8399999999999</v>
      </c>
      <c r="AE85" s="95">
        <f t="shared" si="12"/>
        <v>1114.04</v>
      </c>
      <c r="AF85" s="95">
        <f t="shared" si="12"/>
        <v>1051.94</v>
      </c>
      <c r="AG85" s="88">
        <f>AG82+AG78+AG66+AG62+AG44+AG84</f>
        <v>1466.0900000000001</v>
      </c>
      <c r="AH85" s="47">
        <f t="shared" si="8"/>
        <v>1485.44</v>
      </c>
      <c r="AI85" s="48">
        <f t="shared" si="9"/>
        <v>1010.94</v>
      </c>
    </row>
    <row r="86" spans="1:37" ht="15.75" thickBot="1" x14ac:dyDescent="0.3">
      <c r="A86" s="74" t="s">
        <v>97</v>
      </c>
      <c r="B86" s="95">
        <f t="shared" ref="B86:AF86" si="13">B85-B93</f>
        <v>1106.04</v>
      </c>
      <c r="C86" s="95">
        <f t="shared" si="13"/>
        <v>1063.3400000000001</v>
      </c>
      <c r="D86" s="95">
        <f t="shared" si="13"/>
        <v>1031.6400000000001</v>
      </c>
      <c r="E86" s="95">
        <f t="shared" si="13"/>
        <v>1010.94</v>
      </c>
      <c r="F86" s="95">
        <f t="shared" si="13"/>
        <v>1017.24</v>
      </c>
      <c r="G86" s="95">
        <f t="shared" si="13"/>
        <v>1039.24</v>
      </c>
      <c r="H86" s="95">
        <f t="shared" si="13"/>
        <v>1111.54</v>
      </c>
      <c r="I86" s="95">
        <f t="shared" si="13"/>
        <v>1134.3399999999999</v>
      </c>
      <c r="J86" s="95">
        <f t="shared" si="13"/>
        <v>1207.54</v>
      </c>
      <c r="K86" s="95">
        <f t="shared" si="13"/>
        <v>1228.1399999999999</v>
      </c>
      <c r="L86" s="95">
        <f t="shared" si="13"/>
        <v>1278.6400000000001</v>
      </c>
      <c r="M86" s="95">
        <f t="shared" si="13"/>
        <v>1303.8400000000001</v>
      </c>
      <c r="N86" s="95">
        <f t="shared" si="13"/>
        <v>1398.44</v>
      </c>
      <c r="O86" s="95">
        <f t="shared" si="13"/>
        <v>1323.34</v>
      </c>
      <c r="P86" s="95">
        <f t="shared" si="13"/>
        <v>1229.94</v>
      </c>
      <c r="Q86" s="95">
        <f t="shared" si="13"/>
        <v>1164.44</v>
      </c>
      <c r="R86" s="95">
        <f t="shared" si="13"/>
        <v>1108.74</v>
      </c>
      <c r="S86" s="95">
        <f t="shared" si="13"/>
        <v>1139.1399999999999</v>
      </c>
      <c r="T86" s="95">
        <f t="shared" si="13"/>
        <v>1127.1399999999999</v>
      </c>
      <c r="U86" s="95">
        <f t="shared" si="13"/>
        <v>1064.6399999999999</v>
      </c>
      <c r="V86" s="95">
        <f t="shared" si="13"/>
        <v>1023.84</v>
      </c>
      <c r="W86" s="95">
        <f t="shared" si="13"/>
        <v>1125.54</v>
      </c>
      <c r="X86" s="95">
        <f t="shared" si="13"/>
        <v>1404.34</v>
      </c>
      <c r="Y86" s="95">
        <v>1485.44</v>
      </c>
      <c r="Z86" s="95">
        <f t="shared" si="13"/>
        <v>1418.6399999999999</v>
      </c>
      <c r="AA86" s="95">
        <f t="shared" si="13"/>
        <v>1468.84</v>
      </c>
      <c r="AB86" s="95">
        <f t="shared" si="13"/>
        <v>1356.8400000000001</v>
      </c>
      <c r="AC86" s="95">
        <f t="shared" si="13"/>
        <v>1353.74</v>
      </c>
      <c r="AD86" s="95">
        <f t="shared" si="13"/>
        <v>1293.8399999999999</v>
      </c>
      <c r="AE86" s="95">
        <f t="shared" si="13"/>
        <v>1114.04</v>
      </c>
      <c r="AF86" s="95">
        <f t="shared" si="13"/>
        <v>1051.94</v>
      </c>
      <c r="AG86" s="88"/>
      <c r="AH86" s="47">
        <f t="shared" si="8"/>
        <v>1485.44</v>
      </c>
      <c r="AI86" s="48">
        <f t="shared" si="9"/>
        <v>1010.94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8"/>
        <v>0</v>
      </c>
      <c r="AI87" s="48">
        <f t="shared" si="9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8"/>
        <v>0</v>
      </c>
      <c r="AI88" s="48">
        <f t="shared" si="9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8"/>
        <v>0</v>
      </c>
      <c r="AI89" s="48">
        <f t="shared" si="9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8"/>
        <v>0</v>
      </c>
      <c r="AI90" s="48">
        <f t="shared" si="9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8"/>
        <v>0</v>
      </c>
      <c r="AI91" s="48">
        <f t="shared" si="9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8"/>
        <v>0</v>
      </c>
      <c r="AI92" s="48">
        <f t="shared" si="9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>
        <v>0</v>
      </c>
      <c r="Z93" s="60"/>
      <c r="AA93" s="60"/>
      <c r="AB93" s="60"/>
      <c r="AC93" s="60"/>
      <c r="AD93" s="60"/>
      <c r="AE93" s="60"/>
      <c r="AF93" s="60"/>
      <c r="AG93" s="88"/>
      <c r="AH93" s="47">
        <f t="shared" si="8"/>
        <v>0</v>
      </c>
      <c r="AI93" s="48">
        <f t="shared" si="9"/>
        <v>0</v>
      </c>
      <c r="AK93" s="49"/>
    </row>
    <row r="94" spans="1:37" ht="15.75" thickBot="1" x14ac:dyDescent="0.3">
      <c r="A94" s="74" t="s">
        <v>102</v>
      </c>
      <c r="B94" s="60">
        <f t="shared" ref="B94:AF94" si="14">B78-B93</f>
        <v>488.9</v>
      </c>
      <c r="C94" s="60">
        <f t="shared" si="14"/>
        <v>480.90000000000003</v>
      </c>
      <c r="D94" s="60">
        <f t="shared" si="14"/>
        <v>444.59999999999997</v>
      </c>
      <c r="E94" s="60">
        <f t="shared" si="14"/>
        <v>441.3</v>
      </c>
      <c r="F94" s="60">
        <f t="shared" si="14"/>
        <v>452.6</v>
      </c>
      <c r="G94" s="60">
        <f t="shared" si="14"/>
        <v>463.09999999999997</v>
      </c>
      <c r="H94" s="60">
        <f t="shared" si="14"/>
        <v>470.6</v>
      </c>
      <c r="I94" s="60">
        <f t="shared" si="14"/>
        <v>465.2</v>
      </c>
      <c r="J94" s="60">
        <f t="shared" si="14"/>
        <v>472.59999999999997</v>
      </c>
      <c r="K94" s="60">
        <f t="shared" si="14"/>
        <v>412.9</v>
      </c>
      <c r="L94" s="60">
        <f t="shared" si="14"/>
        <v>423.7</v>
      </c>
      <c r="M94" s="60">
        <f t="shared" si="14"/>
        <v>427.7</v>
      </c>
      <c r="N94" s="60">
        <f t="shared" si="14"/>
        <v>433.6</v>
      </c>
      <c r="O94" s="60">
        <f t="shared" si="14"/>
        <v>478.8</v>
      </c>
      <c r="P94" s="60">
        <f t="shared" si="14"/>
        <v>449</v>
      </c>
      <c r="Q94" s="60">
        <f t="shared" si="14"/>
        <v>377.7</v>
      </c>
      <c r="R94" s="60">
        <f t="shared" si="14"/>
        <v>369.5</v>
      </c>
      <c r="S94" s="60">
        <f t="shared" si="14"/>
        <v>389.1</v>
      </c>
      <c r="T94" s="60">
        <f t="shared" si="14"/>
        <v>446.5</v>
      </c>
      <c r="U94" s="60">
        <f t="shared" si="14"/>
        <v>454.3</v>
      </c>
      <c r="V94" s="60">
        <f t="shared" si="14"/>
        <v>422.1</v>
      </c>
      <c r="W94" s="60">
        <f t="shared" si="14"/>
        <v>446</v>
      </c>
      <c r="X94" s="60">
        <f t="shared" si="14"/>
        <v>479.2</v>
      </c>
      <c r="Y94" s="60">
        <v>284</v>
      </c>
      <c r="Z94" s="60">
        <f t="shared" si="14"/>
        <v>223.39999999999998</v>
      </c>
      <c r="AA94" s="60">
        <f t="shared" si="14"/>
        <v>238.79999999999998</v>
      </c>
      <c r="AB94" s="60">
        <f t="shared" si="14"/>
        <v>366.2</v>
      </c>
      <c r="AC94" s="60">
        <f t="shared" si="14"/>
        <v>462.79999999999995</v>
      </c>
      <c r="AD94" s="60">
        <f t="shared" si="14"/>
        <v>456.2</v>
      </c>
      <c r="AE94" s="60">
        <f t="shared" si="14"/>
        <v>417</v>
      </c>
      <c r="AF94" s="60">
        <f t="shared" si="14"/>
        <v>459</v>
      </c>
      <c r="AG94" s="88"/>
      <c r="AH94" s="47">
        <f t="shared" si="8"/>
        <v>488.9</v>
      </c>
      <c r="AI94" s="48">
        <f t="shared" si="9"/>
        <v>223.39999999999998</v>
      </c>
    </row>
    <row r="95" spans="1:37" x14ac:dyDescent="0.25">
      <c r="A95" s="100" t="s">
        <v>103</v>
      </c>
      <c r="B95" s="101">
        <v>50.058999999999997</v>
      </c>
      <c r="C95" s="101">
        <v>49.923000000000002</v>
      </c>
      <c r="D95" s="101">
        <v>49.920999999999999</v>
      </c>
      <c r="E95" s="101">
        <v>50.036000000000001</v>
      </c>
      <c r="F95" s="101">
        <v>49.973999999999997</v>
      </c>
      <c r="G95" s="101">
        <v>50.076999999999998</v>
      </c>
      <c r="H95" s="101">
        <v>50.191000000000003</v>
      </c>
      <c r="I95" s="101">
        <v>50.029000000000003</v>
      </c>
      <c r="J95" s="101">
        <v>50.055</v>
      </c>
      <c r="K95" s="101">
        <v>50.155000000000001</v>
      </c>
      <c r="L95" s="101">
        <v>50.073</v>
      </c>
      <c r="M95" s="101">
        <v>50.063400000000001</v>
      </c>
      <c r="N95" s="101">
        <v>49.912999999999997</v>
      </c>
      <c r="O95" s="101">
        <v>49.902000000000001</v>
      </c>
      <c r="P95" s="101">
        <v>50.073999999999998</v>
      </c>
      <c r="Q95" s="101">
        <v>50.07</v>
      </c>
      <c r="R95" s="101">
        <v>49.912999999999997</v>
      </c>
      <c r="S95" s="101">
        <v>50.05</v>
      </c>
      <c r="T95" s="101">
        <v>50.05</v>
      </c>
      <c r="U95" s="101">
        <v>49.85</v>
      </c>
      <c r="V95" s="101">
        <v>49.96</v>
      </c>
      <c r="W95" s="101">
        <v>49.84</v>
      </c>
      <c r="X95" s="101">
        <v>49.93</v>
      </c>
      <c r="Y95" s="101">
        <v>50</v>
      </c>
      <c r="Z95" s="101">
        <v>50.03</v>
      </c>
      <c r="AA95" s="101">
        <v>49.91</v>
      </c>
      <c r="AB95" s="101">
        <v>50.078000000000003</v>
      </c>
      <c r="AC95" s="101">
        <v>50.091999999999999</v>
      </c>
      <c r="AD95" s="101">
        <v>50.02</v>
      </c>
      <c r="AE95" s="101">
        <v>49.883000000000003</v>
      </c>
      <c r="AF95" s="101">
        <v>49.914000000000001</v>
      </c>
      <c r="AG95" s="102"/>
      <c r="AH95" s="47">
        <f t="shared" si="8"/>
        <v>50.191000000000003</v>
      </c>
      <c r="AI95" s="48">
        <f t="shared" si="9"/>
        <v>49.84</v>
      </c>
    </row>
    <row r="96" spans="1:37" x14ac:dyDescent="0.25">
      <c r="A96" s="103" t="s">
        <v>104</v>
      </c>
      <c r="B96" s="65">
        <v>127.5</v>
      </c>
      <c r="C96" s="65">
        <v>128.1</v>
      </c>
      <c r="D96" s="65">
        <v>128.1</v>
      </c>
      <c r="E96" s="65">
        <v>126.85</v>
      </c>
      <c r="F96" s="65">
        <v>126.85</v>
      </c>
      <c r="G96" s="65">
        <v>127.8</v>
      </c>
      <c r="H96" s="65">
        <v>127.8</v>
      </c>
      <c r="I96" s="65">
        <v>127.8</v>
      </c>
      <c r="J96" s="65">
        <v>127.8</v>
      </c>
      <c r="K96" s="65">
        <v>128.5</v>
      </c>
      <c r="L96" s="65">
        <v>128.5</v>
      </c>
      <c r="M96" s="65">
        <v>127</v>
      </c>
      <c r="N96" s="65">
        <v>127.2</v>
      </c>
      <c r="O96" s="65">
        <v>126.1</v>
      </c>
      <c r="P96" s="65">
        <v>125.8</v>
      </c>
      <c r="Q96" s="65">
        <v>125.3</v>
      </c>
      <c r="R96" s="65">
        <v>127.1</v>
      </c>
      <c r="S96" s="65">
        <v>125.3</v>
      </c>
      <c r="T96" s="65">
        <v>127.2</v>
      </c>
      <c r="U96" s="65">
        <v>126.9</v>
      </c>
      <c r="V96" s="65">
        <v>129.4</v>
      </c>
      <c r="W96" s="65">
        <v>128.5</v>
      </c>
      <c r="X96" s="65">
        <v>127.1</v>
      </c>
      <c r="Y96" s="65">
        <v>126</v>
      </c>
      <c r="Z96" s="65">
        <v>126.2</v>
      </c>
      <c r="AA96" s="65">
        <v>126.3</v>
      </c>
      <c r="AB96" s="65">
        <v>127.6</v>
      </c>
      <c r="AC96" s="65">
        <v>126.7</v>
      </c>
      <c r="AD96" s="65">
        <v>127.4</v>
      </c>
      <c r="AE96" s="65">
        <v>127.7</v>
      </c>
      <c r="AF96" s="65">
        <v>128.30000000000001</v>
      </c>
      <c r="AG96" s="104"/>
      <c r="AH96" s="47">
        <f t="shared" si="8"/>
        <v>129.4</v>
      </c>
      <c r="AI96" s="48">
        <f t="shared" si="9"/>
        <v>125.3</v>
      </c>
    </row>
    <row r="97" spans="1:35" x14ac:dyDescent="0.25">
      <c r="A97" s="103" t="s">
        <v>105</v>
      </c>
      <c r="B97" s="65">
        <v>131.4</v>
      </c>
      <c r="C97" s="65">
        <v>132.1</v>
      </c>
      <c r="D97" s="65">
        <v>132.1</v>
      </c>
      <c r="E97" s="65">
        <v>131</v>
      </c>
      <c r="F97" s="65">
        <v>131</v>
      </c>
      <c r="G97" s="65">
        <v>131.69999999999999</v>
      </c>
      <c r="H97" s="65">
        <v>131.69999999999999</v>
      </c>
      <c r="I97" s="65">
        <v>131.69999999999999</v>
      </c>
      <c r="J97" s="65">
        <v>131.69999999999999</v>
      </c>
      <c r="K97" s="65">
        <v>131</v>
      </c>
      <c r="L97" s="65">
        <v>131</v>
      </c>
      <c r="M97" s="65">
        <v>129.6</v>
      </c>
      <c r="N97" s="65">
        <v>129.1</v>
      </c>
      <c r="O97" s="65">
        <v>128.69999999999999</v>
      </c>
      <c r="P97" s="65">
        <v>129</v>
      </c>
      <c r="Q97" s="65">
        <v>129</v>
      </c>
      <c r="R97" s="65">
        <v>130.1</v>
      </c>
      <c r="S97" s="65">
        <v>129.19999999999999</v>
      </c>
      <c r="T97" s="65">
        <v>130.6</v>
      </c>
      <c r="U97" s="65">
        <v>130.19999999999999</v>
      </c>
      <c r="V97" s="65">
        <v>131.80000000000001</v>
      </c>
      <c r="W97" s="65">
        <v>130.69999999999999</v>
      </c>
      <c r="X97" s="65">
        <v>129.5</v>
      </c>
      <c r="Y97" s="65">
        <v>128.19999999999999</v>
      </c>
      <c r="Z97" s="65">
        <v>128.69999999999999</v>
      </c>
      <c r="AA97" s="65">
        <v>128.6</v>
      </c>
      <c r="AB97" s="65">
        <v>129.9</v>
      </c>
      <c r="AC97" s="65">
        <v>129.30000000000001</v>
      </c>
      <c r="AD97" s="65">
        <v>130.4</v>
      </c>
      <c r="AE97" s="65">
        <v>131.1</v>
      </c>
      <c r="AF97" s="65">
        <v>131</v>
      </c>
      <c r="AG97" s="104"/>
      <c r="AH97" s="47">
        <f t="shared" si="8"/>
        <v>132.1</v>
      </c>
      <c r="AI97" s="48">
        <f t="shared" si="9"/>
        <v>128.19999999999999</v>
      </c>
    </row>
    <row r="98" spans="1:35" x14ac:dyDescent="0.25">
      <c r="A98" s="103" t="s">
        <v>106</v>
      </c>
      <c r="B98" s="65">
        <v>129.5</v>
      </c>
      <c r="C98" s="65">
        <v>132</v>
      </c>
      <c r="D98" s="65">
        <v>132</v>
      </c>
      <c r="E98" s="65">
        <v>132</v>
      </c>
      <c r="F98" s="65">
        <v>132</v>
      </c>
      <c r="G98" s="65">
        <v>130</v>
      </c>
      <c r="H98" s="65">
        <v>130</v>
      </c>
      <c r="I98" s="65">
        <v>130</v>
      </c>
      <c r="J98" s="65">
        <v>130</v>
      </c>
      <c r="K98" s="65">
        <v>130</v>
      </c>
      <c r="L98" s="65">
        <v>130</v>
      </c>
      <c r="M98" s="65">
        <v>126.4</v>
      </c>
      <c r="N98" s="65">
        <v>125.9</v>
      </c>
      <c r="O98" s="65">
        <v>126</v>
      </c>
      <c r="P98" s="65">
        <v>129.6</v>
      </c>
      <c r="Q98" s="65">
        <v>131.9</v>
      </c>
      <c r="R98" s="65">
        <v>132.1</v>
      </c>
      <c r="S98" s="65">
        <v>130.4</v>
      </c>
      <c r="T98" s="65">
        <v>132.30000000000001</v>
      </c>
      <c r="U98" s="65">
        <v>131.30000000000001</v>
      </c>
      <c r="V98" s="65">
        <v>130.30000000000001</v>
      </c>
      <c r="W98" s="65">
        <v>129.1</v>
      </c>
      <c r="X98" s="65">
        <v>128.80000000000001</v>
      </c>
      <c r="Y98" s="65">
        <v>128.19999999999999</v>
      </c>
      <c r="Z98" s="65">
        <v>130.5</v>
      </c>
      <c r="AA98" s="65">
        <v>127.2</v>
      </c>
      <c r="AB98" s="65">
        <v>129.19999999999999</v>
      </c>
      <c r="AC98" s="65">
        <v>128.69999999999999</v>
      </c>
      <c r="AD98" s="65">
        <v>129.69999999999999</v>
      </c>
      <c r="AE98" s="65">
        <v>128.69999999999999</v>
      </c>
      <c r="AF98" s="65">
        <v>127.1</v>
      </c>
      <c r="AG98" s="104"/>
      <c r="AH98" s="47">
        <f t="shared" si="8"/>
        <v>132.30000000000001</v>
      </c>
      <c r="AI98" s="48">
        <f t="shared" si="9"/>
        <v>125.9</v>
      </c>
    </row>
    <row r="99" spans="1:35" x14ac:dyDescent="0.25">
      <c r="A99" s="105" t="s">
        <v>107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104"/>
      <c r="AH99" s="47">
        <f t="shared" si="8"/>
        <v>0</v>
      </c>
      <c r="AI99" s="48">
        <f t="shared" si="9"/>
        <v>0</v>
      </c>
    </row>
    <row r="100" spans="1:35" x14ac:dyDescent="0.25">
      <c r="A100" s="105" t="s">
        <v>108</v>
      </c>
      <c r="B100" s="106">
        <v>132.6</v>
      </c>
      <c r="C100" s="106">
        <v>132.6</v>
      </c>
      <c r="D100" s="106">
        <v>132.6</v>
      </c>
      <c r="E100" s="106">
        <v>131.74</v>
      </c>
      <c r="F100" s="106">
        <v>131.74</v>
      </c>
      <c r="G100" s="106">
        <v>132</v>
      </c>
      <c r="H100" s="106">
        <v>132</v>
      </c>
      <c r="I100" s="106">
        <v>132</v>
      </c>
      <c r="J100" s="106">
        <v>132</v>
      </c>
      <c r="K100" s="106">
        <v>134</v>
      </c>
      <c r="L100" s="106">
        <v>134</v>
      </c>
      <c r="M100" s="106">
        <v>136</v>
      </c>
      <c r="N100" s="106">
        <v>135.5</v>
      </c>
      <c r="O100" s="106">
        <v>135.69999999999999</v>
      </c>
      <c r="P100" s="106">
        <v>133</v>
      </c>
      <c r="Q100" s="106">
        <v>131.69999999999999</v>
      </c>
      <c r="R100" s="106">
        <v>132.19999999999999</v>
      </c>
      <c r="S100" s="106">
        <v>132.9</v>
      </c>
      <c r="T100" s="106">
        <v>135.69999999999999</v>
      </c>
      <c r="U100" s="106">
        <v>132.80000000000001</v>
      </c>
      <c r="V100" s="106">
        <v>135</v>
      </c>
      <c r="W100" s="106">
        <v>133.4</v>
      </c>
      <c r="X100" s="106">
        <v>133.6</v>
      </c>
      <c r="Y100" s="106">
        <v>135</v>
      </c>
      <c r="Z100" s="106">
        <v>135.19999999999999</v>
      </c>
      <c r="AA100" s="106">
        <v>135.5</v>
      </c>
      <c r="AB100" s="106">
        <v>134.69999999999999</v>
      </c>
      <c r="AC100" s="106">
        <v>134.1</v>
      </c>
      <c r="AD100" s="106">
        <v>133.69999999999999</v>
      </c>
      <c r="AE100" s="106">
        <v>133.19999999999999</v>
      </c>
      <c r="AF100" s="106">
        <v>134.5</v>
      </c>
      <c r="AG100" s="107"/>
      <c r="AH100" s="47">
        <f t="shared" si="8"/>
        <v>136</v>
      </c>
      <c r="AI100" s="48">
        <f t="shared" si="9"/>
        <v>131.69999999999999</v>
      </c>
    </row>
    <row r="101" spans="1:35" x14ac:dyDescent="0.25">
      <c r="A101" s="103" t="s">
        <v>109</v>
      </c>
      <c r="B101" s="65">
        <v>131.69999999999999</v>
      </c>
      <c r="C101" s="65">
        <v>132.80000000000001</v>
      </c>
      <c r="D101" s="65">
        <v>132.80000000000001</v>
      </c>
      <c r="E101" s="65">
        <v>136</v>
      </c>
      <c r="F101" s="65">
        <v>136</v>
      </c>
      <c r="G101" s="65">
        <v>135</v>
      </c>
      <c r="H101" s="65">
        <v>135</v>
      </c>
      <c r="I101" s="65">
        <v>135</v>
      </c>
      <c r="J101" s="65">
        <v>135</v>
      </c>
      <c r="K101" s="65">
        <v>131</v>
      </c>
      <c r="L101" s="65">
        <v>131</v>
      </c>
      <c r="M101" s="65">
        <v>125.4</v>
      </c>
      <c r="N101" s="65">
        <v>126.6</v>
      </c>
      <c r="O101" s="65">
        <v>130.19999999999999</v>
      </c>
      <c r="P101" s="65">
        <v>137.69999999999999</v>
      </c>
      <c r="Q101" s="65">
        <v>132.6</v>
      </c>
      <c r="R101" s="65">
        <v>138.30000000000001</v>
      </c>
      <c r="S101" s="65">
        <v>132.1</v>
      </c>
      <c r="T101" s="65">
        <v>131.9</v>
      </c>
      <c r="U101" s="65">
        <v>133.4</v>
      </c>
      <c r="V101" s="65">
        <v>132.19999999999999</v>
      </c>
      <c r="W101" s="65">
        <v>132.5</v>
      </c>
      <c r="X101" s="65">
        <v>133.19999999999999</v>
      </c>
      <c r="Y101" s="65">
        <v>132.30000000000001</v>
      </c>
      <c r="Z101" s="65">
        <v>131.5</v>
      </c>
      <c r="AA101" s="65">
        <v>131.5</v>
      </c>
      <c r="AB101" s="65">
        <v>133.30000000000001</v>
      </c>
      <c r="AC101" s="65">
        <v>133</v>
      </c>
      <c r="AD101" s="65">
        <v>133.4</v>
      </c>
      <c r="AE101" s="65">
        <v>130.4</v>
      </c>
      <c r="AF101" s="65">
        <v>136.30000000000001</v>
      </c>
      <c r="AG101" s="104"/>
      <c r="AH101" s="47">
        <f t="shared" si="8"/>
        <v>138.30000000000001</v>
      </c>
      <c r="AI101" s="48">
        <f t="shared" si="9"/>
        <v>125.4</v>
      </c>
    </row>
    <row r="102" spans="1:35" ht="15.75" thickBot="1" x14ac:dyDescent="0.3">
      <c r="A102" s="103" t="s">
        <v>110</v>
      </c>
      <c r="B102" s="92">
        <v>66.099999999999994</v>
      </c>
      <c r="C102" s="92">
        <v>66.2</v>
      </c>
      <c r="D102" s="92">
        <v>66.2</v>
      </c>
      <c r="E102" s="92">
        <v>66</v>
      </c>
      <c r="F102" s="92">
        <v>66</v>
      </c>
      <c r="G102" s="92">
        <v>66</v>
      </c>
      <c r="H102" s="92">
        <v>66</v>
      </c>
      <c r="I102" s="92">
        <v>66</v>
      </c>
      <c r="J102" s="92">
        <v>66</v>
      </c>
      <c r="K102" s="92">
        <v>65.7</v>
      </c>
      <c r="L102" s="92">
        <v>65.7</v>
      </c>
      <c r="M102" s="92">
        <v>64.900000000000006</v>
      </c>
      <c r="N102" s="92">
        <v>64.599999999999994</v>
      </c>
      <c r="O102" s="92">
        <v>64.3</v>
      </c>
      <c r="P102" s="92">
        <v>64.7</v>
      </c>
      <c r="Q102" s="92">
        <v>65</v>
      </c>
      <c r="R102" s="92">
        <v>65.5</v>
      </c>
      <c r="S102" s="92">
        <v>64.900000000000006</v>
      </c>
      <c r="T102" s="92">
        <v>65.7</v>
      </c>
      <c r="U102" s="92">
        <v>65.400000000000006</v>
      </c>
      <c r="V102" s="92">
        <v>66.2</v>
      </c>
      <c r="W102" s="92">
        <v>65.400000000000006</v>
      </c>
      <c r="X102" s="92">
        <v>65.2</v>
      </c>
      <c r="Y102" s="92">
        <v>64.3</v>
      </c>
      <c r="Z102" s="92">
        <v>64.7</v>
      </c>
      <c r="AA102" s="92">
        <v>64.5</v>
      </c>
      <c r="AB102" s="92">
        <v>65.3</v>
      </c>
      <c r="AC102" s="92">
        <v>65</v>
      </c>
      <c r="AD102" s="92">
        <v>65.7</v>
      </c>
      <c r="AE102" s="92">
        <v>65.8</v>
      </c>
      <c r="AF102" s="92">
        <v>66.5</v>
      </c>
      <c r="AG102" s="108"/>
      <c r="AH102" s="47">
        <f t="shared" si="8"/>
        <v>66.5</v>
      </c>
      <c r="AI102" s="48">
        <f t="shared" si="9"/>
        <v>64.3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 t="s">
        <v>111</v>
      </c>
      <c r="Z103" s="92"/>
      <c r="AA103" s="92"/>
      <c r="AB103" s="92"/>
      <c r="AC103" s="92"/>
      <c r="AD103" s="92"/>
      <c r="AE103" s="92"/>
      <c r="AF103" s="92"/>
      <c r="AG103" s="108"/>
      <c r="AH103" s="47">
        <f t="shared" si="8"/>
        <v>0</v>
      </c>
      <c r="AI103" s="48">
        <f t="shared" si="9"/>
        <v>0</v>
      </c>
    </row>
    <row r="104" spans="1:35" ht="15.75" thickBot="1" x14ac:dyDescent="0.3">
      <c r="A104" s="110" t="s">
        <v>112</v>
      </c>
      <c r="B104" s="111">
        <f t="shared" ref="B104:AF104" si="15">SUM(B16,B22,B25:B26,B52,B54:B55,B57,B59,B105:B109,B131,B137,B143,B152,B154,B166,B173,B176:B177,B184,B186,B188,B192:B194,B196:B198,B203,B209:B210,B212:B214,B222,B227)</f>
        <v>154</v>
      </c>
      <c r="C104" s="111">
        <f t="shared" si="15"/>
        <v>137.94</v>
      </c>
      <c r="D104" s="111">
        <f t="shared" si="15"/>
        <v>137.94</v>
      </c>
      <c r="E104" s="111">
        <f t="shared" si="15"/>
        <v>128.33999999999997</v>
      </c>
      <c r="F104" s="111">
        <f t="shared" si="15"/>
        <v>134.23999999999998</v>
      </c>
      <c r="G104" s="111">
        <f t="shared" si="15"/>
        <v>152.13999999999999</v>
      </c>
      <c r="H104" s="111">
        <f t="shared" si="15"/>
        <v>180.54</v>
      </c>
      <c r="I104" s="111">
        <f t="shared" si="15"/>
        <v>205.94</v>
      </c>
      <c r="J104" s="111">
        <f t="shared" si="15"/>
        <v>238.14</v>
      </c>
      <c r="K104" s="111">
        <f t="shared" si="15"/>
        <v>286.94</v>
      </c>
      <c r="L104" s="111">
        <f t="shared" si="15"/>
        <v>325.54000000000002</v>
      </c>
      <c r="M104" s="111">
        <f t="shared" si="15"/>
        <v>353.84</v>
      </c>
      <c r="N104" s="111">
        <f t="shared" si="15"/>
        <v>348.74</v>
      </c>
      <c r="O104" s="111">
        <f t="shared" si="15"/>
        <v>327.84</v>
      </c>
      <c r="P104" s="111">
        <v>42</v>
      </c>
      <c r="Q104" s="111">
        <f t="shared" si="15"/>
        <v>252.29999999999998</v>
      </c>
      <c r="R104" s="111">
        <f t="shared" si="15"/>
        <v>243.20000000000002</v>
      </c>
      <c r="S104" s="111">
        <f t="shared" si="15"/>
        <v>233.1</v>
      </c>
      <c r="T104" s="111">
        <f t="shared" si="15"/>
        <v>240.2</v>
      </c>
      <c r="U104" s="111">
        <f t="shared" si="15"/>
        <v>230.99999999999997</v>
      </c>
      <c r="V104" s="111">
        <f t="shared" si="15"/>
        <v>251.5</v>
      </c>
      <c r="W104" s="111">
        <f t="shared" si="15"/>
        <v>292.50000000000006</v>
      </c>
      <c r="X104" s="111">
        <f t="shared" si="15"/>
        <v>341.59999999999997</v>
      </c>
      <c r="Y104" s="111">
        <v>439.59708333333333</v>
      </c>
      <c r="Z104" s="111">
        <f t="shared" si="15"/>
        <v>384.99999999999994</v>
      </c>
      <c r="AA104" s="111">
        <f t="shared" si="15"/>
        <v>376.70000000000005</v>
      </c>
      <c r="AB104" s="111">
        <f t="shared" si="15"/>
        <v>353.3</v>
      </c>
      <c r="AC104" s="111">
        <f t="shared" si="15"/>
        <v>344.8</v>
      </c>
      <c r="AD104" s="111">
        <f t="shared" si="15"/>
        <v>297.29999999999995</v>
      </c>
      <c r="AE104" s="111">
        <f t="shared" si="15"/>
        <v>223.1</v>
      </c>
      <c r="AF104" s="111">
        <f t="shared" si="15"/>
        <v>162</v>
      </c>
      <c r="AG104" s="112"/>
      <c r="AH104" s="47">
        <f t="shared" si="8"/>
        <v>439.59708333333333</v>
      </c>
      <c r="AI104" s="48">
        <f t="shared" si="9"/>
        <v>42</v>
      </c>
    </row>
    <row r="105" spans="1:35" x14ac:dyDescent="0.25">
      <c r="A105" s="100" t="s">
        <v>113</v>
      </c>
      <c r="B105" s="113">
        <v>-10</v>
      </c>
      <c r="C105" s="113">
        <v>-12</v>
      </c>
      <c r="D105" s="113">
        <v>-12</v>
      </c>
      <c r="E105" s="113">
        <v>-21.9</v>
      </c>
      <c r="F105" s="113">
        <v>-14</v>
      </c>
      <c r="G105" s="113">
        <v>-8.1</v>
      </c>
      <c r="H105" s="113">
        <v>0</v>
      </c>
      <c r="I105" s="113">
        <v>0</v>
      </c>
      <c r="J105" s="113">
        <v>7.5</v>
      </c>
      <c r="K105" s="113">
        <v>16.399999999999999</v>
      </c>
      <c r="L105" s="113">
        <v>24.6</v>
      </c>
      <c r="M105" s="113">
        <v>26.5</v>
      </c>
      <c r="N105" s="113">
        <v>41.1</v>
      </c>
      <c r="O105" s="113">
        <v>37.4</v>
      </c>
      <c r="P105" s="113">
        <v>30.5</v>
      </c>
      <c r="Q105" s="113">
        <v>23.9</v>
      </c>
      <c r="R105" s="113">
        <v>9.6</v>
      </c>
      <c r="S105" s="113">
        <v>9.5</v>
      </c>
      <c r="T105" s="113">
        <v>8.1</v>
      </c>
      <c r="U105" s="113">
        <v>4.0999999999999996</v>
      </c>
      <c r="V105" s="113">
        <v>5.2</v>
      </c>
      <c r="W105" s="113">
        <v>22</v>
      </c>
      <c r="X105" s="113">
        <v>34.4</v>
      </c>
      <c r="Y105" s="113">
        <v>32.799999999999997</v>
      </c>
      <c r="Z105" s="113">
        <v>42.8</v>
      </c>
      <c r="AA105" s="113">
        <v>46.4</v>
      </c>
      <c r="AB105" s="113">
        <v>46.4</v>
      </c>
      <c r="AC105" s="113">
        <v>43.9</v>
      </c>
      <c r="AD105" s="113">
        <v>31.9</v>
      </c>
      <c r="AE105" s="113">
        <v>13.9</v>
      </c>
      <c r="AF105" s="113">
        <v>-11.1</v>
      </c>
      <c r="AG105" s="114">
        <v>75</v>
      </c>
      <c r="AH105" s="47">
        <f t="shared" si="8"/>
        <v>46.4</v>
      </c>
      <c r="AI105" s="48">
        <f t="shared" si="9"/>
        <v>-21.9</v>
      </c>
    </row>
    <row r="106" spans="1:35" x14ac:dyDescent="0.25">
      <c r="A106" s="103" t="s">
        <v>114</v>
      </c>
      <c r="B106" s="115">
        <v>-10</v>
      </c>
      <c r="C106" s="115">
        <v>-12</v>
      </c>
      <c r="D106" s="115">
        <v>-12</v>
      </c>
      <c r="E106" s="115">
        <v>-25.2</v>
      </c>
      <c r="F106" s="115">
        <v>-13.5</v>
      </c>
      <c r="G106" s="115">
        <v>-6.1</v>
      </c>
      <c r="H106" s="115">
        <v>4.0999999999999996</v>
      </c>
      <c r="I106" s="115">
        <v>2.2000000000000002</v>
      </c>
      <c r="J106" s="115">
        <v>14.2</v>
      </c>
      <c r="K106" s="115">
        <v>21.7</v>
      </c>
      <c r="L106" s="115">
        <v>29.6</v>
      </c>
      <c r="M106" s="115">
        <v>32.1</v>
      </c>
      <c r="N106" s="115">
        <v>60.3</v>
      </c>
      <c r="O106" s="115">
        <v>56</v>
      </c>
      <c r="P106" s="115">
        <v>47</v>
      </c>
      <c r="Q106" s="115">
        <v>37.299999999999997</v>
      </c>
      <c r="R106" s="115">
        <v>16.399999999999999</v>
      </c>
      <c r="S106" s="115">
        <v>16.399999999999999</v>
      </c>
      <c r="T106" s="115">
        <v>13.8</v>
      </c>
      <c r="U106" s="115">
        <v>8.6</v>
      </c>
      <c r="V106" s="115">
        <v>6.6</v>
      </c>
      <c r="W106" s="115">
        <v>26.4</v>
      </c>
      <c r="X106" s="115">
        <v>43.7</v>
      </c>
      <c r="Y106" s="115">
        <v>40.5</v>
      </c>
      <c r="Z106" s="115">
        <v>55.8</v>
      </c>
      <c r="AA106" s="115">
        <v>61</v>
      </c>
      <c r="AB106" s="115">
        <v>58.8</v>
      </c>
      <c r="AC106" s="115">
        <v>59.9</v>
      </c>
      <c r="AD106" s="115">
        <v>43.1</v>
      </c>
      <c r="AE106" s="115">
        <v>18.8</v>
      </c>
      <c r="AF106" s="115">
        <v>-13.4</v>
      </c>
      <c r="AG106" s="114">
        <v>240</v>
      </c>
      <c r="AH106" s="47">
        <f t="shared" si="8"/>
        <v>61</v>
      </c>
      <c r="AI106" s="48">
        <f t="shared" si="9"/>
        <v>-25.2</v>
      </c>
    </row>
    <row r="107" spans="1:35" x14ac:dyDescent="0.25">
      <c r="A107" s="103" t="s">
        <v>115</v>
      </c>
      <c r="B107" s="115">
        <v>-32</v>
      </c>
      <c r="C107" s="115">
        <v>-40</v>
      </c>
      <c r="D107" s="115">
        <v>-40</v>
      </c>
      <c r="E107" s="115">
        <v>-30.9</v>
      </c>
      <c r="F107" s="115">
        <v>-35.9</v>
      </c>
      <c r="G107" s="115">
        <v>-36</v>
      </c>
      <c r="H107" s="115">
        <v>-30</v>
      </c>
      <c r="I107" s="115">
        <v>-12</v>
      </c>
      <c r="J107" s="115">
        <v>-10.199999999999999</v>
      </c>
      <c r="K107" s="115">
        <v>11</v>
      </c>
      <c r="L107" s="115">
        <v>31</v>
      </c>
      <c r="M107" s="115">
        <v>41.9</v>
      </c>
      <c r="N107" s="115">
        <v>3</v>
      </c>
      <c r="O107" s="115">
        <v>8.1</v>
      </c>
      <c r="P107" s="115">
        <v>10.8</v>
      </c>
      <c r="Q107" s="115">
        <v>-21</v>
      </c>
      <c r="R107" s="115">
        <v>-9.4</v>
      </c>
      <c r="S107" s="115">
        <f>-9.8-9.6</f>
        <v>-19.399999999999999</v>
      </c>
      <c r="T107" s="115">
        <f>-3.3-3.5</f>
        <v>-6.8</v>
      </c>
      <c r="U107" s="115">
        <f>-2.5-2.5</f>
        <v>-5</v>
      </c>
      <c r="V107" s="115">
        <v>14.3</v>
      </c>
      <c r="W107" s="115">
        <f>10+10.9</f>
        <v>20.9</v>
      </c>
      <c r="X107" s="115">
        <f>21.6+23</f>
        <v>44.6</v>
      </c>
      <c r="Y107" s="115">
        <v>65.5</v>
      </c>
      <c r="Z107" s="115">
        <f>23.3+24.9</f>
        <v>48.2</v>
      </c>
      <c r="AA107" s="115">
        <f>20.5+21.5</f>
        <v>42</v>
      </c>
      <c r="AB107" s="115">
        <v>34.5</v>
      </c>
      <c r="AC107" s="115">
        <f>16+17</f>
        <v>33</v>
      </c>
      <c r="AD107" s="115">
        <v>-2.4</v>
      </c>
      <c r="AE107" s="115">
        <v>-17</v>
      </c>
      <c r="AF107" s="115">
        <v>-18</v>
      </c>
      <c r="AG107" s="114">
        <v>240</v>
      </c>
      <c r="AH107" s="47">
        <f t="shared" si="8"/>
        <v>65.5</v>
      </c>
      <c r="AI107" s="48">
        <f t="shared" si="9"/>
        <v>-40</v>
      </c>
    </row>
    <row r="108" spans="1:35" x14ac:dyDescent="0.25">
      <c r="A108" s="103" t="s">
        <v>116</v>
      </c>
      <c r="B108" s="115">
        <v>-2</v>
      </c>
      <c r="C108" s="115">
        <v>-2</v>
      </c>
      <c r="D108" s="115">
        <v>-2</v>
      </c>
      <c r="E108" s="115">
        <v>-4.2</v>
      </c>
      <c r="F108" s="115">
        <v>-3.5</v>
      </c>
      <c r="G108" s="115">
        <v>1.1000000000000001</v>
      </c>
      <c r="H108" s="115">
        <v>1</v>
      </c>
      <c r="I108" s="115">
        <v>2.2999999999999998</v>
      </c>
      <c r="J108" s="115">
        <v>9</v>
      </c>
      <c r="K108" s="115">
        <v>14.2</v>
      </c>
      <c r="L108" s="115">
        <v>20.100000000000001</v>
      </c>
      <c r="M108" s="115">
        <v>20</v>
      </c>
      <c r="N108" s="115">
        <v>16.5</v>
      </c>
      <c r="O108" s="115">
        <v>14.7</v>
      </c>
      <c r="P108" s="115">
        <v>12.9</v>
      </c>
      <c r="Q108" s="115">
        <v>4.8</v>
      </c>
      <c r="R108" s="115">
        <v>5.8</v>
      </c>
      <c r="S108" s="115">
        <v>8.1</v>
      </c>
      <c r="T108" s="115">
        <v>11.2</v>
      </c>
      <c r="U108" s="115">
        <v>9.6</v>
      </c>
      <c r="V108" s="115">
        <v>17.2</v>
      </c>
      <c r="W108" s="115">
        <v>17.399999999999999</v>
      </c>
      <c r="X108" s="115">
        <v>24</v>
      </c>
      <c r="Y108" s="115">
        <v>27.4</v>
      </c>
      <c r="Z108" s="115">
        <v>27.4</v>
      </c>
      <c r="AA108" s="115">
        <v>24.6</v>
      </c>
      <c r="AB108" s="115">
        <v>23.5</v>
      </c>
      <c r="AC108" s="115">
        <v>22.2</v>
      </c>
      <c r="AD108" s="115">
        <v>14</v>
      </c>
      <c r="AE108" s="115">
        <v>7.1</v>
      </c>
      <c r="AF108" s="115">
        <v>3.3</v>
      </c>
      <c r="AG108" s="114">
        <v>60</v>
      </c>
      <c r="AH108" s="47">
        <f t="shared" si="8"/>
        <v>27.4</v>
      </c>
      <c r="AI108" s="48">
        <f t="shared" si="9"/>
        <v>-4.2</v>
      </c>
    </row>
    <row r="109" spans="1:35" x14ac:dyDescent="0.25">
      <c r="A109" s="116" t="s">
        <v>117</v>
      </c>
      <c r="B109" s="117">
        <v>92</v>
      </c>
      <c r="C109" s="117">
        <v>87</v>
      </c>
      <c r="D109" s="117">
        <v>87</v>
      </c>
      <c r="E109" s="117">
        <v>96</v>
      </c>
      <c r="F109" s="117">
        <v>86.6</v>
      </c>
      <c r="G109" s="117">
        <v>86.7</v>
      </c>
      <c r="H109" s="117">
        <v>90.9</v>
      </c>
      <c r="I109" s="117">
        <v>98.6</v>
      </c>
      <c r="J109" s="117">
        <v>101</v>
      </c>
      <c r="K109" s="117">
        <v>105.4</v>
      </c>
      <c r="L109" s="117">
        <v>102</v>
      </c>
      <c r="M109" s="117">
        <v>116.3</v>
      </c>
      <c r="N109" s="117">
        <v>110.3</v>
      </c>
      <c r="O109" s="117">
        <v>96.1</v>
      </c>
      <c r="P109" s="117">
        <v>79.3</v>
      </c>
      <c r="Q109" s="117">
        <v>86.1</v>
      </c>
      <c r="R109" s="117">
        <v>99.9</v>
      </c>
      <c r="S109" s="117">
        <v>97.9</v>
      </c>
      <c r="T109" s="117">
        <v>93.3</v>
      </c>
      <c r="U109" s="117">
        <v>93.1</v>
      </c>
      <c r="V109" s="117">
        <v>92.1</v>
      </c>
      <c r="W109" s="117">
        <v>89.7</v>
      </c>
      <c r="X109" s="117">
        <v>78.8</v>
      </c>
      <c r="Y109" s="117">
        <v>96</v>
      </c>
      <c r="Z109" s="117">
        <v>95.7</v>
      </c>
      <c r="AA109" s="117">
        <v>87.6</v>
      </c>
      <c r="AB109" s="117">
        <v>79.8</v>
      </c>
      <c r="AC109" s="117">
        <v>75.5</v>
      </c>
      <c r="AD109" s="117">
        <v>100.4</v>
      </c>
      <c r="AE109" s="117">
        <v>90</v>
      </c>
      <c r="AF109" s="117">
        <v>90.9</v>
      </c>
      <c r="AG109" s="118">
        <v>120</v>
      </c>
      <c r="AH109" s="47">
        <f t="shared" si="8"/>
        <v>116.3</v>
      </c>
      <c r="AI109" s="48">
        <f t="shared" si="9"/>
        <v>75.5</v>
      </c>
    </row>
    <row r="110" spans="1:35" x14ac:dyDescent="0.25">
      <c r="A110" s="116" t="s">
        <v>118</v>
      </c>
      <c r="B110" s="117">
        <v>93</v>
      </c>
      <c r="C110" s="117">
        <v>93</v>
      </c>
      <c r="D110" s="117">
        <v>93</v>
      </c>
      <c r="E110" s="117">
        <v>100</v>
      </c>
      <c r="F110" s="117">
        <v>92.8</v>
      </c>
      <c r="G110" s="117">
        <v>90.5</v>
      </c>
      <c r="H110" s="117">
        <v>92.4</v>
      </c>
      <c r="I110" s="117">
        <v>92.1</v>
      </c>
      <c r="J110" s="117">
        <v>90</v>
      </c>
      <c r="K110" s="117">
        <v>82.2</v>
      </c>
      <c r="L110" s="117">
        <v>81.5</v>
      </c>
      <c r="M110" s="117">
        <v>90.2</v>
      </c>
      <c r="N110" s="117">
        <v>95.2</v>
      </c>
      <c r="O110" s="117">
        <v>98</v>
      </c>
      <c r="P110" s="117">
        <v>97</v>
      </c>
      <c r="Q110" s="117">
        <v>78.2</v>
      </c>
      <c r="R110" s="117">
        <v>94</v>
      </c>
      <c r="S110" s="117">
        <v>92.8</v>
      </c>
      <c r="T110" s="117">
        <v>89.7</v>
      </c>
      <c r="U110" s="117">
        <v>95</v>
      </c>
      <c r="V110" s="117">
        <v>85.4</v>
      </c>
      <c r="W110" s="117">
        <v>70</v>
      </c>
      <c r="X110" s="117">
        <v>82</v>
      </c>
      <c r="Y110" s="117">
        <v>100</v>
      </c>
      <c r="Z110" s="117">
        <v>90.5</v>
      </c>
      <c r="AA110" s="117">
        <v>87.2</v>
      </c>
      <c r="AB110" s="117">
        <v>83</v>
      </c>
      <c r="AC110" s="117">
        <v>89.1</v>
      </c>
      <c r="AD110" s="117">
        <v>85.4</v>
      </c>
      <c r="AE110" s="117">
        <v>85</v>
      </c>
      <c r="AF110" s="117">
        <v>89.4</v>
      </c>
      <c r="AG110" s="118"/>
      <c r="AH110" s="47">
        <f t="shared" si="8"/>
        <v>100</v>
      </c>
      <c r="AI110" s="48">
        <f t="shared" si="9"/>
        <v>70</v>
      </c>
    </row>
    <row r="111" spans="1:35" x14ac:dyDescent="0.25">
      <c r="A111" s="116" t="s">
        <v>119</v>
      </c>
      <c r="B111" s="117">
        <v>41</v>
      </c>
      <c r="C111" s="117">
        <v>38</v>
      </c>
      <c r="D111" s="117">
        <v>38</v>
      </c>
      <c r="E111" s="117">
        <v>43.4</v>
      </c>
      <c r="F111" s="117">
        <v>34.9</v>
      </c>
      <c r="G111" s="117">
        <v>29.8</v>
      </c>
      <c r="H111" s="117">
        <v>24.7</v>
      </c>
      <c r="I111" s="117">
        <v>25.7</v>
      </c>
      <c r="J111" s="117">
        <v>19</v>
      </c>
      <c r="K111" s="117">
        <v>17.899999999999999</v>
      </c>
      <c r="L111" s="117">
        <v>17.850000000000001</v>
      </c>
      <c r="M111" s="117">
        <v>11.5</v>
      </c>
      <c r="N111" s="117">
        <v>-10.1</v>
      </c>
      <c r="O111" s="117">
        <v>-6.5</v>
      </c>
      <c r="P111" s="117">
        <v>1.8</v>
      </c>
      <c r="Q111" s="117">
        <v>85</v>
      </c>
      <c r="R111" s="117">
        <v>26</v>
      </c>
      <c r="S111" s="117">
        <v>25.8</v>
      </c>
      <c r="T111" s="117">
        <v>28.6</v>
      </c>
      <c r="U111" s="117">
        <v>18.100000000000001</v>
      </c>
      <c r="V111" s="117">
        <v>25.1</v>
      </c>
      <c r="W111" s="117"/>
      <c r="X111" s="117"/>
      <c r="Y111" s="117"/>
      <c r="Z111" s="117"/>
      <c r="AA111" s="117"/>
      <c r="AB111" s="117"/>
      <c r="AC111" s="117"/>
      <c r="AD111" s="117"/>
      <c r="AE111" s="117"/>
      <c r="AF111" s="117"/>
      <c r="AG111" s="119"/>
      <c r="AH111" s="47">
        <f t="shared" si="8"/>
        <v>85</v>
      </c>
      <c r="AI111" s="48">
        <f t="shared" si="9"/>
        <v>-10.1</v>
      </c>
    </row>
    <row r="112" spans="1:35" x14ac:dyDescent="0.25">
      <c r="A112" s="120" t="s">
        <v>120</v>
      </c>
      <c r="B112" s="106">
        <v>21</v>
      </c>
      <c r="C112" s="106">
        <v>20</v>
      </c>
      <c r="D112" s="106">
        <v>20</v>
      </c>
      <c r="E112" s="106">
        <v>32.6</v>
      </c>
      <c r="F112" s="106">
        <v>34.9</v>
      </c>
      <c r="G112" s="106">
        <v>36.700000000000003</v>
      </c>
      <c r="H112" s="106">
        <v>33.5</v>
      </c>
      <c r="I112" s="106">
        <v>17.7</v>
      </c>
      <c r="J112" s="106">
        <v>9</v>
      </c>
      <c r="K112" s="106">
        <v>-5.4</v>
      </c>
      <c r="L112" s="106">
        <v>-7</v>
      </c>
      <c r="M112" s="106">
        <v>7.8</v>
      </c>
      <c r="N112" s="106">
        <v>4.4000000000000004</v>
      </c>
      <c r="O112" s="106">
        <v>10.9</v>
      </c>
      <c r="P112" s="106">
        <v>15.2</v>
      </c>
      <c r="Q112" s="106">
        <v>21.4</v>
      </c>
      <c r="R112" s="106">
        <v>25.1</v>
      </c>
      <c r="S112" s="106">
        <v>-24</v>
      </c>
      <c r="T112" s="106">
        <v>-47.8</v>
      </c>
      <c r="U112" s="106">
        <v>-44.9</v>
      </c>
      <c r="V112" s="106">
        <v>29.1</v>
      </c>
      <c r="W112" s="106">
        <v>27.1</v>
      </c>
      <c r="X112" s="106">
        <v>19.399999999999999</v>
      </c>
      <c r="Y112" s="106">
        <v>14.5</v>
      </c>
      <c r="Z112" s="106">
        <v>21.7</v>
      </c>
      <c r="AA112" s="106">
        <v>-21.6</v>
      </c>
      <c r="AB112" s="106"/>
      <c r="AC112" s="106">
        <v>-24.1</v>
      </c>
      <c r="AD112" s="106">
        <v>-6.6</v>
      </c>
      <c r="AE112" s="106">
        <v>16</v>
      </c>
      <c r="AF112" s="106">
        <v>27</v>
      </c>
      <c r="AG112" s="119"/>
      <c r="AH112" s="47">
        <f t="shared" si="8"/>
        <v>36.700000000000003</v>
      </c>
      <c r="AI112" s="48">
        <f t="shared" si="9"/>
        <v>-47.8</v>
      </c>
    </row>
    <row r="113" spans="1:37" ht="15.75" thickBot="1" x14ac:dyDescent="0.3">
      <c r="A113" s="120" t="s">
        <v>121</v>
      </c>
      <c r="B113" s="106">
        <v>9.3000000000000007</v>
      </c>
      <c r="C113" s="106">
        <v>15</v>
      </c>
      <c r="D113" s="106">
        <v>15</v>
      </c>
      <c r="E113" s="106">
        <v>1.2</v>
      </c>
      <c r="F113" s="106">
        <v>8.3000000000000007</v>
      </c>
      <c r="G113" s="106">
        <v>14.6</v>
      </c>
      <c r="H113" s="106">
        <v>13.3</v>
      </c>
      <c r="I113" s="106">
        <v>2.7</v>
      </c>
      <c r="J113" s="106">
        <v>0.9</v>
      </c>
      <c r="K113" s="106">
        <v>-15.8</v>
      </c>
      <c r="L113" s="106">
        <v>-28.7</v>
      </c>
      <c r="M113" s="106">
        <v>-33.200000000000003</v>
      </c>
      <c r="N113" s="106">
        <v>2.8</v>
      </c>
      <c r="O113" s="106">
        <v>1.5</v>
      </c>
      <c r="P113" s="106">
        <v>0.8</v>
      </c>
      <c r="Q113" s="106">
        <v>17.399999999999999</v>
      </c>
      <c r="R113" s="106">
        <v>2</v>
      </c>
      <c r="S113" s="106">
        <v>7.4</v>
      </c>
      <c r="T113" s="106">
        <v>0</v>
      </c>
      <c r="U113" s="106">
        <v>-1</v>
      </c>
      <c r="V113" s="106">
        <v>-22.7</v>
      </c>
      <c r="W113" s="106">
        <v>-20.7</v>
      </c>
      <c r="X113" s="106">
        <v>-28.7</v>
      </c>
      <c r="Y113" s="106">
        <v>-38</v>
      </c>
      <c r="Z113" s="106">
        <v>-27.9</v>
      </c>
      <c r="AA113" s="106">
        <v>-23.1</v>
      </c>
      <c r="AB113" s="106">
        <v>-17.7</v>
      </c>
      <c r="AC113" s="106">
        <v>-12.5</v>
      </c>
      <c r="AD113" s="106">
        <v>2.5</v>
      </c>
      <c r="AE113" s="106">
        <v>7.3</v>
      </c>
      <c r="AF113" s="106">
        <v>-3</v>
      </c>
      <c r="AG113" s="119"/>
      <c r="AH113" s="47">
        <f t="shared" si="8"/>
        <v>17.399999999999999</v>
      </c>
      <c r="AI113" s="48">
        <f t="shared" si="9"/>
        <v>-38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6">SUM(B115:B219)</f>
        <v>0</v>
      </c>
      <c r="C220" s="136">
        <f t="shared" si="16"/>
        <v>0</v>
      </c>
      <c r="D220" s="136">
        <f t="shared" si="16"/>
        <v>0</v>
      </c>
      <c r="E220" s="136">
        <f t="shared" si="16"/>
        <v>0</v>
      </c>
      <c r="F220" s="136">
        <f t="shared" si="16"/>
        <v>0</v>
      </c>
      <c r="G220" s="136">
        <f t="shared" si="16"/>
        <v>0</v>
      </c>
      <c r="H220" s="136">
        <f t="shared" si="16"/>
        <v>0</v>
      </c>
      <c r="I220" s="136">
        <f t="shared" si="16"/>
        <v>0</v>
      </c>
      <c r="J220" s="136">
        <f t="shared" si="16"/>
        <v>0</v>
      </c>
      <c r="K220" s="136">
        <f t="shared" si="16"/>
        <v>0</v>
      </c>
      <c r="L220" s="136">
        <f t="shared" si="16"/>
        <v>0</v>
      </c>
      <c r="M220" s="136">
        <f t="shared" si="16"/>
        <v>0</v>
      </c>
      <c r="N220" s="136">
        <f t="shared" si="16"/>
        <v>0</v>
      </c>
      <c r="O220" s="136">
        <f t="shared" si="16"/>
        <v>0</v>
      </c>
      <c r="P220" s="136">
        <f t="shared" si="16"/>
        <v>0</v>
      </c>
      <c r="Q220" s="136">
        <f t="shared" si="16"/>
        <v>0</v>
      </c>
      <c r="R220" s="136">
        <f t="shared" si="16"/>
        <v>0</v>
      </c>
      <c r="S220" s="136">
        <f t="shared" si="16"/>
        <v>0</v>
      </c>
      <c r="T220" s="136">
        <f t="shared" si="16"/>
        <v>0</v>
      </c>
      <c r="U220" s="136">
        <f t="shared" si="16"/>
        <v>0</v>
      </c>
      <c r="V220" s="136">
        <f t="shared" si="16"/>
        <v>0</v>
      </c>
      <c r="W220" s="136">
        <f t="shared" si="16"/>
        <v>0</v>
      </c>
      <c r="X220" s="136">
        <f t="shared" si="16"/>
        <v>0</v>
      </c>
      <c r="Y220" s="136">
        <f t="shared" si="16"/>
        <v>0</v>
      </c>
      <c r="Z220" s="136">
        <f t="shared" si="16"/>
        <v>0</v>
      </c>
      <c r="AA220" s="136">
        <f t="shared" si="16"/>
        <v>0</v>
      </c>
      <c r="AB220" s="136">
        <f t="shared" si="16"/>
        <v>0</v>
      </c>
      <c r="AC220" s="136">
        <f t="shared" si="16"/>
        <v>0</v>
      </c>
      <c r="AD220" s="136">
        <f t="shared" si="16"/>
        <v>0</v>
      </c>
      <c r="AE220" s="136">
        <f t="shared" si="16"/>
        <v>0</v>
      </c>
      <c r="AF220" s="137">
        <f t="shared" si="16"/>
        <v>0</v>
      </c>
      <c r="AG220" s="138">
        <f t="shared" si="16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7">AF222</f>
        <v>0</v>
      </c>
      <c r="C222" s="140">
        <v>0.3</v>
      </c>
      <c r="D222" s="140">
        <f t="shared" ref="D222:P227" si="18">C222</f>
        <v>0.3</v>
      </c>
      <c r="E222" s="140">
        <f t="shared" si="18"/>
        <v>0.3</v>
      </c>
      <c r="F222" s="140">
        <f t="shared" si="18"/>
        <v>0.3</v>
      </c>
      <c r="G222" s="140">
        <f t="shared" si="18"/>
        <v>0.3</v>
      </c>
      <c r="H222" s="140">
        <f t="shared" si="18"/>
        <v>0.3</v>
      </c>
      <c r="I222" s="140">
        <f t="shared" si="18"/>
        <v>0.3</v>
      </c>
      <c r="J222" s="140">
        <f t="shared" si="18"/>
        <v>0.3</v>
      </c>
      <c r="K222" s="140">
        <f t="shared" si="18"/>
        <v>0.3</v>
      </c>
      <c r="L222" s="140">
        <f t="shared" si="18"/>
        <v>0.3</v>
      </c>
      <c r="M222" s="140">
        <f t="shared" si="18"/>
        <v>0.3</v>
      </c>
      <c r="N222" s="140">
        <f t="shared" si="18"/>
        <v>0.3</v>
      </c>
      <c r="O222" s="140">
        <f t="shared" si="18"/>
        <v>0.3</v>
      </c>
      <c r="P222" s="140">
        <f t="shared" si="18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7"/>
        <v>0</v>
      </c>
      <c r="C223" s="128">
        <v>0.4</v>
      </c>
      <c r="D223" s="128">
        <f t="shared" si="18"/>
        <v>0.4</v>
      </c>
      <c r="E223" s="128">
        <f t="shared" si="18"/>
        <v>0.4</v>
      </c>
      <c r="F223" s="128">
        <f t="shared" si="18"/>
        <v>0.4</v>
      </c>
      <c r="G223" s="128">
        <f t="shared" si="18"/>
        <v>0.4</v>
      </c>
      <c r="H223" s="128">
        <f t="shared" si="18"/>
        <v>0.4</v>
      </c>
      <c r="I223" s="128">
        <f t="shared" si="18"/>
        <v>0.4</v>
      </c>
      <c r="J223" s="128">
        <f t="shared" si="18"/>
        <v>0.4</v>
      </c>
      <c r="K223" s="128">
        <f t="shared" si="18"/>
        <v>0.4</v>
      </c>
      <c r="L223" s="128">
        <f t="shared" si="18"/>
        <v>0.4</v>
      </c>
      <c r="M223" s="128">
        <f t="shared" si="18"/>
        <v>0.4</v>
      </c>
      <c r="N223" s="128">
        <f t="shared" si="18"/>
        <v>0.4</v>
      </c>
      <c r="O223" s="128">
        <f t="shared" si="18"/>
        <v>0.4</v>
      </c>
      <c r="P223" s="128">
        <f t="shared" si="18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7"/>
        <v>0</v>
      </c>
      <c r="C224" s="128">
        <v>1.5</v>
      </c>
      <c r="D224" s="128">
        <f t="shared" si="18"/>
        <v>1.5</v>
      </c>
      <c r="E224" s="128">
        <f t="shared" si="18"/>
        <v>1.5</v>
      </c>
      <c r="F224" s="128">
        <f t="shared" si="18"/>
        <v>1.5</v>
      </c>
      <c r="G224" s="128">
        <f t="shared" si="18"/>
        <v>1.5</v>
      </c>
      <c r="H224" s="128">
        <f t="shared" si="18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18"/>
        <v>1.5</v>
      </c>
      <c r="K224" s="128">
        <f t="shared" ca="1" si="18"/>
        <v>1.5</v>
      </c>
      <c r="L224" s="128">
        <f t="shared" ca="1" si="18"/>
        <v>1.5</v>
      </c>
      <c r="M224" s="128">
        <f t="shared" ca="1" si="18"/>
        <v>1.5</v>
      </c>
      <c r="N224" s="128">
        <f t="shared" ca="1" si="18"/>
        <v>1.5</v>
      </c>
      <c r="O224" s="128">
        <f t="shared" ca="1" si="18"/>
        <v>1.5</v>
      </c>
      <c r="P224" s="128">
        <f t="shared" ca="1" si="18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7"/>
        <v>0</v>
      </c>
      <c r="C225" s="128">
        <v>0.3</v>
      </c>
      <c r="D225" s="128">
        <f t="shared" si="18"/>
        <v>0.3</v>
      </c>
      <c r="E225" s="128">
        <f t="shared" si="18"/>
        <v>0.3</v>
      </c>
      <c r="F225" s="128">
        <f t="shared" si="18"/>
        <v>0.3</v>
      </c>
      <c r="G225" s="128">
        <f t="shared" si="18"/>
        <v>0.3</v>
      </c>
      <c r="H225" s="128">
        <f t="shared" si="18"/>
        <v>0.3</v>
      </c>
      <c r="I225" s="128">
        <f t="shared" si="18"/>
        <v>0.3</v>
      </c>
      <c r="J225" s="128">
        <f t="shared" si="18"/>
        <v>0.3</v>
      </c>
      <c r="K225" s="128">
        <f t="shared" si="18"/>
        <v>0.3</v>
      </c>
      <c r="L225" s="128">
        <f t="shared" si="18"/>
        <v>0.3</v>
      </c>
      <c r="M225" s="128">
        <f t="shared" si="18"/>
        <v>0.3</v>
      </c>
      <c r="N225" s="128">
        <f t="shared" si="18"/>
        <v>0.3</v>
      </c>
      <c r="O225" s="128">
        <f t="shared" si="18"/>
        <v>0.3</v>
      </c>
      <c r="P225" s="128">
        <f t="shared" si="18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7"/>
        <v>0</v>
      </c>
      <c r="C226" s="128">
        <v>0.4</v>
      </c>
      <c r="D226" s="128">
        <f t="shared" si="18"/>
        <v>0.4</v>
      </c>
      <c r="E226" s="128">
        <f t="shared" si="18"/>
        <v>0.4</v>
      </c>
      <c r="F226" s="128">
        <f t="shared" si="18"/>
        <v>0.4</v>
      </c>
      <c r="G226" s="128">
        <f t="shared" si="18"/>
        <v>0.4</v>
      </c>
      <c r="H226" s="128">
        <f t="shared" si="18"/>
        <v>0.4</v>
      </c>
      <c r="I226" s="128">
        <f t="shared" si="18"/>
        <v>0.4</v>
      </c>
      <c r="J226" s="128">
        <f t="shared" si="18"/>
        <v>0.4</v>
      </c>
      <c r="K226" s="128">
        <f t="shared" si="18"/>
        <v>0.4</v>
      </c>
      <c r="L226" s="128">
        <f t="shared" si="18"/>
        <v>0.4</v>
      </c>
      <c r="M226" s="128">
        <f t="shared" si="18"/>
        <v>0.4</v>
      </c>
      <c r="N226" s="128">
        <f t="shared" si="18"/>
        <v>0.4</v>
      </c>
      <c r="O226" s="128">
        <f t="shared" si="18"/>
        <v>0.4</v>
      </c>
      <c r="P226" s="128">
        <f t="shared" si="18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7"/>
        <v>0</v>
      </c>
      <c r="C227" s="132">
        <v>0.64</v>
      </c>
      <c r="D227" s="132">
        <f t="shared" si="18"/>
        <v>0.64</v>
      </c>
      <c r="E227" s="132">
        <f t="shared" si="18"/>
        <v>0.64</v>
      </c>
      <c r="F227" s="132">
        <f t="shared" si="18"/>
        <v>0.64</v>
      </c>
      <c r="G227" s="132">
        <f t="shared" si="18"/>
        <v>0.64</v>
      </c>
      <c r="H227" s="132">
        <f t="shared" si="18"/>
        <v>0.64</v>
      </c>
      <c r="I227" s="132">
        <f t="shared" si="18"/>
        <v>0.64</v>
      </c>
      <c r="J227" s="132">
        <f t="shared" si="18"/>
        <v>0.64</v>
      </c>
      <c r="K227" s="132">
        <f t="shared" si="18"/>
        <v>0.64</v>
      </c>
      <c r="L227" s="132">
        <f t="shared" si="18"/>
        <v>0.64</v>
      </c>
      <c r="M227" s="132">
        <f t="shared" si="18"/>
        <v>0.64</v>
      </c>
      <c r="N227" s="132">
        <f t="shared" si="18"/>
        <v>0.64</v>
      </c>
      <c r="O227" s="132">
        <f t="shared" si="18"/>
        <v>0.64</v>
      </c>
      <c r="P227" s="132">
        <f t="shared" si="18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19">SUM(B222:B227)</f>
        <v>0</v>
      </c>
      <c r="C228" s="136">
        <f t="shared" si="19"/>
        <v>3.54</v>
      </c>
      <c r="D228" s="136">
        <f t="shared" si="19"/>
        <v>3.54</v>
      </c>
      <c r="E228" s="136">
        <f t="shared" si="19"/>
        <v>3.54</v>
      </c>
      <c r="F228" s="136">
        <f t="shared" si="19"/>
        <v>3.54</v>
      </c>
      <c r="G228" s="136">
        <f t="shared" si="19"/>
        <v>3.54</v>
      </c>
      <c r="H228" s="136">
        <f t="shared" si="19"/>
        <v>3.54</v>
      </c>
      <c r="I228" s="136">
        <f t="shared" ca="1" si="19"/>
        <v>3.54</v>
      </c>
      <c r="J228" s="136">
        <f t="shared" ca="1" si="19"/>
        <v>3.54</v>
      </c>
      <c r="K228" s="136">
        <f t="shared" ca="1" si="19"/>
        <v>3.54</v>
      </c>
      <c r="L228" s="136">
        <f t="shared" ca="1" si="19"/>
        <v>3.54</v>
      </c>
      <c r="M228" s="136">
        <f t="shared" ca="1" si="19"/>
        <v>3.54</v>
      </c>
      <c r="N228" s="136">
        <f t="shared" ca="1" si="19"/>
        <v>3.54</v>
      </c>
      <c r="O228" s="136">
        <f t="shared" ca="1" si="19"/>
        <v>3.54</v>
      </c>
      <c r="P228" s="136">
        <f t="shared" ca="1" si="19"/>
        <v>3.54</v>
      </c>
      <c r="Q228" s="136">
        <f t="shared" si="19"/>
        <v>0</v>
      </c>
      <c r="R228" s="136">
        <f t="shared" si="19"/>
        <v>0</v>
      </c>
      <c r="S228" s="136">
        <f t="shared" si="19"/>
        <v>0</v>
      </c>
      <c r="T228" s="136">
        <f t="shared" si="19"/>
        <v>0</v>
      </c>
      <c r="U228" s="136">
        <f t="shared" si="19"/>
        <v>0</v>
      </c>
      <c r="V228" s="136">
        <f t="shared" si="19"/>
        <v>0</v>
      </c>
      <c r="W228" s="136">
        <f t="shared" si="19"/>
        <v>0</v>
      </c>
      <c r="X228" s="136">
        <f t="shared" si="19"/>
        <v>0</v>
      </c>
      <c r="Y228" s="136">
        <f t="shared" si="19"/>
        <v>0</v>
      </c>
      <c r="Z228" s="136">
        <f t="shared" si="19"/>
        <v>0</v>
      </c>
      <c r="AA228" s="136">
        <f t="shared" si="19"/>
        <v>0</v>
      </c>
      <c r="AB228" s="136">
        <f t="shared" si="19"/>
        <v>0</v>
      </c>
      <c r="AC228" s="136">
        <f t="shared" si="19"/>
        <v>0</v>
      </c>
      <c r="AD228" s="136">
        <f t="shared" si="19"/>
        <v>0</v>
      </c>
      <c r="AE228" s="136">
        <f t="shared" si="19"/>
        <v>0</v>
      </c>
      <c r="AF228" s="136">
        <f t="shared" si="19"/>
        <v>0</v>
      </c>
      <c r="AG228" s="145">
        <f t="shared" si="19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1398.44</v>
      </c>
      <c r="C237" s="161">
        <f>INDEX(G9:N9,1,MATCH(MAX(G85:N85),G85:N85,0))</f>
        <v>0.375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14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str">
        <f ca="1">"Pie Chart of Daily Peak Demand(Inclusive of Export) of Nepal ("&amp;A4&amp;" "&amp;B4&amp;")"</f>
        <v>Pie Chart of Daily Peak Demand(Inclusive of Export) of Nepal (Nepali Date: 2079/09/14)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2079/09/14)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0">B85</f>
        <v>1106.04</v>
      </c>
      <c r="U242" s="170">
        <f t="shared" si="20"/>
        <v>1063.3400000000001</v>
      </c>
      <c r="V242" s="170">
        <f t="shared" si="20"/>
        <v>1031.6400000000001</v>
      </c>
      <c r="W242" s="170">
        <f t="shared" si="20"/>
        <v>1010.94</v>
      </c>
      <c r="X242" s="170">
        <f t="shared" si="20"/>
        <v>1017.24</v>
      </c>
      <c r="Y242" s="170">
        <f t="shared" si="20"/>
        <v>1039.24</v>
      </c>
      <c r="Z242" s="170">
        <f t="shared" si="20"/>
        <v>1111.54</v>
      </c>
      <c r="AA242" s="170">
        <f t="shared" si="20"/>
        <v>1134.3399999999999</v>
      </c>
      <c r="AB242" s="170">
        <f t="shared" si="20"/>
        <v>1207.54</v>
      </c>
      <c r="AC242" s="170">
        <f t="shared" si="20"/>
        <v>1228.1399999999999</v>
      </c>
      <c r="AD242" s="170">
        <f t="shared" si="20"/>
        <v>1278.6400000000001</v>
      </c>
      <c r="AE242" s="170">
        <f t="shared" si="20"/>
        <v>1303.8400000000001</v>
      </c>
      <c r="AF242" s="170">
        <f t="shared" si="20"/>
        <v>1398.44</v>
      </c>
      <c r="AG242" s="170">
        <f t="shared" si="20"/>
        <v>1323.34</v>
      </c>
      <c r="AH242" s="170">
        <f t="shared" si="20"/>
        <v>1229.94</v>
      </c>
      <c r="AI242" s="170">
        <f t="shared" si="20"/>
        <v>1164.44</v>
      </c>
      <c r="AJ242" s="170">
        <f t="shared" si="20"/>
        <v>1108.74</v>
      </c>
      <c r="AK242" s="170">
        <f t="shared" si="20"/>
        <v>1139.1399999999999</v>
      </c>
      <c r="AL242" s="170">
        <f t="shared" si="20"/>
        <v>1127.1399999999999</v>
      </c>
      <c r="AM242" s="170">
        <f t="shared" si="20"/>
        <v>1064.6399999999999</v>
      </c>
      <c r="AN242" s="170">
        <f t="shared" si="20"/>
        <v>1023.84</v>
      </c>
      <c r="AO242" s="170">
        <f t="shared" si="20"/>
        <v>1125.54</v>
      </c>
      <c r="AP242" s="170">
        <f t="shared" si="20"/>
        <v>1404.34</v>
      </c>
      <c r="AQ242" s="170">
        <f t="shared" si="20"/>
        <v>1485.44</v>
      </c>
      <c r="AR242" s="170">
        <f t="shared" si="20"/>
        <v>1418.6399999999999</v>
      </c>
      <c r="AS242" s="170">
        <f t="shared" si="20"/>
        <v>1468.84</v>
      </c>
      <c r="AT242" s="170">
        <f t="shared" si="20"/>
        <v>1356.8400000000001</v>
      </c>
      <c r="AU242" s="170">
        <f t="shared" si="20"/>
        <v>1353.74</v>
      </c>
      <c r="AV242" s="170">
        <f t="shared" si="20"/>
        <v>1293.8399999999999</v>
      </c>
      <c r="AW242" s="170">
        <f t="shared" si="20"/>
        <v>1114.04</v>
      </c>
      <c r="AX242" s="170">
        <f t="shared" si="20"/>
        <v>1051.94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1">C227</f>
        <v>0.64</v>
      </c>
      <c r="C263" s="173">
        <f t="shared" si="21"/>
        <v>0.64</v>
      </c>
      <c r="D263" s="173">
        <f t="shared" si="21"/>
        <v>0.64</v>
      </c>
      <c r="E263" s="173">
        <f t="shared" si="21"/>
        <v>0.64</v>
      </c>
      <c r="F263" s="173">
        <f t="shared" si="21"/>
        <v>0.64</v>
      </c>
      <c r="G263" s="173">
        <f t="shared" si="21"/>
        <v>0.64</v>
      </c>
      <c r="H263" s="173">
        <f t="shared" si="21"/>
        <v>0.64</v>
      </c>
      <c r="I263" s="173">
        <f t="shared" si="21"/>
        <v>0.64</v>
      </c>
      <c r="J263" s="173">
        <f t="shared" si="21"/>
        <v>0.64</v>
      </c>
      <c r="K263" s="173">
        <f t="shared" si="21"/>
        <v>0.64</v>
      </c>
      <c r="L263" s="173">
        <f t="shared" si="21"/>
        <v>0.64</v>
      </c>
      <c r="M263" s="173">
        <f t="shared" si="21"/>
        <v>0.64</v>
      </c>
      <c r="N263" s="173">
        <f t="shared" si="21"/>
        <v>0.64</v>
      </c>
      <c r="O263" s="173">
        <f t="shared" si="21"/>
        <v>0.64</v>
      </c>
      <c r="P263" s="173">
        <f t="shared" si="21"/>
        <v>0</v>
      </c>
      <c r="Q263" s="173">
        <f t="shared" si="21"/>
        <v>0</v>
      </c>
      <c r="R263" s="173">
        <f t="shared" si="21"/>
        <v>0</v>
      </c>
      <c r="S263" s="173">
        <f t="shared" si="21"/>
        <v>0</v>
      </c>
      <c r="T263" s="173">
        <f t="shared" si="21"/>
        <v>0</v>
      </c>
      <c r="U263" s="173">
        <f t="shared" si="21"/>
        <v>0</v>
      </c>
      <c r="V263" s="173">
        <f t="shared" si="21"/>
        <v>0</v>
      </c>
      <c r="W263" s="173">
        <f t="shared" si="21"/>
        <v>0</v>
      </c>
      <c r="X263" s="173">
        <f t="shared" si="21"/>
        <v>0</v>
      </c>
      <c r="Y263" s="173">
        <f t="shared" si="21"/>
        <v>0</v>
      </c>
      <c r="Z263" s="173">
        <f t="shared" si="21"/>
        <v>0</v>
      </c>
      <c r="AA263" s="173">
        <f t="shared" si="21"/>
        <v>0</v>
      </c>
      <c r="AB263" s="173">
        <f t="shared" si="21"/>
        <v>0</v>
      </c>
      <c r="AC263" s="173">
        <f t="shared" si="21"/>
        <v>0</v>
      </c>
      <c r="AD263" s="173">
        <f t="shared" si="21"/>
        <v>0</v>
      </c>
      <c r="AE263" s="173">
        <f t="shared" si="21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2">IF(B231&lt;100,"",B231-520)</f>
        <v/>
      </c>
      <c r="C264" s="174" t="str">
        <f t="shared" si="22"/>
        <v/>
      </c>
      <c r="D264" s="174" t="str">
        <f t="shared" si="22"/>
        <v/>
      </c>
      <c r="E264" s="174" t="str">
        <f t="shared" si="22"/>
        <v/>
      </c>
      <c r="F264" s="174" t="str">
        <f t="shared" si="22"/>
        <v/>
      </c>
      <c r="G264" s="174" t="str">
        <f t="shared" si="22"/>
        <v/>
      </c>
      <c r="H264" s="174" t="str">
        <f t="shared" si="22"/>
        <v/>
      </c>
      <c r="I264" s="174" t="str">
        <f t="shared" si="22"/>
        <v/>
      </c>
      <c r="J264" s="174" t="str">
        <f t="shared" si="22"/>
        <v/>
      </c>
      <c r="K264" s="174" t="str">
        <f t="shared" si="22"/>
        <v/>
      </c>
      <c r="L264" s="174" t="str">
        <f t="shared" si="22"/>
        <v/>
      </c>
      <c r="M264" s="174" t="str">
        <f t="shared" si="22"/>
        <v/>
      </c>
      <c r="N264" s="174" t="str">
        <f t="shared" si="22"/>
        <v/>
      </c>
      <c r="O264" s="174" t="str">
        <f t="shared" si="22"/>
        <v/>
      </c>
      <c r="P264" s="174" t="str">
        <f t="shared" si="22"/>
        <v/>
      </c>
      <c r="Q264" s="174" t="str">
        <f t="shared" si="22"/>
        <v/>
      </c>
      <c r="R264" s="174" t="str">
        <f t="shared" si="22"/>
        <v/>
      </c>
      <c r="S264" s="174" t="str">
        <f t="shared" si="22"/>
        <v/>
      </c>
      <c r="T264" s="174" t="str">
        <f t="shared" si="22"/>
        <v/>
      </c>
      <c r="U264" s="174" t="str">
        <f t="shared" si="22"/>
        <v/>
      </c>
      <c r="V264" s="174" t="str">
        <f t="shared" si="22"/>
        <v/>
      </c>
      <c r="W264" s="174" t="str">
        <f t="shared" si="22"/>
        <v/>
      </c>
      <c r="X264" s="174" t="str">
        <f t="shared" si="22"/>
        <v/>
      </c>
      <c r="Y264" s="174" t="str">
        <f t="shared" si="22"/>
        <v/>
      </c>
      <c r="Z264" s="174" t="str">
        <f t="shared" si="22"/>
        <v/>
      </c>
      <c r="AA264" s="174" t="str">
        <f t="shared" si="22"/>
        <v/>
      </c>
      <c r="AB264" s="174" t="str">
        <f t="shared" si="22"/>
        <v/>
      </c>
      <c r="AC264" s="174" t="str">
        <f t="shared" si="22"/>
        <v/>
      </c>
      <c r="AD264" s="174" t="str">
        <f t="shared" si="22"/>
        <v/>
      </c>
      <c r="AE264" s="174" t="str">
        <f t="shared" si="22"/>
        <v/>
      </c>
      <c r="AF264" s="174" t="str">
        <f t="shared" si="22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3">IF(B232&lt;100,"",B232-620)</f>
        <v/>
      </c>
      <c r="C265" s="174" t="str">
        <f t="shared" si="23"/>
        <v/>
      </c>
      <c r="D265" s="174" t="str">
        <f t="shared" si="23"/>
        <v/>
      </c>
      <c r="E265" s="174" t="str">
        <f t="shared" si="23"/>
        <v/>
      </c>
      <c r="F265" s="174" t="str">
        <f t="shared" si="23"/>
        <v/>
      </c>
      <c r="G265" s="174" t="str">
        <f t="shared" si="23"/>
        <v/>
      </c>
      <c r="H265" s="174" t="str">
        <f t="shared" si="23"/>
        <v/>
      </c>
      <c r="I265" s="174" t="str">
        <f t="shared" si="23"/>
        <v/>
      </c>
      <c r="J265" s="174" t="str">
        <f t="shared" si="23"/>
        <v/>
      </c>
      <c r="K265" s="174" t="str">
        <f t="shared" si="23"/>
        <v/>
      </c>
      <c r="L265" s="174" t="str">
        <f t="shared" si="23"/>
        <v/>
      </c>
      <c r="M265" s="174" t="str">
        <f t="shared" si="23"/>
        <v/>
      </c>
      <c r="N265" s="174" t="str">
        <f t="shared" si="23"/>
        <v/>
      </c>
      <c r="O265" s="174" t="str">
        <f t="shared" si="23"/>
        <v/>
      </c>
      <c r="P265" s="174" t="str">
        <f t="shared" si="23"/>
        <v/>
      </c>
      <c r="Q265" s="174" t="str">
        <f t="shared" si="23"/>
        <v/>
      </c>
      <c r="R265" s="174" t="str">
        <f t="shared" si="23"/>
        <v/>
      </c>
      <c r="S265" s="174" t="str">
        <f t="shared" si="23"/>
        <v/>
      </c>
      <c r="T265" s="174" t="str">
        <f t="shared" si="23"/>
        <v/>
      </c>
      <c r="U265" s="174" t="str">
        <f t="shared" si="23"/>
        <v/>
      </c>
      <c r="V265" s="174" t="str">
        <f t="shared" si="23"/>
        <v/>
      </c>
      <c r="W265" s="174" t="str">
        <f t="shared" si="23"/>
        <v/>
      </c>
      <c r="X265" s="174" t="str">
        <f t="shared" si="23"/>
        <v/>
      </c>
      <c r="Y265" s="174" t="str">
        <f t="shared" si="23"/>
        <v/>
      </c>
      <c r="Z265" s="174" t="str">
        <f t="shared" si="23"/>
        <v/>
      </c>
      <c r="AA265" s="174" t="str">
        <f t="shared" si="23"/>
        <v/>
      </c>
      <c r="AB265" s="174" t="str">
        <f t="shared" si="23"/>
        <v/>
      </c>
      <c r="AC265" s="174" t="str">
        <f t="shared" si="23"/>
        <v/>
      </c>
      <c r="AD265" s="174" t="str">
        <f t="shared" si="23"/>
        <v/>
      </c>
      <c r="AE265" s="174" t="str">
        <f t="shared" si="23"/>
        <v/>
      </c>
      <c r="AF265" s="174" t="str">
        <f t="shared" si="23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4">IF(B233&lt;100,"",B233-330)</f>
        <v/>
      </c>
      <c r="C266" s="174" t="str">
        <f t="shared" si="24"/>
        <v/>
      </c>
      <c r="D266" s="174" t="str">
        <f t="shared" si="24"/>
        <v/>
      </c>
      <c r="E266" s="174" t="str">
        <f t="shared" si="24"/>
        <v/>
      </c>
      <c r="F266" s="174" t="str">
        <f t="shared" si="24"/>
        <v/>
      </c>
      <c r="G266" s="174" t="str">
        <f t="shared" si="24"/>
        <v/>
      </c>
      <c r="H266" s="174" t="str">
        <f t="shared" si="24"/>
        <v/>
      </c>
      <c r="I266" s="174" t="str">
        <f t="shared" si="24"/>
        <v/>
      </c>
      <c r="J266" s="174" t="str">
        <f t="shared" si="24"/>
        <v/>
      </c>
      <c r="K266" s="174" t="str">
        <f t="shared" si="24"/>
        <v/>
      </c>
      <c r="L266" s="174" t="str">
        <f t="shared" si="24"/>
        <v/>
      </c>
      <c r="M266" s="174" t="str">
        <f t="shared" si="24"/>
        <v/>
      </c>
      <c r="N266" s="174" t="str">
        <f t="shared" si="24"/>
        <v/>
      </c>
      <c r="O266" s="174" t="str">
        <f t="shared" si="24"/>
        <v/>
      </c>
      <c r="P266" s="174" t="str">
        <f t="shared" si="24"/>
        <v/>
      </c>
      <c r="Q266" s="174" t="str">
        <f t="shared" si="24"/>
        <v/>
      </c>
      <c r="R266" s="174" t="str">
        <f t="shared" si="24"/>
        <v/>
      </c>
      <c r="S266" s="174" t="str">
        <f t="shared" si="24"/>
        <v/>
      </c>
      <c r="T266" s="174" t="str">
        <f t="shared" si="24"/>
        <v/>
      </c>
      <c r="U266" s="174" t="str">
        <f t="shared" si="24"/>
        <v/>
      </c>
      <c r="V266" s="174" t="str">
        <f t="shared" si="24"/>
        <v/>
      </c>
      <c r="W266" s="174" t="str">
        <f t="shared" si="24"/>
        <v/>
      </c>
      <c r="X266" s="174" t="str">
        <f t="shared" si="24"/>
        <v/>
      </c>
      <c r="Y266" s="174" t="str">
        <f t="shared" si="24"/>
        <v/>
      </c>
      <c r="Z266" s="174" t="str">
        <f t="shared" si="24"/>
        <v/>
      </c>
      <c r="AA266" s="174" t="str">
        <f t="shared" si="24"/>
        <v/>
      </c>
      <c r="AB266" s="174" t="str">
        <f t="shared" si="24"/>
        <v/>
      </c>
      <c r="AC266" s="174" t="str">
        <f t="shared" si="24"/>
        <v/>
      </c>
      <c r="AD266" s="174" t="str">
        <f t="shared" si="24"/>
        <v/>
      </c>
      <c r="AE266" s="174" t="str">
        <f t="shared" si="24"/>
        <v/>
      </c>
      <c r="AF266" s="174" t="str">
        <f t="shared" si="24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5">IF(B234&lt;100,"",B234-1500)</f>
        <v/>
      </c>
      <c r="C267" s="174" t="str">
        <f t="shared" si="25"/>
        <v/>
      </c>
      <c r="D267" s="174" t="str">
        <f t="shared" si="25"/>
        <v/>
      </c>
      <c r="E267" s="174" t="str">
        <f t="shared" si="25"/>
        <v/>
      </c>
      <c r="F267" s="174" t="str">
        <f t="shared" si="25"/>
        <v/>
      </c>
      <c r="G267" s="174" t="str">
        <f t="shared" si="25"/>
        <v/>
      </c>
      <c r="H267" s="174" t="str">
        <f t="shared" si="25"/>
        <v/>
      </c>
      <c r="I267" s="174" t="str">
        <f t="shared" si="25"/>
        <v/>
      </c>
      <c r="J267" s="174" t="str">
        <f t="shared" si="25"/>
        <v/>
      </c>
      <c r="K267" s="174" t="str">
        <f t="shared" si="25"/>
        <v/>
      </c>
      <c r="L267" s="174" t="str">
        <f t="shared" si="25"/>
        <v/>
      </c>
      <c r="M267" s="174" t="str">
        <f t="shared" si="25"/>
        <v/>
      </c>
      <c r="N267" s="174" t="str">
        <f t="shared" si="25"/>
        <v/>
      </c>
      <c r="O267" s="174" t="str">
        <f t="shared" si="25"/>
        <v/>
      </c>
      <c r="P267" s="174" t="str">
        <f t="shared" si="25"/>
        <v/>
      </c>
      <c r="Q267" s="174" t="str">
        <f t="shared" si="25"/>
        <v/>
      </c>
      <c r="R267" s="174" t="str">
        <f t="shared" si="25"/>
        <v/>
      </c>
      <c r="S267" s="174" t="str">
        <f t="shared" si="25"/>
        <v/>
      </c>
      <c r="T267" s="174" t="str">
        <f t="shared" si="25"/>
        <v/>
      </c>
      <c r="U267" s="174" t="str">
        <f t="shared" si="25"/>
        <v/>
      </c>
      <c r="V267" s="174" t="str">
        <f t="shared" si="25"/>
        <v/>
      </c>
      <c r="W267" s="174" t="str">
        <f t="shared" si="25"/>
        <v/>
      </c>
      <c r="X267" s="174" t="str">
        <f t="shared" si="25"/>
        <v/>
      </c>
      <c r="Y267" s="174" t="str">
        <f t="shared" si="25"/>
        <v/>
      </c>
      <c r="Z267" s="174" t="str">
        <f t="shared" si="25"/>
        <v/>
      </c>
      <c r="AA267" s="174" t="str">
        <f t="shared" si="25"/>
        <v/>
      </c>
      <c r="AB267" s="174" t="str">
        <f t="shared" si="25"/>
        <v/>
      </c>
      <c r="AC267" s="174" t="str">
        <f t="shared" si="25"/>
        <v/>
      </c>
      <c r="AD267" s="174" t="str">
        <f t="shared" si="25"/>
        <v/>
      </c>
      <c r="AE267" s="174" t="str">
        <f t="shared" si="25"/>
        <v/>
      </c>
      <c r="AF267" s="174" t="str">
        <f t="shared" si="25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E105:AF105 E107:AF112 Y11:AF41">
    <cfRule type="expression" dxfId="5919" priority="234">
      <formula>B$9&gt;=20/24</formula>
    </cfRule>
    <cfRule type="expression" dxfId="5918" priority="235">
      <formula>AND(B$9&gt;=14/24,B$9&lt;20/24)</formula>
    </cfRule>
    <cfRule type="expression" dxfId="5917" priority="236">
      <formula>AND(B$9&gt;=8/24,B$9&lt;14/24)</formula>
    </cfRule>
    <cfRule type="expression" dxfId="5916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G61 Y11:AF41">
    <cfRule type="expression" dxfId="5915" priority="232">
      <formula>Y11&gt;$AG11</formula>
    </cfRule>
  </conditionalFormatting>
  <conditionalFormatting sqref="A95:A105 A55:A82 A91:A93 A198:A228 A42:A53 A114:A185 A38:A39 A87:A89 A84:A85 A107:A109 A35:A36 A17:A18 A11:A15 A20:A33">
    <cfRule type="expression" dxfId="5914" priority="231">
      <formula>$AH11=0</formula>
    </cfRule>
  </conditionalFormatting>
  <conditionalFormatting sqref="A110">
    <cfRule type="expression" dxfId="5913" priority="230">
      <formula>$AH110=0</formula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5912" priority="228">
      <formula>$AH41=0</formula>
    </cfRule>
  </conditionalFormatting>
  <conditionalFormatting sqref="A94">
    <cfRule type="expression" dxfId="5911" priority="227">
      <formula>$AH94=0</formula>
    </cfRule>
  </conditionalFormatting>
  <conditionalFormatting sqref="A16">
    <cfRule type="expression" dxfId="5910" priority="226">
      <formula>$AH16=0</formula>
    </cfRule>
  </conditionalFormatting>
  <conditionalFormatting sqref="A192:A197">
    <cfRule type="expression" dxfId="5909" priority="225">
      <formula>$AH192=0</formula>
    </cfRule>
  </conditionalFormatting>
  <conditionalFormatting sqref="A186:A191">
    <cfRule type="expression" dxfId="5908" priority="224">
      <formula>$AH186=0</formula>
    </cfRule>
  </conditionalFormatting>
  <conditionalFormatting sqref="A54">
    <cfRule type="expression" dxfId="5907" priority="223">
      <formula>$AH54=0</formula>
    </cfRule>
  </conditionalFormatting>
  <conditionalFormatting sqref="A90">
    <cfRule type="expression" dxfId="5906" priority="222">
      <formula>$AH90=0</formula>
    </cfRule>
  </conditionalFormatting>
  <conditionalFormatting sqref="AE95:AF95 E95:X95">
    <cfRule type="expression" dxfId="5905" priority="218">
      <formula>E$9&gt;=20/24</formula>
    </cfRule>
    <cfRule type="expression" dxfId="5904" priority="219">
      <formula>AND(E$9&gt;=14/24,E$9&lt;20/24)</formula>
    </cfRule>
    <cfRule type="expression" dxfId="5903" priority="220">
      <formula>AND(E$9&gt;=8/24,E$9&lt;14/24)</formula>
    </cfRule>
    <cfRule type="expression" dxfId="5902" priority="221">
      <formula>E$9&lt;8/24</formula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901" priority="240">
      <formula>C$9&gt;=20/24</formula>
    </cfRule>
    <cfRule type="expression" dxfId="5900" priority="241">
      <formula>AND(C$9&gt;=14/24,C$9&lt;20/24)</formula>
    </cfRule>
    <cfRule type="expression" dxfId="5899" priority="242">
      <formula>AND(C$9&gt;=8/24,C$9&lt;14/24)</formula>
    </cfRule>
    <cfRule type="expression" dxfId="5898" priority="243">
      <formula>C$9&lt;8/24</formula>
    </cfRule>
  </conditionalFormatting>
  <conditionalFormatting sqref="A229">
    <cfRule type="expression" dxfId="5897" priority="244">
      <formula>$AH229=0</formula>
    </cfRule>
  </conditionalFormatting>
  <conditionalFormatting sqref="AG241">
    <cfRule type="expression" dxfId="5896" priority="245">
      <formula>B$9&gt;=20/24</formula>
    </cfRule>
    <cfRule type="expression" dxfId="5895" priority="246">
      <formula>AND(B$9&gt;=14/24,B$9&lt;20/24)</formula>
    </cfRule>
    <cfRule type="expression" dxfId="5894" priority="247">
      <formula>AND(B$9&gt;=8/24,B$9&lt;14/24)</formula>
    </cfRule>
    <cfRule type="expression" dxfId="5893" priority="248">
      <formula>B$9&lt;8/24</formula>
    </cfRule>
  </conditionalFormatting>
  <conditionalFormatting sqref="S8">
    <cfRule type="expression" dxfId="5892" priority="213">
      <formula>U$9&gt;=20/24</formula>
    </cfRule>
    <cfRule type="expression" dxfId="5891" priority="214">
      <formula>AND(U$9&gt;=14/24,U$9&lt;20/24)</formula>
    </cfRule>
    <cfRule type="expression" dxfId="5890" priority="215">
      <formula>AND(U$9&gt;=8/24,U$9&lt;14/24)</formula>
    </cfRule>
    <cfRule type="expression" dxfId="5889" priority="216">
      <formula>U$9&lt;8/24</formula>
    </cfRule>
  </conditionalFormatting>
  <conditionalFormatting sqref="AB8">
    <cfRule type="expression" dxfId="5888" priority="209">
      <formula>AD$9&gt;=20/24</formula>
    </cfRule>
    <cfRule type="expression" dxfId="5887" priority="210">
      <formula>AND(AD$9&gt;=14/24,AD$9&lt;20/24)</formula>
    </cfRule>
    <cfRule type="expression" dxfId="5886" priority="211">
      <formula>AND(AD$9&gt;=8/24,AD$9&lt;14/24)</formula>
    </cfRule>
    <cfRule type="expression" dxfId="5885" priority="212">
      <formula>AD$9&lt;8/24</formula>
    </cfRule>
  </conditionalFormatting>
  <conditionalFormatting sqref="AH241:AX241">
    <cfRule type="expression" dxfId="5884" priority="249">
      <formula>AG$9&gt;=20/24</formula>
    </cfRule>
    <cfRule type="expression" dxfId="5883" priority="250">
      <formula>AND(AG$9&gt;=14/24,AG$9&lt;20/24)</formula>
    </cfRule>
    <cfRule type="expression" dxfId="5882" priority="251">
      <formula>AND(AG$9&gt;=8/24,AG$9&lt;14/24)</formula>
    </cfRule>
    <cfRule type="expression" dxfId="5881" priority="252">
      <formula>AG$9&lt;8/24</formula>
    </cfRule>
  </conditionalFormatting>
  <conditionalFormatting sqref="T241">
    <cfRule type="expression" dxfId="5880" priority="253">
      <formula>AX$9&gt;=20/24</formula>
    </cfRule>
    <cfRule type="expression" dxfId="5879" priority="254">
      <formula>AND(AX$9&gt;=14/24,AX$9&lt;20/24)</formula>
    </cfRule>
    <cfRule type="expression" dxfId="5878" priority="255">
      <formula>AND(AX$9&gt;=8/24,AX$9&lt;14/24)</formula>
    </cfRule>
    <cfRule type="expression" dxfId="5877" priority="256">
      <formula>AX$9&lt;8/24</formula>
    </cfRule>
  </conditionalFormatting>
  <conditionalFormatting sqref="A111:A112">
    <cfRule type="expression" dxfId="5876" priority="208">
      <formula>$AH111=0</formula>
    </cfRule>
  </conditionalFormatting>
  <conditionalFormatting sqref="M50:Q53 AB50:AF51 Y52:AF53 E67:AF67">
    <cfRule type="expression" dxfId="5875" priority="204">
      <formula>E$9&gt;=20/24</formula>
    </cfRule>
    <cfRule type="expression" dxfId="5874" priority="205">
      <formula>AND(E$9&gt;=14/24,E$9&lt;20/24)</formula>
    </cfRule>
    <cfRule type="expression" dxfId="5873" priority="206">
      <formula>AND(E$9&gt;=8/24,E$9&lt;14/24)</formula>
    </cfRule>
    <cfRule type="expression" dxfId="5872" priority="207">
      <formula>E$9&lt;8/24</formula>
    </cfRule>
  </conditionalFormatting>
  <conditionalFormatting sqref="M49:Q49 AB49:AF49">
    <cfRule type="expression" dxfId="5871" priority="200">
      <formula>M$9&gt;=20/24</formula>
    </cfRule>
    <cfRule type="expression" dxfId="5870" priority="201">
      <formula>AND(M$9&gt;=14/24,M$9&lt;20/24)</formula>
    </cfRule>
    <cfRule type="expression" dxfId="5869" priority="202">
      <formula>AND(M$9&gt;=8/24,M$9&lt;14/24)</formula>
    </cfRule>
    <cfRule type="expression" dxfId="5868" priority="203">
      <formula>M$9&lt;8/24</formula>
    </cfRule>
  </conditionalFormatting>
  <conditionalFormatting sqref="M49:Q53 AB49:AF51 Y52:AF53">
    <cfRule type="expression" dxfId="5867" priority="199">
      <formula>M49&gt;$AG49</formula>
    </cfRule>
  </conditionalFormatting>
  <conditionalFormatting sqref="D82:AF82 X92:AF92 AE96:AF102 M96:X102 E68:X69 X43:AF43 X63:AF65 Y68:AF70">
    <cfRule type="expression" dxfId="5866" priority="195">
      <formula>D$9&gt;=20/24</formula>
    </cfRule>
    <cfRule type="expression" dxfId="5865" priority="196">
      <formula>AND(D$9&gt;=14/24,D$9&lt;20/24)</formula>
    </cfRule>
    <cfRule type="expression" dxfId="5864" priority="197">
      <formula>AND(D$9&gt;=8/24,D$9&lt;14/24)</formula>
    </cfRule>
    <cfRule type="expression" dxfId="5863" priority="198">
      <formula>D$9&lt;8/24</formula>
    </cfRule>
  </conditionalFormatting>
  <conditionalFormatting sqref="X43:AF43 X63:AF65">
    <cfRule type="expression" dxfId="5862" priority="194">
      <formula>X43&gt;$AG43</formula>
    </cfRule>
  </conditionalFormatting>
  <conditionalFormatting sqref="R49:U54 V49:X55 Y49:AA51">
    <cfRule type="expression" dxfId="5861" priority="190">
      <formula>R$9&gt;=20/24</formula>
    </cfRule>
    <cfRule type="expression" dxfId="5860" priority="191">
      <formula>AND(R$9&gt;=14/24,R$9&lt;20/24)</formula>
    </cfRule>
    <cfRule type="expression" dxfId="5859" priority="192">
      <formula>AND(R$9&gt;=8/24,R$9&lt;14/24)</formula>
    </cfRule>
    <cfRule type="expression" dxfId="5858" priority="193">
      <formula>R$9&lt;8/24</formula>
    </cfRule>
  </conditionalFormatting>
  <conditionalFormatting sqref="R49:U54 V49:X55 Y49:AA51">
    <cfRule type="expression" dxfId="5857" priority="189">
      <formula>R49&gt;$AG49</formula>
    </cfRule>
  </conditionalFormatting>
  <conditionalFormatting sqref="C84:AF84 C93:AF93">
    <cfRule type="expression" dxfId="5856" priority="185">
      <formula>C$9&gt;=20/24</formula>
    </cfRule>
    <cfRule type="expression" dxfId="5855" priority="186">
      <formula>AND(C$9&gt;=14/24,C$9&lt;20/24)</formula>
    </cfRule>
    <cfRule type="expression" dxfId="5854" priority="187">
      <formula>AND(C$9&gt;=8/24,C$9&lt;14/24)</formula>
    </cfRule>
    <cfRule type="expression" dxfId="5853" priority="188">
      <formula>C$9&lt;8/24</formula>
    </cfRule>
  </conditionalFormatting>
  <conditionalFormatting sqref="T43:W43">
    <cfRule type="expression" dxfId="5852" priority="181">
      <formula>T$9&gt;=20/24</formula>
    </cfRule>
    <cfRule type="expression" dxfId="5851" priority="182">
      <formula>AND(T$9&gt;=14/24,T$9&lt;20/24)</formula>
    </cfRule>
    <cfRule type="expression" dxfId="5850" priority="183">
      <formula>AND(T$9&gt;=8/24,T$9&lt;14/24)</formula>
    </cfRule>
    <cfRule type="expression" dxfId="5849" priority="184">
      <formula>T$9&lt;8/24</formula>
    </cfRule>
  </conditionalFormatting>
  <conditionalFormatting sqref="T43:W43">
    <cfRule type="expression" dxfId="5848" priority="180">
      <formula>T43&gt;$AG43</formula>
    </cfRule>
  </conditionalFormatting>
  <conditionalFormatting sqref="E50:L51 Y42:AF42">
    <cfRule type="expression" dxfId="5847" priority="176">
      <formula>E$9&gt;=20/24</formula>
    </cfRule>
    <cfRule type="expression" dxfId="5846" priority="177">
      <formula>AND(E$9&gt;=14/24,E$9&lt;20/24)</formula>
    </cfRule>
    <cfRule type="expression" dxfId="5845" priority="178">
      <formula>AND(E$9&gt;=8/24,E$9&lt;14/24)</formula>
    </cfRule>
    <cfRule type="expression" dxfId="5844" priority="179">
      <formula>E$9&lt;8/24</formula>
    </cfRule>
  </conditionalFormatting>
  <conditionalFormatting sqref="E49:L49">
    <cfRule type="expression" dxfId="5843" priority="172">
      <formula>E$9&gt;=20/24</formula>
    </cfRule>
    <cfRule type="expression" dxfId="5842" priority="173">
      <formula>AND(E$9&gt;=14/24,E$9&lt;20/24)</formula>
    </cfRule>
    <cfRule type="expression" dxfId="5841" priority="174">
      <formula>AND(E$9&gt;=8/24,E$9&lt;14/24)</formula>
    </cfRule>
    <cfRule type="expression" dxfId="5840" priority="175">
      <formula>E$9&lt;8/24</formula>
    </cfRule>
  </conditionalFormatting>
  <conditionalFormatting sqref="E49:L51 Y42:AF42">
    <cfRule type="expression" dxfId="5839" priority="171">
      <formula>E42&gt;$AG42</formula>
    </cfRule>
  </conditionalFormatting>
  <conditionalFormatting sqref="AG66 AG83 V63:W65 E96:L102">
    <cfRule type="expression" dxfId="5838" priority="167">
      <formula>E$9&gt;=20/24</formula>
    </cfRule>
    <cfRule type="expression" dxfId="5837" priority="168">
      <formula>AND(E$9&gt;=14/24,E$9&lt;20/24)</formula>
    </cfRule>
    <cfRule type="expression" dxfId="5836" priority="169">
      <formula>AND(E$9&gt;=8/24,E$9&lt;14/24)</formula>
    </cfRule>
    <cfRule type="expression" dxfId="5835" priority="170">
      <formula>E$9&lt;8/24</formula>
    </cfRule>
  </conditionalFormatting>
  <conditionalFormatting sqref="AG44 AG62 AG66 V63:W65">
    <cfRule type="expression" dxfId="5834" priority="166">
      <formula>V44&gt;$AG44</formula>
    </cfRule>
  </conditionalFormatting>
  <conditionalFormatting sqref="Y54:AF54">
    <cfRule type="expression" dxfId="5833" priority="162">
      <formula>Y$9&gt;=20/24</formula>
    </cfRule>
    <cfRule type="expression" dxfId="5832" priority="163">
      <formula>AND(Y$9&gt;=14/24,Y$9&lt;20/24)</formula>
    </cfRule>
    <cfRule type="expression" dxfId="5831" priority="164">
      <formula>AND(Y$9&gt;=8/24,Y$9&lt;14/24)</formula>
    </cfRule>
    <cfRule type="expression" dxfId="5830" priority="165">
      <formula>Y$9&lt;8/24</formula>
    </cfRule>
  </conditionalFormatting>
  <conditionalFormatting sqref="Y54:AF54">
    <cfRule type="expression" dxfId="5829" priority="161">
      <formula>Y54&gt;$AG54</formula>
    </cfRule>
  </conditionalFormatting>
  <conditionalFormatting sqref="A40">
    <cfRule type="expression" dxfId="5828" priority="160">
      <formula>$AH40=0</formula>
    </cfRule>
  </conditionalFormatting>
  <conditionalFormatting sqref="X87:AF91">
    <cfRule type="expression" dxfId="5827" priority="156">
      <formula>X$9&gt;=20/24</formula>
    </cfRule>
    <cfRule type="expression" dxfId="5826" priority="157">
      <formula>AND(X$9&gt;=14/24,X$9&lt;20/24)</formula>
    </cfRule>
    <cfRule type="expression" dxfId="5825" priority="158">
      <formula>AND(X$9&gt;=8/24,X$9&lt;14/24)</formula>
    </cfRule>
    <cfRule type="expression" dxfId="5824" priority="159">
      <formula>X$9&lt;8/24</formula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E45:AF47">
    <cfRule type="expression" dxfId="5823" priority="152">
      <formula>E$9&gt;=20/24</formula>
    </cfRule>
    <cfRule type="expression" dxfId="5822" priority="153">
      <formula>AND(E$9&gt;=14/24,E$9&lt;20/24)</formula>
    </cfRule>
    <cfRule type="expression" dxfId="5821" priority="154">
      <formula>AND(E$9&gt;=8/24,E$9&lt;14/24)</formula>
    </cfRule>
    <cfRule type="expression" dxfId="5820" priority="155">
      <formula>E$9&lt;8/24</formula>
    </cfRule>
  </conditionalFormatting>
  <conditionalFormatting sqref="E45:AF47">
    <cfRule type="expression" dxfId="5819" priority="151">
      <formula>E45&gt;$AG45</formula>
    </cfRule>
  </conditionalFormatting>
  <conditionalFormatting sqref="AG48">
    <cfRule type="expression" dxfId="5818" priority="147">
      <formula>AG$9&gt;=20/24</formula>
    </cfRule>
    <cfRule type="expression" dxfId="5817" priority="148">
      <formula>AND(AG$9&gt;=14/24,AG$9&lt;20/24)</formula>
    </cfRule>
    <cfRule type="expression" dxfId="5816" priority="149">
      <formula>AND(AG$9&gt;=8/24,AG$9&lt;14/24)</formula>
    </cfRule>
    <cfRule type="expression" dxfId="5815" priority="150">
      <formula>AG$9&lt;8/24</formula>
    </cfRule>
  </conditionalFormatting>
  <conditionalFormatting sqref="AG48">
    <cfRule type="expression" dxfId="5814" priority="146">
      <formula>AG48&gt;$AG48</formula>
    </cfRule>
  </conditionalFormatting>
  <conditionalFormatting sqref="C103:AF103">
    <cfRule type="expression" dxfId="5813" priority="142">
      <formula>C$9&gt;=20/24</formula>
    </cfRule>
    <cfRule type="expression" dxfId="5812" priority="143">
      <formula>AND(C$9&gt;=14/24,C$9&lt;20/24)</formula>
    </cfRule>
    <cfRule type="expression" dxfId="5811" priority="144">
      <formula>AND(C$9&gt;=8/24,C$9&lt;14/24)</formula>
    </cfRule>
    <cfRule type="expression" dxfId="5810" priority="145">
      <formula>C$9&lt;8/24</formula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5809" priority="140">
      <formula>$AH37=0</formula>
    </cfRule>
  </conditionalFormatting>
  <conditionalFormatting sqref="A86">
    <cfRule type="expression" dxfId="5808" priority="138">
      <formula>$AH86=0</formula>
    </cfRule>
  </conditionalFormatting>
  <conditionalFormatting sqref="A83">
    <cfRule type="expression" dxfId="5807" priority="139">
      <formula>$AH83=0</formula>
    </cfRule>
  </conditionalFormatting>
  <conditionalFormatting sqref="A113">
    <cfRule type="expression" dxfId="5806" priority="129">
      <formula>$AH113=0</formula>
    </cfRule>
  </conditionalFormatting>
  <conditionalFormatting sqref="E106:AF106">
    <cfRule type="expression" dxfId="5805" priority="125">
      <formula>E$9&gt;=20/24</formula>
    </cfRule>
    <cfRule type="expression" dxfId="5804" priority="126">
      <formula>AND(E$9&gt;=14/24,E$9&lt;20/24)</formula>
    </cfRule>
    <cfRule type="expression" dxfId="5803" priority="127">
      <formula>AND(E$9&gt;=8/24,E$9&lt;14/24)</formula>
    </cfRule>
    <cfRule type="expression" dxfId="5802" priority="128">
      <formula>E$9&lt;8/24</formula>
    </cfRule>
  </conditionalFormatting>
  <conditionalFormatting sqref="A106">
    <cfRule type="expression" dxfId="5801" priority="124">
      <formula>$AH106=0</formula>
    </cfRule>
  </conditionalFormatting>
  <conditionalFormatting sqref="A19">
    <cfRule type="expression" dxfId="5800" priority="122">
      <formula>$AH19=0</formula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5799" priority="120">
      <formula>$AH34=0</formula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Y95:AD95">
    <cfRule type="expression" dxfId="5798" priority="116">
      <formula>Y$9&gt;=20/24</formula>
    </cfRule>
    <cfRule type="expression" dxfId="5797" priority="117">
      <formula>AND(Y$9&gt;=14/24,Y$9&lt;20/24)</formula>
    </cfRule>
    <cfRule type="expression" dxfId="5796" priority="118">
      <formula>AND(Y$9&gt;=8/24,Y$9&lt;14/24)</formula>
    </cfRule>
    <cfRule type="expression" dxfId="5795" priority="119">
      <formula>Y$9&lt;8/24</formula>
    </cfRule>
  </conditionalFormatting>
  <conditionalFormatting sqref="Y96:AD102">
    <cfRule type="expression" dxfId="5794" priority="112">
      <formula>Y$9&gt;=20/24</formula>
    </cfRule>
    <cfRule type="expression" dxfId="5793" priority="113">
      <formula>AND(Y$9&gt;=14/24,Y$9&lt;20/24)</formula>
    </cfRule>
    <cfRule type="expression" dxfId="5792" priority="114">
      <formula>AND(Y$9&gt;=8/24,Y$9&lt;14/24)</formula>
    </cfRule>
    <cfRule type="expression" dxfId="5791" priority="115">
      <formula>Y$9&lt;8/24</formula>
    </cfRule>
  </conditionalFormatting>
  <conditionalFormatting sqref="B105:D105 B107:D112 B15:X40">
    <cfRule type="expression" dxfId="5790" priority="108">
      <formula>B$9&gt;=20/24</formula>
    </cfRule>
    <cfRule type="expression" dxfId="5789" priority="109">
      <formula>AND(B$9&gt;=14/24,B$9&lt;20/24)</formula>
    </cfRule>
    <cfRule type="expression" dxfId="5788" priority="110">
      <formula>AND(B$9&gt;=8/24,B$9&lt;14/24)</formula>
    </cfRule>
    <cfRule type="expression" dxfId="5787" priority="111">
      <formula>B$9&lt;8/24</formula>
    </cfRule>
  </conditionalFormatting>
  <conditionalFormatting sqref="B43:S43">
    <cfRule type="expression" dxfId="5786" priority="104">
      <formula>B$9&gt;=20/24</formula>
    </cfRule>
    <cfRule type="expression" dxfId="5785" priority="105">
      <formula>AND(B$9&gt;=14/24,B$9&lt;20/24)</formula>
    </cfRule>
    <cfRule type="expression" dxfId="5784" priority="106">
      <formula>AND(B$9&gt;=8/24,B$9&lt;14/24)</formula>
    </cfRule>
    <cfRule type="expression" dxfId="5783" priority="107">
      <formula>B$9&lt;8/24</formula>
    </cfRule>
  </conditionalFormatting>
  <conditionalFormatting sqref="B43:S43 B15:X40">
    <cfRule type="expression" dxfId="5782" priority="103">
      <formula>B15&gt;$AG15</formula>
    </cfRule>
  </conditionalFormatting>
  <conditionalFormatting sqref="B95:D95">
    <cfRule type="expression" dxfId="5781" priority="99">
      <formula>B$9&gt;=20/24</formula>
    </cfRule>
    <cfRule type="expression" dxfId="5780" priority="100">
      <formula>AND(B$9&gt;=14/24,B$9&lt;20/24)</formula>
    </cfRule>
    <cfRule type="expression" dxfId="5779" priority="101">
      <formula>AND(B$9&gt;=8/24,B$9&lt;14/24)</formula>
    </cfRule>
    <cfRule type="expression" dxfId="5778" priority="102">
      <formula>B$9&lt;8/24</formula>
    </cfRule>
  </conditionalFormatting>
  <conditionalFormatting sqref="B50:D51 B67:D67">
    <cfRule type="expression" dxfId="5777" priority="95">
      <formula>B$9&gt;=20/24</formula>
    </cfRule>
    <cfRule type="expression" dxfId="5776" priority="96">
      <formula>AND(B$9&gt;=14/24,B$9&lt;20/24)</formula>
    </cfRule>
    <cfRule type="expression" dxfId="5775" priority="97">
      <formula>AND(B$9&gt;=8/24,B$9&lt;14/24)</formula>
    </cfRule>
    <cfRule type="expression" dxfId="5774" priority="98">
      <formula>B$9&lt;8/24</formula>
    </cfRule>
  </conditionalFormatting>
  <conditionalFormatting sqref="B49:D49">
    <cfRule type="expression" dxfId="5773" priority="91">
      <formula>B$9&gt;=20/24</formula>
    </cfRule>
    <cfRule type="expression" dxfId="5772" priority="92">
      <formula>AND(B$9&gt;=14/24,B$9&lt;20/24)</formula>
    </cfRule>
    <cfRule type="expression" dxfId="5771" priority="93">
      <formula>AND(B$9&gt;=8/24,B$9&lt;14/24)</formula>
    </cfRule>
    <cfRule type="expression" dxfId="5770" priority="94">
      <formula>B$9&lt;8/24</formula>
    </cfRule>
  </conditionalFormatting>
  <conditionalFormatting sqref="B49:D51">
    <cfRule type="expression" dxfId="5769" priority="90">
      <formula>B49&gt;$AG49</formula>
    </cfRule>
  </conditionalFormatting>
  <conditionalFormatting sqref="B82:C82 B92:W92 B79:AF81 B68:D72 B96:D102 B63:U65 E70:X72 Y71:AE72 AE73:AE77 AF71:AF77">
    <cfRule type="expression" dxfId="5768" priority="86">
      <formula>B$9&gt;=20/24</formula>
    </cfRule>
    <cfRule type="expression" dxfId="5767" priority="87">
      <formula>AND(B$9&gt;=14/24,B$9&lt;20/24)</formula>
    </cfRule>
    <cfRule type="expression" dxfId="5766" priority="88">
      <formula>AND(B$9&gt;=8/24,B$9&lt;14/24)</formula>
    </cfRule>
    <cfRule type="expression" dxfId="5765" priority="89">
      <formula>B$9&lt;8/24</formula>
    </cfRule>
  </conditionalFormatting>
  <conditionalFormatting sqref="B52:L53 B63:U65">
    <cfRule type="expression" dxfId="5764" priority="85">
      <formula>B52&gt;$AG52</formula>
    </cfRule>
  </conditionalFormatting>
  <conditionalFormatting sqref="B54:Q54">
    <cfRule type="expression" dxfId="5763" priority="81">
      <formula>B$9&gt;=20/24</formula>
    </cfRule>
    <cfRule type="expression" dxfId="5762" priority="82">
      <formula>AND(B$9&gt;=14/24,B$9&lt;20/24)</formula>
    </cfRule>
    <cfRule type="expression" dxfId="5761" priority="83">
      <formula>AND(B$9&gt;=8/24,B$9&lt;14/24)</formula>
    </cfRule>
    <cfRule type="expression" dxfId="5760" priority="84">
      <formula>B$9&lt;8/24</formula>
    </cfRule>
  </conditionalFormatting>
  <conditionalFormatting sqref="B54:Q54">
    <cfRule type="expression" dxfId="5759" priority="80">
      <formula>B54&gt;$AG54</formula>
    </cfRule>
  </conditionalFormatting>
  <conditionalFormatting sqref="B84 B93">
    <cfRule type="expression" dxfId="5758" priority="76">
      <formula>B$9&gt;=20/24</formula>
    </cfRule>
    <cfRule type="expression" dxfId="5757" priority="77">
      <formula>AND(B$9&gt;=14/24,B$9&lt;20/24)</formula>
    </cfRule>
    <cfRule type="expression" dxfId="5756" priority="78">
      <formula>AND(B$9&gt;=8/24,B$9&lt;14/24)</formula>
    </cfRule>
    <cfRule type="expression" dxfId="5755" priority="79">
      <formula>B$9&lt;8/24</formula>
    </cfRule>
  </conditionalFormatting>
  <conditionalFormatting sqref="B42:X42">
    <cfRule type="expression" dxfId="5754" priority="72">
      <formula>B$9&gt;=20/24</formula>
    </cfRule>
    <cfRule type="expression" dxfId="5753" priority="73">
      <formula>AND(B$9&gt;=14/24,B$9&lt;20/24)</formula>
    </cfRule>
    <cfRule type="expression" dxfId="5752" priority="74">
      <formula>AND(B$9&gt;=8/24,B$9&lt;14/24)</formula>
    </cfRule>
    <cfRule type="expression" dxfId="5751" priority="75">
      <formula>B$9&lt;8/24</formula>
    </cfRule>
  </conditionalFormatting>
  <conditionalFormatting sqref="B42:X42">
    <cfRule type="expression" dxfId="5750" priority="71">
      <formula>B42&gt;$AG42</formula>
    </cfRule>
  </conditionalFormatting>
  <conditionalFormatting sqref="B66:AF66 B83:AF83 B85:AF85 B94:AF94">
    <cfRule type="expression" dxfId="5749" priority="67">
      <formula>B$9&gt;=20/24</formula>
    </cfRule>
    <cfRule type="expression" dxfId="5748" priority="68">
      <formula>AND(B$9&gt;=14/24,B$9&lt;20/24)</formula>
    </cfRule>
    <cfRule type="expression" dxfId="5747" priority="69">
      <formula>AND(B$9&gt;=8/24,B$9&lt;14/24)</formula>
    </cfRule>
    <cfRule type="expression" dxfId="5746" priority="70">
      <formula>B$9&lt;8/24</formula>
    </cfRule>
  </conditionalFormatting>
  <conditionalFormatting sqref="B44:AF44 B61:AF62 B66:AF66">
    <cfRule type="expression" dxfId="5745" priority="66">
      <formula>B44&gt;$AG44</formula>
    </cfRule>
  </conditionalFormatting>
  <conditionalFormatting sqref="B78:AF78">
    <cfRule type="expression" dxfId="5744" priority="62">
      <formula>B$9&gt;=20/24</formula>
    </cfRule>
    <cfRule type="expression" dxfId="5743" priority="63">
      <formula>AND(B$9&gt;=14/24,B$9&lt;20/24)</formula>
    </cfRule>
    <cfRule type="expression" dxfId="5742" priority="64">
      <formula>AND(B$9&gt;=8/24,B$9&lt;14/24)</formula>
    </cfRule>
    <cfRule type="expression" dxfId="5741" priority="65">
      <formula>B$9&lt;8/24</formula>
    </cfRule>
  </conditionalFormatting>
  <conditionalFormatting sqref="B87:W91">
    <cfRule type="expression" dxfId="5740" priority="58">
      <formula>B$9&gt;=20/24</formula>
    </cfRule>
    <cfRule type="expression" dxfId="5739" priority="59">
      <formula>AND(B$9&gt;=14/24,B$9&lt;20/24)</formula>
    </cfRule>
    <cfRule type="expression" dxfId="5738" priority="60">
      <formula>AND(B$9&gt;=8/24,B$9&lt;14/24)</formula>
    </cfRule>
    <cfRule type="expression" dxfId="5737" priority="61">
      <formula>B$9&lt;8/24</formula>
    </cfRule>
  </conditionalFormatting>
  <conditionalFormatting sqref="B45:D47">
    <cfRule type="expression" dxfId="5736" priority="54">
      <formula>B$9&gt;=20/24</formula>
    </cfRule>
    <cfRule type="expression" dxfId="5735" priority="55">
      <formula>AND(B$9&gt;=14/24,B$9&lt;20/24)</formula>
    </cfRule>
    <cfRule type="expression" dxfId="5734" priority="56">
      <formula>AND(B$9&gt;=8/24,B$9&lt;14/24)</formula>
    </cfRule>
    <cfRule type="expression" dxfId="5733" priority="57">
      <formula>B$9&lt;8/24</formula>
    </cfRule>
  </conditionalFormatting>
  <conditionalFormatting sqref="B45:D47">
    <cfRule type="expression" dxfId="5732" priority="53">
      <formula>B45&gt;$AG45</formula>
    </cfRule>
  </conditionalFormatting>
  <conditionalFormatting sqref="B48:AF48">
    <cfRule type="expression" dxfId="5731" priority="49">
      <formula>B$9&gt;=20/24</formula>
    </cfRule>
    <cfRule type="expression" dxfId="5730" priority="50">
      <formula>AND(B$9&gt;=14/24,B$9&lt;20/24)</formula>
    </cfRule>
    <cfRule type="expression" dxfId="5729" priority="51">
      <formula>AND(B$9&gt;=8/24,B$9&lt;14/24)</formula>
    </cfRule>
    <cfRule type="expression" dxfId="5728" priority="52">
      <formula>B$9&lt;8/24</formula>
    </cfRule>
  </conditionalFormatting>
  <conditionalFormatting sqref="B48:AF48">
    <cfRule type="expression" dxfId="5727" priority="48">
      <formula>B48&gt;$AG48</formula>
    </cfRule>
  </conditionalFormatting>
  <conditionalFormatting sqref="B103">
    <cfRule type="expression" dxfId="5726" priority="44">
      <formula>B$9&gt;=20/24</formula>
    </cfRule>
    <cfRule type="expression" dxfId="5725" priority="45">
      <formula>AND(B$9&gt;=14/24,B$9&lt;20/24)</formula>
    </cfRule>
    <cfRule type="expression" dxfId="5724" priority="46">
      <formula>AND(B$9&gt;=8/24,B$9&lt;14/24)</formula>
    </cfRule>
    <cfRule type="expression" dxfId="5723" priority="47">
      <formula>B$9&lt;8/24</formula>
    </cfRule>
  </conditionalFormatting>
  <conditionalFormatting sqref="B106:D106">
    <cfRule type="expression" dxfId="5722" priority="32">
      <formula>B$9&gt;=20/24</formula>
    </cfRule>
    <cfRule type="expression" dxfId="5721" priority="33">
      <formula>AND(B$9&gt;=14/24,B$9&lt;20/24)</formula>
    </cfRule>
    <cfRule type="expression" dxfId="5720" priority="34">
      <formula>AND(B$9&gt;=8/24,B$9&lt;14/24)</formula>
    </cfRule>
    <cfRule type="expression" dxfId="5719" priority="35">
      <formula>B$9&lt;8/24</formula>
    </cfRule>
  </conditionalFormatting>
  <conditionalFormatting sqref="B55:U60 V56:X60 Y55:AF60">
    <cfRule type="expression" dxfId="5718" priority="28">
      <formula>B$9&gt;=20/24</formula>
    </cfRule>
    <cfRule type="expression" dxfId="5717" priority="29">
      <formula>AND(B$9&gt;=14/24,B$9&lt;20/24)</formula>
    </cfRule>
    <cfRule type="expression" dxfId="5716" priority="30">
      <formula>AND(B$9&gt;=8/24,B$9&lt;14/24)</formula>
    </cfRule>
    <cfRule type="expression" dxfId="5715" priority="31">
      <formula>B$9&lt;8/24</formula>
    </cfRule>
  </conditionalFormatting>
  <conditionalFormatting sqref="B55:U60 V56:X60 Y55:AF60">
    <cfRule type="expression" dxfId="5714" priority="27">
      <formula>B55&gt;$AG55</formula>
    </cfRule>
  </conditionalFormatting>
  <conditionalFormatting sqref="B41:X41 B12:X14">
    <cfRule type="expression" dxfId="5713" priority="26">
      <formula>B12&gt;$AG12</formula>
    </cfRule>
  </conditionalFormatting>
  <conditionalFormatting sqref="B11:X11">
    <cfRule type="expression" dxfId="5712" priority="22">
      <formula>B$9&gt;=20/24</formula>
    </cfRule>
    <cfRule type="expression" dxfId="5711" priority="23">
      <formula>AND(B$9&gt;=14/24,B$9&lt;20/24)</formula>
    </cfRule>
    <cfRule type="expression" dxfId="5710" priority="24">
      <formula>AND(B$9&gt;=8/24,B$9&lt;14/24)</formula>
    </cfRule>
    <cfRule type="expression" dxfId="5709" priority="25">
      <formula>B$9&lt;8/24</formula>
    </cfRule>
  </conditionalFormatting>
  <conditionalFormatting sqref="B11:X11">
    <cfRule type="expression" dxfId="5708" priority="21">
      <formula>B11&gt;$AG11</formula>
    </cfRule>
  </conditionalFormatting>
  <conditionalFormatting sqref="B12:X14">
    <cfRule type="expression" dxfId="5707" priority="17">
      <formula>B$9&gt;=20/24</formula>
    </cfRule>
    <cfRule type="expression" dxfId="5706" priority="18">
      <formula>AND(B$9&gt;=14/24,B$9&lt;20/24)</formula>
    </cfRule>
    <cfRule type="expression" dxfId="5705" priority="19">
      <formula>AND(B$9&gt;=8/24,B$9&lt;14/24)</formula>
    </cfRule>
    <cfRule type="expression" dxfId="5704" priority="20">
      <formula>B$9&lt;8/24</formula>
    </cfRule>
  </conditionalFormatting>
  <conditionalFormatting sqref="B41:X41">
    <cfRule type="expression" dxfId="5703" priority="13">
      <formula>B$9&gt;=20/24</formula>
    </cfRule>
    <cfRule type="expression" dxfId="5702" priority="14">
      <formula>AND(B$9&gt;=14/24,B$9&lt;20/24)</formula>
    </cfRule>
    <cfRule type="expression" dxfId="5701" priority="15">
      <formula>AND(B$9&gt;=8/24,B$9&lt;14/24)</formula>
    </cfRule>
    <cfRule type="expression" dxfId="5700" priority="16">
      <formula>B$9&lt;8/24</formula>
    </cfRule>
  </conditionalFormatting>
  <conditionalFormatting sqref="B73:AD77">
    <cfRule type="expression" dxfId="5699" priority="9">
      <formula>B$9&gt;=20/24</formula>
    </cfRule>
    <cfRule type="expression" dxfId="5698" priority="10">
      <formula>AND(B$9&gt;=14/24,B$9&lt;20/24)</formula>
    </cfRule>
    <cfRule type="expression" dxfId="5697" priority="11">
      <formula>AND(B$9&gt;=8/24,B$9&lt;14/24)</formula>
    </cfRule>
    <cfRule type="expression" dxfId="5696" priority="12">
      <formula>B$9&lt;8/24</formula>
    </cfRule>
  </conditionalFormatting>
  <conditionalFormatting sqref="AL74:AN74 AL80:AN80 AN75:AN76">
    <cfRule type="expression" dxfId="5695" priority="5">
      <formula>AL$9&gt;=20/24</formula>
    </cfRule>
    <cfRule type="expression" dxfId="5694" priority="6">
      <formula>AND(AL$9&gt;=14/24,AL$9&lt;20/24)</formula>
    </cfRule>
    <cfRule type="expression" dxfId="5693" priority="7">
      <formula>AND(AL$9&gt;=8/24,AL$9&lt;14/24)</formula>
    </cfRule>
    <cfRule type="expression" dxfId="5692" priority="8">
      <formula>AL$9&lt;8/24</formula>
    </cfRule>
  </conditionalFormatting>
  <conditionalFormatting sqref="AN77:AN78">
    <cfRule type="expression" dxfId="5691" priority="1">
      <formula>AN$9&gt;=20/24</formula>
    </cfRule>
    <cfRule type="expression" dxfId="5690" priority="2">
      <formula>AND(AN$9&gt;=14/24,AN$9&lt;20/24)</formula>
    </cfRule>
    <cfRule type="expression" dxfId="5689" priority="3">
      <formula>AND(AN$9&gt;=8/24,AN$9&lt;14/24)</formula>
    </cfRule>
    <cfRule type="expression" dxfId="5688" priority="4">
      <formula>AN$9&lt;8/24</formula>
    </cfRule>
  </conditionalFormatting>
  <conditionalFormatting sqref="AL75:AM79">
    <cfRule type="expression" dxfId="5687" priority="258">
      <formula>AJ$9&gt;=20/24</formula>
    </cfRule>
    <cfRule type="expression" dxfId="5686" priority="259">
      <formula>AND(AJ$9&gt;=14/24,AJ$9&lt;20/24)</formula>
    </cfRule>
    <cfRule type="expression" dxfId="5685" priority="260">
      <formula>AND(AJ$9&gt;=8/24,AJ$9&lt;14/24)</formula>
    </cfRule>
    <cfRule type="expression" dxfId="5684" priority="261">
      <formula>AJ$9&lt;8/24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4" id="{6FE190E9-88D6-4C01-9848-19112FF0E7B9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327A7867-1F20-40FF-B618-77283C505870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BAD5F6E9-7639-4B62-A8DC-1C3229DBFA5F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36E03B44-B496-44E0-AAC6-2A0A099B2ED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E113:AF113</xm:sqref>
        </x14:conditionalFormatting>
        <x14:conditionalFormatting xmlns:xm="http://schemas.microsoft.com/office/excel/2006/main">
          <x14:cfRule type="expression" priority="130" id="{D2678192-3C58-4AAF-AF70-BE4FBD5AFD11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081022B8-EB5C-4FA3-9D54-A6C5365BAF72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9D3B9BE7-59E6-433E-9B68-69AF6B4B1EAB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2306CD96-5451-4F17-8C7D-7CC8135904D8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C113:D113</xm:sqref>
        </x14:conditionalFormatting>
        <x14:conditionalFormatting xmlns:xm="http://schemas.microsoft.com/office/excel/2006/main">
          <x14:cfRule type="expression" priority="40" id="{AFB3B309-C4AA-499A-B095-BC6E436567C9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93BC990A-C002-4AB0-849B-3741F81DF5A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" id="{9AF0CDEE-FF82-4938-A26A-201618F0E061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" id="{5DDB7BE1-B91D-4BCE-B982-F686A071F27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6" id="{0C6FB2B1-AC72-401C-A444-80610651391F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BFAC8C5F-A2E4-42F5-8534-72F66EDCF412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EBA46513-3891-4A3B-A11A-DAB8A6AC662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E5CCE5A0-3676-4D4C-BE01-5D95AB69D2AE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J274"/>
  <sheetViews>
    <sheetView workbookViewId="0">
      <pane ySplit="10" topLeftCell="A41" activePane="bottomLeft" state="frozen"/>
      <selection activeCell="U80" sqref="U80"/>
      <selection pane="bottomLeft" activeCell="O53" sqref="O5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5703125" style="1" bestFit="1" customWidth="1"/>
    <col min="11" max="11" width="6" style="1" bestFit="1" customWidth="1"/>
    <col min="12" max="12" width="6.5703125" style="1" bestFit="1" customWidth="1"/>
    <col min="13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/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str">
        <f ca="1">"2079/"&amp;"09/"&amp;INT(MID(CELL("filename",D6),FIND("]",CELL("filename",D6))+1,200))</f>
        <v>2079/09/15</v>
      </c>
      <c r="C4" s="771"/>
      <c r="D4" s="771"/>
      <c r="E4" s="772" t="str">
        <f ca="1">"2079/"&amp;"09/"&amp;INT(MID(CELL("filename",G6),FIND("]",CELL("filename",G6))+1,200))</f>
        <v>2079/09/15</v>
      </c>
      <c r="F4" s="772"/>
      <c r="G4" s="772"/>
      <c r="H4" s="772" t="str">
        <f ca="1">TEXT(E4,"dddd")</f>
        <v>Friday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450</v>
      </c>
      <c r="C5" s="30">
        <f t="shared" si="0"/>
        <v>420</v>
      </c>
      <c r="D5" s="30">
        <f t="shared" si="0"/>
        <v>382</v>
      </c>
      <c r="E5" s="30">
        <f t="shared" si="0"/>
        <v>351</v>
      </c>
      <c r="F5" s="30">
        <f t="shared" si="0"/>
        <v>384</v>
      </c>
      <c r="G5" s="30">
        <f t="shared" si="0"/>
        <v>390</v>
      </c>
      <c r="H5" s="30">
        <f t="shared" si="0"/>
        <v>456</v>
      </c>
      <c r="I5" s="30">
        <f t="shared" si="0"/>
        <v>466.7</v>
      </c>
      <c r="J5" s="30">
        <f t="shared" si="0"/>
        <v>467.2</v>
      </c>
      <c r="K5" s="30">
        <f t="shared" si="0"/>
        <v>482.3</v>
      </c>
      <c r="L5" s="30">
        <f t="shared" si="0"/>
        <v>457.6</v>
      </c>
      <c r="M5" s="30">
        <f t="shared" si="0"/>
        <v>455.2</v>
      </c>
      <c r="N5" s="30">
        <f t="shared" si="0"/>
        <v>441.8</v>
      </c>
      <c r="O5" s="30">
        <f t="shared" si="0"/>
        <v>493.5</v>
      </c>
      <c r="P5" s="30">
        <f t="shared" si="0"/>
        <v>495</v>
      </c>
      <c r="Q5" s="30">
        <f t="shared" si="0"/>
        <v>495</v>
      </c>
      <c r="R5" s="30">
        <f t="shared" si="0"/>
        <v>473</v>
      </c>
      <c r="S5" s="30">
        <f t="shared" si="0"/>
        <v>478.3</v>
      </c>
      <c r="T5" s="30">
        <f t="shared" si="0"/>
        <v>431</v>
      </c>
      <c r="U5" s="30">
        <f t="shared" si="0"/>
        <v>411.44</v>
      </c>
      <c r="V5" s="30">
        <f t="shared" si="0"/>
        <v>391</v>
      </c>
      <c r="W5" s="30">
        <f t="shared" si="0"/>
        <v>418</v>
      </c>
      <c r="X5" s="30">
        <f t="shared" si="0"/>
        <v>396</v>
      </c>
      <c r="Y5" s="30">
        <f t="shared" si="0"/>
        <v>375</v>
      </c>
      <c r="Z5" s="30">
        <f t="shared" si="0"/>
        <v>392</v>
      </c>
      <c r="AA5" s="30">
        <f t="shared" si="0"/>
        <v>462</v>
      </c>
      <c r="AB5" s="30">
        <f t="shared" si="0"/>
        <v>393.3</v>
      </c>
      <c r="AC5" s="30">
        <f t="shared" si="0"/>
        <v>418</v>
      </c>
      <c r="AD5" s="30">
        <f t="shared" si="0"/>
        <v>388</v>
      </c>
      <c r="AE5" s="30">
        <f t="shared" si="0"/>
        <v>417</v>
      </c>
      <c r="AF5" s="30">
        <f>B78</f>
        <v>447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1607MW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Load=919</v>
      </c>
      <c r="B7" s="35">
        <f t="shared" ref="B7:AF7" si="1">B85</f>
        <v>1000.84</v>
      </c>
      <c r="C7" s="35">
        <f t="shared" si="1"/>
        <v>986.84</v>
      </c>
      <c r="D7" s="35">
        <f t="shared" si="1"/>
        <v>956.84</v>
      </c>
      <c r="E7" s="35">
        <f t="shared" si="1"/>
        <v>918.84</v>
      </c>
      <c r="F7" s="35">
        <f t="shared" si="1"/>
        <v>995.74</v>
      </c>
      <c r="G7" s="35">
        <f t="shared" si="1"/>
        <v>1034.74</v>
      </c>
      <c r="H7" s="35">
        <f t="shared" si="1"/>
        <v>1101.1399999999999</v>
      </c>
      <c r="I7" s="35">
        <f t="shared" si="1"/>
        <v>1169.54</v>
      </c>
      <c r="J7" s="35">
        <f t="shared" si="1"/>
        <v>1249.74</v>
      </c>
      <c r="K7" s="35">
        <f t="shared" si="1"/>
        <v>1283.53</v>
      </c>
      <c r="L7" s="35">
        <f t="shared" si="1"/>
        <v>1583.34</v>
      </c>
      <c r="M7" s="35">
        <f t="shared" si="1"/>
        <v>1607.2399999999998</v>
      </c>
      <c r="N7" s="35">
        <f>N85</f>
        <v>1451.64</v>
      </c>
      <c r="O7" s="35">
        <f t="shared" si="1"/>
        <v>1369.64</v>
      </c>
      <c r="P7" s="35">
        <f t="shared" si="1"/>
        <v>1384.17</v>
      </c>
      <c r="Q7" s="35">
        <f t="shared" si="1"/>
        <v>1333.3400000000001</v>
      </c>
      <c r="R7" s="35">
        <f t="shared" si="1"/>
        <v>1333.3400000000001</v>
      </c>
      <c r="S7" s="35">
        <f t="shared" si="1"/>
        <v>1256.94</v>
      </c>
      <c r="T7" s="35">
        <f t="shared" si="1"/>
        <v>1260.3399999999999</v>
      </c>
      <c r="U7" s="35">
        <f t="shared" si="1"/>
        <v>1206.3400000000001</v>
      </c>
      <c r="V7" s="35">
        <f t="shared" si="1"/>
        <v>1216.3800000000001</v>
      </c>
      <c r="W7" s="35">
        <f t="shared" si="1"/>
        <v>1400.8400000000001</v>
      </c>
      <c r="X7" s="35">
        <f t="shared" si="1"/>
        <v>1490.14</v>
      </c>
      <c r="Y7" s="35">
        <f t="shared" si="1"/>
        <v>1581.24</v>
      </c>
      <c r="Z7" s="35">
        <f t="shared" si="1"/>
        <v>1592.84</v>
      </c>
      <c r="AA7" s="35">
        <f t="shared" si="1"/>
        <v>1562.44</v>
      </c>
      <c r="AB7" s="35">
        <f t="shared" si="1"/>
        <v>1578.8400000000001</v>
      </c>
      <c r="AC7" s="35">
        <f t="shared" si="1"/>
        <v>1412.24</v>
      </c>
      <c r="AD7" s="35">
        <f t="shared" si="1"/>
        <v>1420.74</v>
      </c>
      <c r="AE7" s="35">
        <f t="shared" si="1"/>
        <v>1224.74</v>
      </c>
      <c r="AF7" s="35">
        <f t="shared" si="1"/>
        <v>1145.74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16</v>
      </c>
      <c r="C11" s="45">
        <v>16</v>
      </c>
      <c r="D11" s="45">
        <v>16</v>
      </c>
      <c r="E11" s="45">
        <v>16</v>
      </c>
      <c r="F11" s="45">
        <v>16</v>
      </c>
      <c r="G11" s="45">
        <v>17.100000000000001</v>
      </c>
      <c r="H11" s="45">
        <v>16.899999999999999</v>
      </c>
      <c r="I11" s="45">
        <v>16.899999999999999</v>
      </c>
      <c r="J11" s="45">
        <v>17.600000000000001</v>
      </c>
      <c r="K11" s="45">
        <v>17.7</v>
      </c>
      <c r="L11" s="45">
        <v>17.7</v>
      </c>
      <c r="M11" s="45">
        <v>17.7</v>
      </c>
      <c r="N11" s="45">
        <v>18.100000000000001</v>
      </c>
      <c r="O11" s="45">
        <v>16.100000000000001</v>
      </c>
      <c r="P11" s="45">
        <v>14.8</v>
      </c>
      <c r="Q11" s="45">
        <v>18.600000000000001</v>
      </c>
      <c r="R11" s="45">
        <v>18.600000000000001</v>
      </c>
      <c r="S11" s="45">
        <v>18.600000000000001</v>
      </c>
      <c r="T11" s="45">
        <v>18.600000000000001</v>
      </c>
      <c r="U11" s="45">
        <v>18.600000000000001</v>
      </c>
      <c r="V11" s="45">
        <v>18.600000000000001</v>
      </c>
      <c r="W11" s="45">
        <v>18.600000000000001</v>
      </c>
      <c r="X11" s="45">
        <v>18.600000000000001</v>
      </c>
      <c r="Y11" s="45">
        <v>17</v>
      </c>
      <c r="Z11" s="45">
        <v>17</v>
      </c>
      <c r="AA11" s="45">
        <v>17</v>
      </c>
      <c r="AB11" s="45">
        <v>16.7</v>
      </c>
      <c r="AC11" s="45">
        <v>16.7</v>
      </c>
      <c r="AD11" s="45">
        <v>16.7</v>
      </c>
      <c r="AE11" s="45">
        <v>16.7</v>
      </c>
      <c r="AF11" s="45">
        <v>16.7</v>
      </c>
      <c r="AG11" s="46">
        <v>52.4</v>
      </c>
      <c r="AH11" s="47">
        <f t="shared" ref="AH11:AH74" si="2">MAX(B11:AF11)</f>
        <v>18.600000000000001</v>
      </c>
      <c r="AI11" s="48">
        <f t="shared" ref="AI11:AI74" si="3">MIN(B11:AF11)</f>
        <v>14.8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32.700000000000003</v>
      </c>
      <c r="C12" s="45">
        <v>32.700000000000003</v>
      </c>
      <c r="D12" s="45">
        <v>32.700000000000003</v>
      </c>
      <c r="E12" s="45">
        <v>32.700000000000003</v>
      </c>
      <c r="F12" s="45">
        <v>32.700000000000003</v>
      </c>
      <c r="G12" s="45">
        <v>34</v>
      </c>
      <c r="H12" s="45">
        <v>33.6</v>
      </c>
      <c r="I12" s="45">
        <v>33.6</v>
      </c>
      <c r="J12" s="45">
        <v>33.6</v>
      </c>
      <c r="K12" s="45">
        <v>33.69</v>
      </c>
      <c r="L12" s="45">
        <v>33.700000000000003</v>
      </c>
      <c r="M12" s="45">
        <v>33.700000000000003</v>
      </c>
      <c r="N12" s="45">
        <v>33.700000000000003</v>
      </c>
      <c r="O12" s="45">
        <v>33.700000000000003</v>
      </c>
      <c r="P12" s="45">
        <v>33.799999999999997</v>
      </c>
      <c r="Q12" s="45">
        <v>33.799999999999997</v>
      </c>
      <c r="R12" s="45">
        <v>33.799999999999997</v>
      </c>
      <c r="S12" s="45">
        <v>33.799999999999997</v>
      </c>
      <c r="T12" s="45">
        <v>33.799999999999997</v>
      </c>
      <c r="U12" s="45">
        <v>33.799999999999997</v>
      </c>
      <c r="V12" s="45">
        <v>33.799999999999997</v>
      </c>
      <c r="W12" s="45">
        <v>33.799999999999997</v>
      </c>
      <c r="X12" s="45">
        <v>33.799999999999997</v>
      </c>
      <c r="Y12" s="45">
        <v>33.799999999999997</v>
      </c>
      <c r="Z12" s="45">
        <v>33.799999999999997</v>
      </c>
      <c r="AA12" s="45">
        <v>33.799999999999997</v>
      </c>
      <c r="AB12" s="45">
        <v>34.200000000000003</v>
      </c>
      <c r="AC12" s="45">
        <v>34.200000000000003</v>
      </c>
      <c r="AD12" s="45">
        <v>34.200000000000003</v>
      </c>
      <c r="AE12" s="45">
        <v>34.200000000000003</v>
      </c>
      <c r="AF12" s="45">
        <v>34.200000000000003</v>
      </c>
      <c r="AG12" s="50">
        <v>50</v>
      </c>
      <c r="AH12" s="47">
        <f t="shared" si="2"/>
        <v>34.200000000000003</v>
      </c>
      <c r="AI12" s="48">
        <f t="shared" si="3"/>
        <v>32.700000000000003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21</v>
      </c>
      <c r="C13" s="45">
        <v>21</v>
      </c>
      <c r="D13" s="45">
        <v>21</v>
      </c>
      <c r="E13" s="45">
        <v>21</v>
      </c>
      <c r="F13" s="45">
        <v>21</v>
      </c>
      <c r="G13" s="45">
        <v>18.600000000000001</v>
      </c>
      <c r="H13" s="45">
        <v>18.8</v>
      </c>
      <c r="I13" s="45">
        <v>18.8</v>
      </c>
      <c r="J13" s="45">
        <v>18.8</v>
      </c>
      <c r="K13" s="45">
        <v>18.5</v>
      </c>
      <c r="L13" s="45">
        <v>18.600000000000001</v>
      </c>
      <c r="M13" s="45">
        <v>18.600000000000001</v>
      </c>
      <c r="N13" s="45">
        <v>15.8</v>
      </c>
      <c r="O13" s="45">
        <v>18.3</v>
      </c>
      <c r="P13" s="45">
        <v>15.7</v>
      </c>
      <c r="Q13" s="45">
        <v>15.7</v>
      </c>
      <c r="R13" s="45">
        <v>15.7</v>
      </c>
      <c r="S13" s="45">
        <v>15.7</v>
      </c>
      <c r="T13" s="45">
        <v>15.7</v>
      </c>
      <c r="U13" s="45">
        <v>15.7</v>
      </c>
      <c r="V13" s="45">
        <v>15.7</v>
      </c>
      <c r="W13" s="45">
        <v>15.7</v>
      </c>
      <c r="X13" s="45">
        <v>15.7</v>
      </c>
      <c r="Y13" s="45">
        <v>20</v>
      </c>
      <c r="Z13" s="45">
        <v>20</v>
      </c>
      <c r="AA13" s="45">
        <v>20</v>
      </c>
      <c r="AB13" s="45">
        <v>20.7</v>
      </c>
      <c r="AC13" s="45">
        <v>20.7</v>
      </c>
      <c r="AD13" s="45">
        <v>20.7</v>
      </c>
      <c r="AE13" s="45">
        <v>20.7</v>
      </c>
      <c r="AF13" s="45">
        <v>20.7</v>
      </c>
      <c r="AG13" s="50">
        <v>45</v>
      </c>
      <c r="AH13" s="47">
        <f t="shared" si="2"/>
        <v>21</v>
      </c>
      <c r="AI13" s="48">
        <f t="shared" si="3"/>
        <v>15.7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8.5</v>
      </c>
      <c r="C14" s="45">
        <v>8.5</v>
      </c>
      <c r="D14" s="45">
        <v>8.5</v>
      </c>
      <c r="E14" s="45">
        <v>8.5</v>
      </c>
      <c r="F14" s="45">
        <v>8.5</v>
      </c>
      <c r="G14" s="45">
        <v>8.5</v>
      </c>
      <c r="H14" s="45">
        <v>8.5</v>
      </c>
      <c r="I14" s="45">
        <v>8.5</v>
      </c>
      <c r="J14" s="45">
        <v>8.5</v>
      </c>
      <c r="K14" s="45">
        <v>8.5</v>
      </c>
      <c r="L14" s="45">
        <v>8.6</v>
      </c>
      <c r="M14" s="45">
        <v>8.6</v>
      </c>
      <c r="N14" s="45">
        <v>8.6</v>
      </c>
      <c r="O14" s="45">
        <v>8.6</v>
      </c>
      <c r="P14" s="45">
        <v>8.6</v>
      </c>
      <c r="Q14" s="45">
        <v>8.6</v>
      </c>
      <c r="R14" s="45">
        <v>8.6</v>
      </c>
      <c r="S14" s="45">
        <v>8.6</v>
      </c>
      <c r="T14" s="45">
        <v>8.6</v>
      </c>
      <c r="U14" s="45">
        <v>8.6</v>
      </c>
      <c r="V14" s="45">
        <v>8.6</v>
      </c>
      <c r="W14" s="45">
        <v>8.6</v>
      </c>
      <c r="X14" s="45">
        <v>8.6</v>
      </c>
      <c r="Y14" s="45">
        <v>9.5</v>
      </c>
      <c r="Z14" s="45">
        <v>9.5</v>
      </c>
      <c r="AA14" s="45">
        <v>9.5</v>
      </c>
      <c r="AB14" s="45">
        <v>9.5</v>
      </c>
      <c r="AC14" s="45">
        <v>9.5</v>
      </c>
      <c r="AD14" s="45">
        <v>9.5</v>
      </c>
      <c r="AE14" s="45">
        <v>9.5</v>
      </c>
      <c r="AF14" s="45">
        <v>9.5</v>
      </c>
      <c r="AG14" s="50">
        <v>42</v>
      </c>
      <c r="AH14" s="47">
        <f t="shared" si="2"/>
        <v>9.5</v>
      </c>
      <c r="AI14" s="48">
        <f t="shared" si="3"/>
        <v>8.5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13</v>
      </c>
      <c r="C15" s="45">
        <v>13</v>
      </c>
      <c r="D15" s="45">
        <v>13</v>
      </c>
      <c r="E15" s="45">
        <v>13</v>
      </c>
      <c r="F15" s="45">
        <v>13</v>
      </c>
      <c r="G15" s="45">
        <v>13</v>
      </c>
      <c r="H15" s="45">
        <v>13</v>
      </c>
      <c r="I15" s="45">
        <v>13</v>
      </c>
      <c r="J15" s="45">
        <v>13</v>
      </c>
      <c r="K15" s="45">
        <v>13</v>
      </c>
      <c r="L15" s="45">
        <v>13</v>
      </c>
      <c r="M15" s="45">
        <v>13</v>
      </c>
      <c r="N15" s="45">
        <v>13</v>
      </c>
      <c r="O15" s="45">
        <v>13</v>
      </c>
      <c r="P15" s="45">
        <v>13</v>
      </c>
      <c r="Q15" s="45">
        <v>13</v>
      </c>
      <c r="R15" s="45">
        <v>13</v>
      </c>
      <c r="S15" s="45">
        <v>13</v>
      </c>
      <c r="T15" s="45">
        <v>13</v>
      </c>
      <c r="U15" s="45">
        <v>13</v>
      </c>
      <c r="V15" s="45">
        <v>13</v>
      </c>
      <c r="W15" s="45">
        <v>13</v>
      </c>
      <c r="X15" s="45">
        <v>13</v>
      </c>
      <c r="Y15" s="45">
        <v>13</v>
      </c>
      <c r="Z15" s="45">
        <v>13</v>
      </c>
      <c r="AA15" s="45">
        <v>13</v>
      </c>
      <c r="AB15" s="45">
        <v>13</v>
      </c>
      <c r="AC15" s="45">
        <v>13</v>
      </c>
      <c r="AD15" s="45">
        <v>13</v>
      </c>
      <c r="AE15" s="45">
        <v>13</v>
      </c>
      <c r="AF15" s="45">
        <v>13</v>
      </c>
      <c r="AG15" s="50">
        <v>36</v>
      </c>
      <c r="AH15" s="47">
        <f t="shared" si="2"/>
        <v>13</v>
      </c>
      <c r="AI15" s="48">
        <f t="shared" si="3"/>
        <v>13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8.4</v>
      </c>
      <c r="C16" s="45">
        <v>8.4</v>
      </c>
      <c r="D16" s="45">
        <v>8.4</v>
      </c>
      <c r="E16" s="45">
        <v>8.4</v>
      </c>
      <c r="F16" s="45">
        <v>8.4</v>
      </c>
      <c r="G16" s="45">
        <v>8.4</v>
      </c>
      <c r="H16" s="45">
        <v>8.4</v>
      </c>
      <c r="I16" s="45">
        <v>8.4</v>
      </c>
      <c r="J16" s="45">
        <v>8.4</v>
      </c>
      <c r="K16" s="45">
        <v>8.4</v>
      </c>
      <c r="L16" s="45">
        <v>8.4</v>
      </c>
      <c r="M16" s="45">
        <v>8.4</v>
      </c>
      <c r="N16" s="45">
        <v>8.4</v>
      </c>
      <c r="O16" s="45">
        <v>8.4</v>
      </c>
      <c r="P16" s="45">
        <v>8.4</v>
      </c>
      <c r="Q16" s="45">
        <v>8.4</v>
      </c>
      <c r="R16" s="45">
        <v>8.4</v>
      </c>
      <c r="S16" s="45">
        <v>8.4</v>
      </c>
      <c r="T16" s="45">
        <v>8.4</v>
      </c>
      <c r="U16" s="45">
        <v>8.4</v>
      </c>
      <c r="V16" s="45">
        <v>8.4</v>
      </c>
      <c r="W16" s="45">
        <v>8.4</v>
      </c>
      <c r="X16" s="45">
        <v>8.4</v>
      </c>
      <c r="Y16" s="45">
        <v>8.4</v>
      </c>
      <c r="Z16" s="45">
        <v>8.4</v>
      </c>
      <c r="AA16" s="45">
        <v>8.4</v>
      </c>
      <c r="AB16" s="45">
        <v>8.4</v>
      </c>
      <c r="AC16" s="45">
        <v>8.4</v>
      </c>
      <c r="AD16" s="45">
        <v>8.4</v>
      </c>
      <c r="AE16" s="45">
        <v>8.4</v>
      </c>
      <c r="AF16" s="45">
        <v>8.4</v>
      </c>
      <c r="AG16" s="51">
        <v>30</v>
      </c>
      <c r="AH16" s="47">
        <f t="shared" si="2"/>
        <v>8.4</v>
      </c>
      <c r="AI16" s="48">
        <f t="shared" si="3"/>
        <v>8.4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7.2</v>
      </c>
      <c r="C17" s="45">
        <v>7.2</v>
      </c>
      <c r="D17" s="45">
        <v>7.2</v>
      </c>
      <c r="E17" s="45">
        <v>7.2</v>
      </c>
      <c r="F17" s="45">
        <v>7.2</v>
      </c>
      <c r="G17" s="45">
        <v>7.2</v>
      </c>
      <c r="H17" s="45">
        <v>7.2</v>
      </c>
      <c r="I17" s="45">
        <v>7.2</v>
      </c>
      <c r="J17" s="45">
        <v>7.2</v>
      </c>
      <c r="K17" s="45">
        <v>7.2</v>
      </c>
      <c r="L17" s="45">
        <v>7.2</v>
      </c>
      <c r="M17" s="45">
        <v>7.2</v>
      </c>
      <c r="N17" s="45">
        <v>7.2</v>
      </c>
      <c r="O17" s="45">
        <v>7.2</v>
      </c>
      <c r="P17" s="45">
        <v>7.2</v>
      </c>
      <c r="Q17" s="45">
        <v>7.2</v>
      </c>
      <c r="R17" s="45">
        <v>7.2</v>
      </c>
      <c r="S17" s="45">
        <v>7.2</v>
      </c>
      <c r="T17" s="45">
        <v>7.2</v>
      </c>
      <c r="U17" s="45">
        <v>7.2</v>
      </c>
      <c r="V17" s="45">
        <v>7.2</v>
      </c>
      <c r="W17" s="45">
        <v>7.2</v>
      </c>
      <c r="X17" s="45">
        <v>7.2</v>
      </c>
      <c r="Y17" s="45">
        <v>7.6</v>
      </c>
      <c r="Z17" s="45">
        <v>7.6</v>
      </c>
      <c r="AA17" s="45">
        <v>7.6</v>
      </c>
      <c r="AB17" s="45">
        <v>7.6</v>
      </c>
      <c r="AC17" s="45">
        <v>7.6</v>
      </c>
      <c r="AD17" s="45">
        <v>7.6</v>
      </c>
      <c r="AE17" s="45">
        <v>7.6</v>
      </c>
      <c r="AF17" s="45">
        <v>7.6</v>
      </c>
      <c r="AG17" s="50">
        <v>24.2</v>
      </c>
      <c r="AH17" s="47">
        <f t="shared" si="2"/>
        <v>7.6</v>
      </c>
      <c r="AI17" s="48">
        <f t="shared" si="3"/>
        <v>7.2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50">
        <v>28</v>
      </c>
      <c r="AH18" s="47">
        <f t="shared" si="2"/>
        <v>8</v>
      </c>
      <c r="AI18" s="48">
        <f t="shared" si="3"/>
        <v>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7</v>
      </c>
      <c r="C20" s="45">
        <v>7</v>
      </c>
      <c r="D20" s="45">
        <v>7</v>
      </c>
      <c r="E20" s="45">
        <v>7</v>
      </c>
      <c r="F20" s="45">
        <v>7</v>
      </c>
      <c r="G20" s="45">
        <v>7</v>
      </c>
      <c r="H20" s="45">
        <v>7</v>
      </c>
      <c r="I20" s="45">
        <v>7</v>
      </c>
      <c r="J20" s="45">
        <v>7</v>
      </c>
      <c r="K20" s="45">
        <v>7</v>
      </c>
      <c r="L20" s="45">
        <v>7</v>
      </c>
      <c r="M20" s="45">
        <v>7</v>
      </c>
      <c r="N20" s="45">
        <v>7</v>
      </c>
      <c r="O20" s="45">
        <v>7</v>
      </c>
      <c r="P20" s="45">
        <v>7</v>
      </c>
      <c r="Q20" s="45">
        <v>7</v>
      </c>
      <c r="R20" s="45">
        <v>7</v>
      </c>
      <c r="S20" s="45">
        <v>7</v>
      </c>
      <c r="T20" s="45">
        <v>7</v>
      </c>
      <c r="U20" s="45">
        <v>7</v>
      </c>
      <c r="V20" s="45">
        <v>7</v>
      </c>
      <c r="W20" s="45">
        <v>7</v>
      </c>
      <c r="X20" s="45">
        <v>7</v>
      </c>
      <c r="Y20" s="45">
        <v>9.4</v>
      </c>
      <c r="Z20" s="45">
        <v>9.4</v>
      </c>
      <c r="AA20" s="45">
        <v>9.4</v>
      </c>
      <c r="AB20" s="45">
        <v>9.4</v>
      </c>
      <c r="AC20" s="45">
        <v>9.4</v>
      </c>
      <c r="AD20" s="45">
        <v>9.4</v>
      </c>
      <c r="AE20" s="45">
        <v>9.4</v>
      </c>
      <c r="AF20" s="45">
        <v>9.4</v>
      </c>
      <c r="AG20" s="50">
        <v>25</v>
      </c>
      <c r="AH20" s="47">
        <f t="shared" si="2"/>
        <v>9.4</v>
      </c>
      <c r="AI20" s="48">
        <f t="shared" si="3"/>
        <v>7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0">
        <v>25</v>
      </c>
      <c r="AH22" s="47">
        <f t="shared" si="2"/>
        <v>11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7.5</v>
      </c>
      <c r="C24" s="45">
        <v>7.5</v>
      </c>
      <c r="D24" s="45">
        <v>7.5</v>
      </c>
      <c r="E24" s="45">
        <v>7.5</v>
      </c>
      <c r="F24" s="45">
        <v>7.5</v>
      </c>
      <c r="G24" s="45">
        <v>7.5</v>
      </c>
      <c r="H24" s="45">
        <v>7.5</v>
      </c>
      <c r="I24" s="45">
        <v>7.5</v>
      </c>
      <c r="J24" s="45">
        <v>7.5</v>
      </c>
      <c r="K24" s="45">
        <v>7.5</v>
      </c>
      <c r="L24" s="45">
        <v>7.5</v>
      </c>
      <c r="M24" s="45">
        <v>7.5</v>
      </c>
      <c r="N24" s="45">
        <v>7.5</v>
      </c>
      <c r="O24" s="45">
        <v>7.5</v>
      </c>
      <c r="P24" s="45">
        <v>7.5</v>
      </c>
      <c r="Q24" s="45">
        <v>7.5</v>
      </c>
      <c r="R24" s="45">
        <v>7.5</v>
      </c>
      <c r="S24" s="45">
        <v>7.5</v>
      </c>
      <c r="T24" s="45">
        <v>7.5</v>
      </c>
      <c r="U24" s="45">
        <v>7.5</v>
      </c>
      <c r="V24" s="45">
        <v>7.5</v>
      </c>
      <c r="W24" s="45">
        <v>7.5</v>
      </c>
      <c r="X24" s="45">
        <v>7.5</v>
      </c>
      <c r="Y24" s="45">
        <v>7.5</v>
      </c>
      <c r="Z24" s="45">
        <v>7.5</v>
      </c>
      <c r="AA24" s="45">
        <v>7.5</v>
      </c>
      <c r="AB24" s="45">
        <v>7.5</v>
      </c>
      <c r="AC24" s="45">
        <v>7.5</v>
      </c>
      <c r="AD24" s="45">
        <v>7.5</v>
      </c>
      <c r="AE24" s="45">
        <v>7.5</v>
      </c>
      <c r="AF24" s="45">
        <v>7.5</v>
      </c>
      <c r="AG24" s="50">
        <v>23.5</v>
      </c>
      <c r="AH24" s="47">
        <f t="shared" si="2"/>
        <v>7.5</v>
      </c>
      <c r="AI24" s="48">
        <f t="shared" si="3"/>
        <v>7.5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11</v>
      </c>
      <c r="C28" s="45">
        <v>11</v>
      </c>
      <c r="D28" s="45">
        <v>11</v>
      </c>
      <c r="E28" s="45">
        <v>11</v>
      </c>
      <c r="F28" s="45">
        <v>11</v>
      </c>
      <c r="G28" s="45">
        <v>11</v>
      </c>
      <c r="H28" s="45">
        <v>11</v>
      </c>
      <c r="I28" s="45">
        <v>11</v>
      </c>
      <c r="J28" s="45">
        <v>11</v>
      </c>
      <c r="K28" s="45">
        <v>11</v>
      </c>
      <c r="L28" s="45">
        <v>11</v>
      </c>
      <c r="M28" s="45">
        <v>11</v>
      </c>
      <c r="N28" s="45">
        <v>9.4</v>
      </c>
      <c r="O28" s="45">
        <v>9.4</v>
      </c>
      <c r="P28" s="45">
        <v>9.4</v>
      </c>
      <c r="Q28" s="45">
        <v>9.4</v>
      </c>
      <c r="R28" s="45">
        <v>9.4</v>
      </c>
      <c r="S28" s="45">
        <v>9.4</v>
      </c>
      <c r="T28" s="45">
        <v>9.4</v>
      </c>
      <c r="U28" s="45">
        <v>9.4</v>
      </c>
      <c r="V28" s="45">
        <v>9.4</v>
      </c>
      <c r="W28" s="45">
        <v>9.4</v>
      </c>
      <c r="X28" s="45">
        <v>9.4</v>
      </c>
      <c r="Y28" s="45">
        <v>9.4</v>
      </c>
      <c r="Z28" s="45">
        <v>9.4</v>
      </c>
      <c r="AA28" s="45">
        <v>9.4</v>
      </c>
      <c r="AB28" s="45">
        <v>9.4</v>
      </c>
      <c r="AC28" s="45">
        <v>9.4</v>
      </c>
      <c r="AD28" s="45">
        <v>9.4</v>
      </c>
      <c r="AE28" s="45">
        <v>9.4</v>
      </c>
      <c r="AF28" s="45">
        <v>9.4</v>
      </c>
      <c r="AG28" s="50">
        <v>22</v>
      </c>
      <c r="AH28" s="47">
        <f t="shared" si="2"/>
        <v>11</v>
      </c>
      <c r="AI28" s="48">
        <f t="shared" si="3"/>
        <v>9.4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>
        <v>10</v>
      </c>
      <c r="L35" s="45">
        <v>10</v>
      </c>
      <c r="M35" s="45">
        <v>10</v>
      </c>
      <c r="N35" s="45">
        <v>10</v>
      </c>
      <c r="O35" s="45">
        <v>10</v>
      </c>
      <c r="P35" s="45">
        <v>10</v>
      </c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45">
        <v>10</v>
      </c>
      <c r="Z35" s="45">
        <v>10</v>
      </c>
      <c r="AA35" s="45">
        <v>10</v>
      </c>
      <c r="AB35" s="45">
        <v>10</v>
      </c>
      <c r="AC35" s="45">
        <v>10</v>
      </c>
      <c r="AD35" s="45">
        <v>10</v>
      </c>
      <c r="AE35" s="45">
        <v>10</v>
      </c>
      <c r="AF35" s="45">
        <v>10</v>
      </c>
      <c r="AG35" s="50">
        <v>12</v>
      </c>
      <c r="AH35" s="47">
        <f t="shared" si="2"/>
        <v>10</v>
      </c>
      <c r="AI35" s="48">
        <f t="shared" si="3"/>
        <v>10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120</v>
      </c>
      <c r="C42" s="56">
        <v>120</v>
      </c>
      <c r="D42" s="56">
        <v>120</v>
      </c>
      <c r="E42" s="56">
        <v>120</v>
      </c>
      <c r="F42" s="56">
        <v>120</v>
      </c>
      <c r="G42" s="56">
        <v>120</v>
      </c>
      <c r="H42" s="56">
        <v>120</v>
      </c>
      <c r="I42" s="56">
        <v>120</v>
      </c>
      <c r="J42" s="56">
        <v>120</v>
      </c>
      <c r="K42" s="56">
        <v>120</v>
      </c>
      <c r="L42" s="56">
        <v>120</v>
      </c>
      <c r="M42" s="56">
        <v>120</v>
      </c>
      <c r="N42" s="56">
        <v>120</v>
      </c>
      <c r="O42" s="56">
        <v>120</v>
      </c>
      <c r="P42" s="56">
        <v>120</v>
      </c>
      <c r="Q42" s="56">
        <v>120</v>
      </c>
      <c r="R42" s="56">
        <v>120</v>
      </c>
      <c r="S42" s="56">
        <v>120</v>
      </c>
      <c r="T42" s="56">
        <v>120</v>
      </c>
      <c r="U42" s="56">
        <v>120</v>
      </c>
      <c r="V42" s="56">
        <v>120</v>
      </c>
      <c r="W42" s="56">
        <v>120</v>
      </c>
      <c r="X42" s="56">
        <v>120</v>
      </c>
      <c r="Y42" s="56">
        <v>120</v>
      </c>
      <c r="Z42" s="56">
        <v>120</v>
      </c>
      <c r="AA42" s="56">
        <v>120</v>
      </c>
      <c r="AB42" s="56">
        <v>120</v>
      </c>
      <c r="AC42" s="56">
        <v>120</v>
      </c>
      <c r="AD42" s="56">
        <v>120</v>
      </c>
      <c r="AE42" s="56">
        <v>120</v>
      </c>
      <c r="AF42" s="56">
        <v>120</v>
      </c>
      <c r="AG42" s="54">
        <v>85</v>
      </c>
      <c r="AH42" s="47">
        <f t="shared" si="2"/>
        <v>120</v>
      </c>
      <c r="AI42" s="48">
        <f t="shared" si="3"/>
        <v>120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:AG44" si="4">SUM(B11:B42)</f>
        <v>399</v>
      </c>
      <c r="C44" s="60">
        <f t="shared" si="4"/>
        <v>399</v>
      </c>
      <c r="D44" s="60">
        <f t="shared" si="4"/>
        <v>399</v>
      </c>
      <c r="E44" s="60">
        <f t="shared" si="4"/>
        <v>399</v>
      </c>
      <c r="F44" s="60">
        <f t="shared" si="4"/>
        <v>399</v>
      </c>
      <c r="G44" s="60">
        <f t="shared" si="4"/>
        <v>399</v>
      </c>
      <c r="H44" s="60">
        <f t="shared" si="4"/>
        <v>398.59999999999997</v>
      </c>
      <c r="I44" s="60">
        <f t="shared" si="4"/>
        <v>398.59999999999997</v>
      </c>
      <c r="J44" s="60">
        <f t="shared" si="4"/>
        <v>399.3</v>
      </c>
      <c r="K44" s="60">
        <f t="shared" si="4"/>
        <v>399.19</v>
      </c>
      <c r="L44" s="60">
        <f t="shared" si="4"/>
        <v>399.4</v>
      </c>
      <c r="M44" s="60">
        <f t="shared" si="4"/>
        <v>399.4</v>
      </c>
      <c r="N44" s="60">
        <f t="shared" si="4"/>
        <v>395.40000000000003</v>
      </c>
      <c r="O44" s="60">
        <f t="shared" si="4"/>
        <v>395.90000000000003</v>
      </c>
      <c r="P44" s="60">
        <f t="shared" si="4"/>
        <v>392.1</v>
      </c>
      <c r="Q44" s="60">
        <f t="shared" si="4"/>
        <v>395.90000000000003</v>
      </c>
      <c r="R44" s="60">
        <f t="shared" si="4"/>
        <v>395.90000000000003</v>
      </c>
      <c r="S44" s="60">
        <f t="shared" si="4"/>
        <v>395.90000000000003</v>
      </c>
      <c r="T44" s="60">
        <f t="shared" si="4"/>
        <v>395.90000000000003</v>
      </c>
      <c r="U44" s="60">
        <f t="shared" si="4"/>
        <v>395.90000000000003</v>
      </c>
      <c r="V44" s="60">
        <f t="shared" si="4"/>
        <v>395.90000000000003</v>
      </c>
      <c r="W44" s="60">
        <f t="shared" si="4"/>
        <v>395.90000000000003</v>
      </c>
      <c r="X44" s="60">
        <f t="shared" si="4"/>
        <v>395.90000000000003</v>
      </c>
      <c r="Y44" s="60">
        <f t="shared" si="4"/>
        <v>402.3</v>
      </c>
      <c r="Z44" s="60">
        <f t="shared" si="4"/>
        <v>402.3</v>
      </c>
      <c r="AA44" s="60">
        <f t="shared" si="4"/>
        <v>402.3</v>
      </c>
      <c r="AB44" s="60">
        <f t="shared" si="4"/>
        <v>403.1</v>
      </c>
      <c r="AC44" s="60">
        <f t="shared" si="4"/>
        <v>403.1</v>
      </c>
      <c r="AD44" s="60">
        <f t="shared" si="4"/>
        <v>403.1</v>
      </c>
      <c r="AE44" s="60">
        <f t="shared" si="4"/>
        <v>403.1</v>
      </c>
      <c r="AF44" s="60">
        <f t="shared" si="4"/>
        <v>403.1</v>
      </c>
      <c r="AG44" s="61">
        <f t="shared" si="4"/>
        <v>814.78000000000009</v>
      </c>
      <c r="AH44" s="47">
        <f t="shared" si="2"/>
        <v>403.1</v>
      </c>
      <c r="AI44" s="48">
        <f t="shared" si="3"/>
        <v>392.1</v>
      </c>
      <c r="AK44" s="49"/>
    </row>
    <row r="45" spans="1:88" x14ac:dyDescent="0.25">
      <c r="A45" s="62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92</v>
      </c>
      <c r="G45" s="45">
        <v>80</v>
      </c>
      <c r="H45" s="45">
        <v>90</v>
      </c>
      <c r="I45" s="45">
        <v>80</v>
      </c>
      <c r="J45" s="45">
        <v>80</v>
      </c>
      <c r="K45" s="45">
        <v>85</v>
      </c>
      <c r="L45" s="45">
        <v>110</v>
      </c>
      <c r="M45" s="63">
        <v>155</v>
      </c>
      <c r="N45" s="63">
        <v>120</v>
      </c>
      <c r="O45" s="45">
        <v>130</v>
      </c>
      <c r="P45" s="45">
        <v>80</v>
      </c>
      <c r="Q45" s="45">
        <v>75</v>
      </c>
      <c r="R45" s="45">
        <v>75</v>
      </c>
      <c r="S45" s="45">
        <v>75</v>
      </c>
      <c r="T45" s="45">
        <v>60</v>
      </c>
      <c r="U45" s="45">
        <v>60</v>
      </c>
      <c r="V45" s="45">
        <v>50</v>
      </c>
      <c r="W45" s="45">
        <v>90</v>
      </c>
      <c r="X45" s="45">
        <v>130</v>
      </c>
      <c r="Y45" s="45">
        <v>180</v>
      </c>
      <c r="Z45" s="45">
        <v>190</v>
      </c>
      <c r="AA45" s="45">
        <v>180</v>
      </c>
      <c r="AB45" s="45">
        <v>200</v>
      </c>
      <c r="AC45" s="45">
        <v>200</v>
      </c>
      <c r="AD45" s="45">
        <v>190</v>
      </c>
      <c r="AE45" s="45">
        <v>115</v>
      </c>
      <c r="AF45" s="45">
        <v>75</v>
      </c>
      <c r="AG45" s="51">
        <v>456</v>
      </c>
      <c r="AH45" s="47">
        <f t="shared" si="2"/>
        <v>200</v>
      </c>
      <c r="AI45" s="48">
        <f t="shared" si="3"/>
        <v>0</v>
      </c>
      <c r="AK45" s="49"/>
    </row>
    <row r="46" spans="1:88" x14ac:dyDescent="0.25">
      <c r="A46" s="64" t="s">
        <v>54</v>
      </c>
      <c r="B46" s="65">
        <v>35</v>
      </c>
      <c r="C46" s="65">
        <v>35</v>
      </c>
      <c r="D46" s="65">
        <v>35</v>
      </c>
      <c r="E46" s="65">
        <v>35</v>
      </c>
      <c r="F46" s="65">
        <v>35.200000000000003</v>
      </c>
      <c r="G46" s="65">
        <v>35.299999999999997</v>
      </c>
      <c r="H46" s="65">
        <v>35.6</v>
      </c>
      <c r="I46" s="65">
        <v>35.6</v>
      </c>
      <c r="J46" s="65">
        <v>35.299999999999997</v>
      </c>
      <c r="K46" s="65">
        <v>35.6</v>
      </c>
      <c r="L46" s="65">
        <v>35.6</v>
      </c>
      <c r="M46" s="65">
        <v>35</v>
      </c>
      <c r="N46" s="65">
        <v>35</v>
      </c>
      <c r="O46" s="65">
        <v>35</v>
      </c>
      <c r="P46" s="65">
        <v>35</v>
      </c>
      <c r="Q46" s="65">
        <v>35</v>
      </c>
      <c r="R46" s="65">
        <v>35</v>
      </c>
      <c r="S46" s="65">
        <v>35</v>
      </c>
      <c r="T46" s="65">
        <v>35</v>
      </c>
      <c r="U46" s="65">
        <v>35</v>
      </c>
      <c r="V46" s="65">
        <v>35</v>
      </c>
      <c r="W46" s="65">
        <v>35</v>
      </c>
      <c r="X46" s="65">
        <v>35</v>
      </c>
      <c r="Y46" s="65">
        <v>35</v>
      </c>
      <c r="Z46" s="65">
        <v>35</v>
      </c>
      <c r="AA46" s="65">
        <v>35</v>
      </c>
      <c r="AB46" s="65">
        <v>35</v>
      </c>
      <c r="AC46" s="65">
        <v>35</v>
      </c>
      <c r="AD46" s="65">
        <v>35</v>
      </c>
      <c r="AE46" s="65">
        <v>35</v>
      </c>
      <c r="AF46" s="65">
        <v>35</v>
      </c>
      <c r="AG46" s="54">
        <v>60</v>
      </c>
      <c r="AH46" s="47">
        <f t="shared" si="2"/>
        <v>35.6</v>
      </c>
      <c r="AI46" s="48">
        <f t="shared" si="3"/>
        <v>35</v>
      </c>
      <c r="AK46" s="49"/>
    </row>
    <row r="47" spans="1:88" ht="15.75" thickBot="1" x14ac:dyDescent="0.3">
      <c r="A47" s="66" t="s">
        <v>55</v>
      </c>
      <c r="B47" s="67">
        <v>11</v>
      </c>
      <c r="C47" s="67">
        <v>11</v>
      </c>
      <c r="D47" s="67">
        <v>11</v>
      </c>
      <c r="E47" s="67">
        <v>11</v>
      </c>
      <c r="F47" s="67">
        <v>10.199999999999999</v>
      </c>
      <c r="G47" s="67">
        <v>10.199999999999999</v>
      </c>
      <c r="H47" s="67">
        <v>10.199999999999999</v>
      </c>
      <c r="I47" s="67">
        <v>10.3</v>
      </c>
      <c r="J47" s="67">
        <v>10.3</v>
      </c>
      <c r="K47" s="67">
        <v>10.199999999999999</v>
      </c>
      <c r="L47" s="67">
        <v>10.199999999999999</v>
      </c>
      <c r="M47" s="67">
        <v>10.199999999999999</v>
      </c>
      <c r="N47" s="67">
        <v>10.199999999999999</v>
      </c>
      <c r="O47" s="67">
        <v>10.199999999999999</v>
      </c>
      <c r="P47" s="67">
        <v>10.199999999999999</v>
      </c>
      <c r="Q47" s="67">
        <v>10.199999999999999</v>
      </c>
      <c r="R47" s="67">
        <v>10.199999999999999</v>
      </c>
      <c r="S47" s="67">
        <v>10.199999999999999</v>
      </c>
      <c r="T47" s="67">
        <v>10.199999999999999</v>
      </c>
      <c r="U47" s="67">
        <v>10.199999999999999</v>
      </c>
      <c r="V47" s="67">
        <v>10.199999999999999</v>
      </c>
      <c r="W47" s="67">
        <v>10.199999999999999</v>
      </c>
      <c r="X47" s="67">
        <v>10.199999999999999</v>
      </c>
      <c r="Y47" s="67">
        <v>18</v>
      </c>
      <c r="Z47" s="67">
        <v>18</v>
      </c>
      <c r="AA47" s="67">
        <v>18</v>
      </c>
      <c r="AB47" s="67">
        <v>18</v>
      </c>
      <c r="AC47" s="67">
        <v>18</v>
      </c>
      <c r="AD47" s="67">
        <v>18</v>
      </c>
      <c r="AE47" s="67">
        <v>18</v>
      </c>
      <c r="AF47" s="67">
        <v>18</v>
      </c>
      <c r="AG47" s="68">
        <v>22.1</v>
      </c>
      <c r="AH47" s="47">
        <f t="shared" si="2"/>
        <v>18</v>
      </c>
      <c r="AI47" s="48">
        <f t="shared" si="3"/>
        <v>10.199999999999999</v>
      </c>
      <c r="AK47" s="49"/>
    </row>
    <row r="48" spans="1:88" ht="15.75" thickBot="1" x14ac:dyDescent="0.3">
      <c r="A48" s="69" t="s">
        <v>56</v>
      </c>
      <c r="B48" s="60">
        <f t="shared" ref="B48:AG48" si="5">SUM(B45:B47)</f>
        <v>46</v>
      </c>
      <c r="C48" s="60">
        <f t="shared" si="5"/>
        <v>46</v>
      </c>
      <c r="D48" s="60">
        <f t="shared" si="5"/>
        <v>46</v>
      </c>
      <c r="E48" s="60">
        <f t="shared" si="5"/>
        <v>46</v>
      </c>
      <c r="F48" s="60">
        <f t="shared" si="5"/>
        <v>137.4</v>
      </c>
      <c r="G48" s="60">
        <f t="shared" si="5"/>
        <v>125.5</v>
      </c>
      <c r="H48" s="60">
        <f t="shared" si="5"/>
        <v>135.79999999999998</v>
      </c>
      <c r="I48" s="60">
        <f t="shared" si="5"/>
        <v>125.89999999999999</v>
      </c>
      <c r="J48" s="60">
        <f t="shared" si="5"/>
        <v>125.6</v>
      </c>
      <c r="K48" s="60">
        <f t="shared" si="5"/>
        <v>130.79999999999998</v>
      </c>
      <c r="L48" s="60">
        <f t="shared" si="5"/>
        <v>155.79999999999998</v>
      </c>
      <c r="M48" s="60">
        <f t="shared" si="5"/>
        <v>200.2</v>
      </c>
      <c r="N48" s="60">
        <f t="shared" si="5"/>
        <v>165.2</v>
      </c>
      <c r="O48" s="60">
        <f t="shared" si="5"/>
        <v>175.2</v>
      </c>
      <c r="P48" s="60">
        <f t="shared" si="5"/>
        <v>125.2</v>
      </c>
      <c r="Q48" s="60">
        <f t="shared" si="5"/>
        <v>120.2</v>
      </c>
      <c r="R48" s="60">
        <f t="shared" si="5"/>
        <v>120.2</v>
      </c>
      <c r="S48" s="60">
        <f t="shared" si="5"/>
        <v>120.2</v>
      </c>
      <c r="T48" s="60">
        <f t="shared" si="5"/>
        <v>105.2</v>
      </c>
      <c r="U48" s="60">
        <f t="shared" si="5"/>
        <v>105.2</v>
      </c>
      <c r="V48" s="60">
        <f t="shared" si="5"/>
        <v>95.2</v>
      </c>
      <c r="W48" s="60">
        <f t="shared" si="5"/>
        <v>135.19999999999999</v>
      </c>
      <c r="X48" s="60">
        <f t="shared" si="5"/>
        <v>175.2</v>
      </c>
      <c r="Y48" s="60">
        <f t="shared" si="5"/>
        <v>233</v>
      </c>
      <c r="Z48" s="60">
        <f t="shared" si="5"/>
        <v>243</v>
      </c>
      <c r="AA48" s="60">
        <f t="shared" si="5"/>
        <v>233</v>
      </c>
      <c r="AB48" s="60">
        <f t="shared" si="5"/>
        <v>253</v>
      </c>
      <c r="AC48" s="60">
        <f t="shared" si="5"/>
        <v>253</v>
      </c>
      <c r="AD48" s="60">
        <f t="shared" si="5"/>
        <v>243</v>
      </c>
      <c r="AE48" s="60">
        <f t="shared" si="5"/>
        <v>168</v>
      </c>
      <c r="AF48" s="60">
        <f t="shared" si="5"/>
        <v>128</v>
      </c>
      <c r="AG48" s="61">
        <f t="shared" si="5"/>
        <v>538.1</v>
      </c>
      <c r="AH48" s="47">
        <f t="shared" si="2"/>
        <v>253</v>
      </c>
      <c r="AI48" s="48">
        <f t="shared" si="3"/>
        <v>46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22</v>
      </c>
      <c r="I49" s="45">
        <v>24.8</v>
      </c>
      <c r="J49" s="45">
        <v>63.3</v>
      </c>
      <c r="K49" s="45">
        <v>80.900000000000006</v>
      </c>
      <c r="L49" s="45">
        <v>115</v>
      </c>
      <c r="M49" s="45">
        <v>117</v>
      </c>
      <c r="N49" s="45">
        <v>97.2</v>
      </c>
      <c r="O49" s="45">
        <v>102.2</v>
      </c>
      <c r="P49" s="45">
        <v>127</v>
      </c>
      <c r="Q49" s="45">
        <v>111.9</v>
      </c>
      <c r="R49" s="45">
        <v>111.9</v>
      </c>
      <c r="S49" s="45">
        <v>92</v>
      </c>
      <c r="T49" s="45">
        <v>92</v>
      </c>
      <c r="U49" s="45">
        <v>92</v>
      </c>
      <c r="V49" s="45">
        <v>110</v>
      </c>
      <c r="W49" s="45">
        <v>102</v>
      </c>
      <c r="X49" s="45">
        <v>102</v>
      </c>
      <c r="Y49" s="45">
        <v>104</v>
      </c>
      <c r="Z49" s="45">
        <v>112</v>
      </c>
      <c r="AA49" s="45">
        <v>91.5</v>
      </c>
      <c r="AB49" s="45">
        <v>70</v>
      </c>
      <c r="AC49" s="45">
        <v>53.4</v>
      </c>
      <c r="AD49" s="45">
        <v>53</v>
      </c>
      <c r="AE49" s="45">
        <v>35.200000000000003</v>
      </c>
      <c r="AF49" s="45">
        <v>40</v>
      </c>
      <c r="AG49" s="51">
        <v>144</v>
      </c>
      <c r="AH49" s="47">
        <f t="shared" si="2"/>
        <v>127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24.5</v>
      </c>
      <c r="I50" s="65">
        <v>25</v>
      </c>
      <c r="J50" s="65">
        <v>44.8</v>
      </c>
      <c r="K50" s="65">
        <v>44.6</v>
      </c>
      <c r="L50" s="65">
        <v>69.099999999999994</v>
      </c>
      <c r="M50" s="65">
        <v>61.3</v>
      </c>
      <c r="N50" s="65">
        <v>53.6</v>
      </c>
      <c r="O50" s="65">
        <v>66.900000000000006</v>
      </c>
      <c r="P50" s="65">
        <v>66.099999999999994</v>
      </c>
      <c r="Q50" s="65">
        <v>48</v>
      </c>
      <c r="R50" s="65">
        <v>48</v>
      </c>
      <c r="S50" s="65">
        <v>42.1</v>
      </c>
      <c r="T50" s="65">
        <v>42.1</v>
      </c>
      <c r="U50" s="65">
        <v>35.4</v>
      </c>
      <c r="V50" s="65">
        <v>50</v>
      </c>
      <c r="W50" s="65">
        <v>47.2</v>
      </c>
      <c r="X50" s="65">
        <v>50</v>
      </c>
      <c r="Y50" s="45">
        <v>48.9</v>
      </c>
      <c r="Z50" s="45">
        <v>57.2</v>
      </c>
      <c r="AA50" s="45">
        <v>34.4</v>
      </c>
      <c r="AB50" s="65">
        <v>30</v>
      </c>
      <c r="AC50" s="65">
        <v>29.5</v>
      </c>
      <c r="AD50" s="65">
        <v>25.6</v>
      </c>
      <c r="AE50" s="65">
        <v>23.6</v>
      </c>
      <c r="AF50" s="65">
        <v>0</v>
      </c>
      <c r="AG50" s="54">
        <v>70</v>
      </c>
      <c r="AH50" s="47">
        <f t="shared" si="2"/>
        <v>69.099999999999994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17</v>
      </c>
      <c r="C51" s="65">
        <v>0</v>
      </c>
      <c r="D51" s="65">
        <v>0</v>
      </c>
      <c r="E51" s="65">
        <v>0</v>
      </c>
      <c r="F51" s="65">
        <v>0</v>
      </c>
      <c r="G51" s="65">
        <v>16</v>
      </c>
      <c r="H51" s="65">
        <v>16</v>
      </c>
      <c r="I51" s="65">
        <v>32</v>
      </c>
      <c r="J51" s="65">
        <v>40.4</v>
      </c>
      <c r="K51" s="65">
        <v>52</v>
      </c>
      <c r="L51" s="65">
        <v>52</v>
      </c>
      <c r="M51" s="65">
        <v>52</v>
      </c>
      <c r="N51" s="65">
        <v>52</v>
      </c>
      <c r="O51" s="65">
        <v>69.099999999999994</v>
      </c>
      <c r="P51" s="65">
        <v>62</v>
      </c>
      <c r="Q51" s="65">
        <v>55.7</v>
      </c>
      <c r="R51" s="65">
        <v>55.7</v>
      </c>
      <c r="S51" s="65">
        <v>21.9</v>
      </c>
      <c r="T51" s="65">
        <v>35</v>
      </c>
      <c r="U51" s="65">
        <v>35</v>
      </c>
      <c r="V51" s="65">
        <v>50</v>
      </c>
      <c r="W51" s="65">
        <v>50</v>
      </c>
      <c r="X51" s="65">
        <v>48</v>
      </c>
      <c r="Y51" s="45">
        <v>50</v>
      </c>
      <c r="Z51" s="45">
        <v>52</v>
      </c>
      <c r="AA51" s="45">
        <v>68.5</v>
      </c>
      <c r="AB51" s="45">
        <v>60</v>
      </c>
      <c r="AC51" s="45">
        <v>60.1</v>
      </c>
      <c r="AD51" s="45">
        <v>60.8</v>
      </c>
      <c r="AE51" s="45">
        <v>63.7</v>
      </c>
      <c r="AF51" s="65">
        <v>32</v>
      </c>
      <c r="AG51" s="54">
        <v>69</v>
      </c>
      <c r="AH51" s="47">
        <f t="shared" si="2"/>
        <v>69.099999999999994</v>
      </c>
      <c r="AI51" s="48">
        <f t="shared" si="3"/>
        <v>0</v>
      </c>
      <c r="AK51" s="49"/>
    </row>
    <row r="52" spans="1:41" x14ac:dyDescent="0.25">
      <c r="A52" s="53" t="s">
        <v>60</v>
      </c>
      <c r="B52" s="56">
        <v>39.799999999999997</v>
      </c>
      <c r="C52" s="56">
        <v>39.799999999999997</v>
      </c>
      <c r="D52" s="56">
        <v>39.799999999999997</v>
      </c>
      <c r="E52" s="56">
        <v>39.799999999999997</v>
      </c>
      <c r="F52" s="56">
        <v>46.3</v>
      </c>
      <c r="G52" s="56">
        <v>49.1</v>
      </c>
      <c r="H52" s="56">
        <v>49.1</v>
      </c>
      <c r="I52" s="56">
        <v>46.1</v>
      </c>
      <c r="J52" s="56">
        <v>44.1</v>
      </c>
      <c r="K52" s="56">
        <v>44.1</v>
      </c>
      <c r="L52" s="56">
        <v>45</v>
      </c>
      <c r="M52" s="65">
        <v>45</v>
      </c>
      <c r="N52" s="65">
        <v>48.3</v>
      </c>
      <c r="O52" s="65">
        <v>48.1</v>
      </c>
      <c r="P52" s="65">
        <v>47.8</v>
      </c>
      <c r="Q52" s="65">
        <v>47.1</v>
      </c>
      <c r="R52" s="65">
        <v>47.1</v>
      </c>
      <c r="S52" s="65">
        <v>44.3</v>
      </c>
      <c r="T52" s="65">
        <v>44.3</v>
      </c>
      <c r="U52" s="65">
        <v>44.3</v>
      </c>
      <c r="V52" s="65">
        <v>44.3</v>
      </c>
      <c r="W52" s="65">
        <v>44.3</v>
      </c>
      <c r="X52" s="65">
        <v>44.3</v>
      </c>
      <c r="Y52" s="65">
        <v>44.3</v>
      </c>
      <c r="Z52" s="65">
        <v>44.3</v>
      </c>
      <c r="AA52" s="65">
        <v>46.4</v>
      </c>
      <c r="AB52" s="65">
        <v>46.4</v>
      </c>
      <c r="AC52" s="65">
        <v>46.4</v>
      </c>
      <c r="AD52" s="65">
        <v>46.4</v>
      </c>
      <c r="AE52" s="65">
        <v>46.4</v>
      </c>
      <c r="AF52" s="65">
        <v>50.4</v>
      </c>
      <c r="AG52" s="54">
        <v>60</v>
      </c>
      <c r="AH52" s="47">
        <f t="shared" si="2"/>
        <v>50.4</v>
      </c>
      <c r="AI52" s="48">
        <f t="shared" si="3"/>
        <v>39.799999999999997</v>
      </c>
      <c r="AK52" s="49"/>
    </row>
    <row r="53" spans="1:41" x14ac:dyDescent="0.25">
      <c r="A53" s="53" t="s">
        <v>61</v>
      </c>
      <c r="B53" s="56">
        <v>0</v>
      </c>
      <c r="C53" s="56">
        <v>0</v>
      </c>
      <c r="D53" s="56">
        <v>0</v>
      </c>
      <c r="E53" s="56">
        <v>0</v>
      </c>
      <c r="F53" s="56">
        <v>10</v>
      </c>
      <c r="G53" s="56">
        <v>10</v>
      </c>
      <c r="H53" s="56">
        <v>14</v>
      </c>
      <c r="I53" s="56">
        <v>10</v>
      </c>
      <c r="J53" s="56">
        <v>14.4</v>
      </c>
      <c r="K53" s="56">
        <v>14.5</v>
      </c>
      <c r="L53" s="56">
        <v>14.5</v>
      </c>
      <c r="M53" s="65">
        <v>24.5</v>
      </c>
      <c r="N53" s="65">
        <v>24.5</v>
      </c>
      <c r="O53" s="65">
        <v>20.2</v>
      </c>
      <c r="P53" s="65">
        <v>20.23</v>
      </c>
      <c r="Q53" s="65">
        <v>9.3000000000000007</v>
      </c>
      <c r="R53" s="65">
        <v>9.3000000000000007</v>
      </c>
      <c r="S53" s="65">
        <v>9.3000000000000007</v>
      </c>
      <c r="T53" s="65">
        <v>9.3000000000000007</v>
      </c>
      <c r="U53" s="65">
        <v>9.3000000000000007</v>
      </c>
      <c r="V53" s="65">
        <v>9.3000000000000007</v>
      </c>
      <c r="W53" s="65">
        <v>15</v>
      </c>
      <c r="X53" s="65">
        <v>20</v>
      </c>
      <c r="Y53" s="65">
        <v>20</v>
      </c>
      <c r="Z53" s="65">
        <v>25</v>
      </c>
      <c r="AA53" s="65">
        <v>25</v>
      </c>
      <c r="AB53" s="65">
        <v>25</v>
      </c>
      <c r="AC53" s="65">
        <v>25</v>
      </c>
      <c r="AD53" s="65">
        <v>25</v>
      </c>
      <c r="AE53" s="65">
        <v>25</v>
      </c>
      <c r="AF53" s="65">
        <v>25</v>
      </c>
      <c r="AG53" s="54">
        <v>30</v>
      </c>
      <c r="AH53" s="47">
        <f t="shared" si="2"/>
        <v>25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8</v>
      </c>
      <c r="T54" s="65">
        <v>8</v>
      </c>
      <c r="U54" s="65">
        <v>8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8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17</v>
      </c>
      <c r="C55" s="65">
        <v>17</v>
      </c>
      <c r="D55" s="65">
        <v>17</v>
      </c>
      <c r="E55" s="65">
        <v>17</v>
      </c>
      <c r="F55" s="65">
        <v>17</v>
      </c>
      <c r="G55" s="65">
        <v>17</v>
      </c>
      <c r="H55" s="65">
        <v>17</v>
      </c>
      <c r="I55" s="65">
        <v>17</v>
      </c>
      <c r="J55" s="65">
        <v>17</v>
      </c>
      <c r="K55" s="65">
        <v>17</v>
      </c>
      <c r="L55" s="65">
        <v>17</v>
      </c>
      <c r="M55" s="65">
        <v>17</v>
      </c>
      <c r="N55" s="65">
        <v>17</v>
      </c>
      <c r="O55" s="65">
        <v>17</v>
      </c>
      <c r="P55" s="65">
        <v>17</v>
      </c>
      <c r="Q55" s="65">
        <v>17</v>
      </c>
      <c r="R55" s="65">
        <v>17</v>
      </c>
      <c r="S55" s="65">
        <v>17</v>
      </c>
      <c r="T55" s="65">
        <v>17</v>
      </c>
      <c r="U55" s="65">
        <v>17</v>
      </c>
      <c r="V55" s="65">
        <v>17</v>
      </c>
      <c r="W55" s="65">
        <v>17</v>
      </c>
      <c r="X55" s="65">
        <v>17</v>
      </c>
      <c r="Y55" s="65">
        <v>17</v>
      </c>
      <c r="Z55" s="65">
        <v>17</v>
      </c>
      <c r="AA55" s="65">
        <v>17</v>
      </c>
      <c r="AB55" s="65">
        <v>17</v>
      </c>
      <c r="AC55" s="65">
        <v>17</v>
      </c>
      <c r="AD55" s="65">
        <v>17</v>
      </c>
      <c r="AE55" s="65">
        <v>17</v>
      </c>
      <c r="AF55" s="65">
        <v>17</v>
      </c>
      <c r="AG55" s="54">
        <v>24</v>
      </c>
      <c r="AH55" s="47">
        <f t="shared" si="2"/>
        <v>17</v>
      </c>
      <c r="AI55" s="48">
        <f t="shared" si="3"/>
        <v>17</v>
      </c>
      <c r="AK55" s="49"/>
    </row>
    <row r="56" spans="1:41" x14ac:dyDescent="0.25">
      <c r="A56" s="53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3.3</v>
      </c>
      <c r="L56" s="65">
        <v>3.3</v>
      </c>
      <c r="M56" s="65">
        <v>3.3</v>
      </c>
      <c r="N56" s="65">
        <v>3.3</v>
      </c>
      <c r="O56" s="65">
        <v>3.3</v>
      </c>
      <c r="P56" s="65">
        <v>3.3</v>
      </c>
      <c r="Q56" s="65">
        <v>3.3</v>
      </c>
      <c r="R56" s="65">
        <v>3.3</v>
      </c>
      <c r="S56" s="65">
        <v>3.3</v>
      </c>
      <c r="T56" s="65">
        <v>3.3</v>
      </c>
      <c r="U56" s="65">
        <v>3.3</v>
      </c>
      <c r="V56" s="65">
        <v>3.3</v>
      </c>
      <c r="W56" s="65">
        <v>3.3</v>
      </c>
      <c r="X56" s="65">
        <v>3.3</v>
      </c>
      <c r="Y56" s="65">
        <v>3.3</v>
      </c>
      <c r="Z56" s="65">
        <v>3.3</v>
      </c>
      <c r="AA56" s="65">
        <v>3.3</v>
      </c>
      <c r="AB56" s="65">
        <v>3.3</v>
      </c>
      <c r="AC56" s="65">
        <v>3.3</v>
      </c>
      <c r="AD56" s="65">
        <v>3.3</v>
      </c>
      <c r="AE56" s="65">
        <v>3.3</v>
      </c>
      <c r="AF56" s="65">
        <v>3.3</v>
      </c>
      <c r="AG56" s="54">
        <v>15</v>
      </c>
      <c r="AH56" s="47">
        <f t="shared" si="2"/>
        <v>3.3</v>
      </c>
      <c r="AI56" s="48">
        <f t="shared" si="3"/>
        <v>3.2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14.9</v>
      </c>
      <c r="C57" s="65">
        <v>14.9</v>
      </c>
      <c r="D57" s="65">
        <v>14.9</v>
      </c>
      <c r="E57" s="65">
        <v>14.9</v>
      </c>
      <c r="F57" s="65">
        <v>14.9</v>
      </c>
      <c r="G57" s="65">
        <v>14</v>
      </c>
      <c r="H57" s="65">
        <v>14</v>
      </c>
      <c r="I57" s="65">
        <v>14</v>
      </c>
      <c r="J57" s="65">
        <v>14</v>
      </c>
      <c r="K57" s="65">
        <v>13</v>
      </c>
      <c r="L57" s="65">
        <v>13</v>
      </c>
      <c r="M57" s="65">
        <v>13</v>
      </c>
      <c r="N57" s="65">
        <v>13</v>
      </c>
      <c r="O57" s="65">
        <v>13</v>
      </c>
      <c r="P57" s="65">
        <v>13</v>
      </c>
      <c r="Q57" s="65">
        <v>13</v>
      </c>
      <c r="R57" s="65">
        <v>13</v>
      </c>
      <c r="S57" s="65">
        <v>13</v>
      </c>
      <c r="T57" s="65">
        <v>13</v>
      </c>
      <c r="U57" s="65">
        <v>13</v>
      </c>
      <c r="V57" s="65">
        <v>13</v>
      </c>
      <c r="W57" s="65">
        <v>13</v>
      </c>
      <c r="X57" s="65">
        <v>13</v>
      </c>
      <c r="Y57" s="65">
        <v>13</v>
      </c>
      <c r="Z57" s="65">
        <v>13</v>
      </c>
      <c r="AA57" s="65">
        <v>13</v>
      </c>
      <c r="AB57" s="65">
        <v>13</v>
      </c>
      <c r="AC57" s="65">
        <v>13</v>
      </c>
      <c r="AD57" s="65">
        <v>13</v>
      </c>
      <c r="AE57" s="65">
        <v>13</v>
      </c>
      <c r="AF57" s="65">
        <v>13</v>
      </c>
      <c r="AG57" s="54">
        <v>14.1</v>
      </c>
      <c r="AH57" s="47">
        <f t="shared" si="2"/>
        <v>14.9</v>
      </c>
      <c r="AI57" s="48">
        <f t="shared" si="3"/>
        <v>13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5</v>
      </c>
      <c r="C58" s="65">
        <v>5</v>
      </c>
      <c r="D58" s="65">
        <v>5</v>
      </c>
      <c r="E58" s="65">
        <v>5</v>
      </c>
      <c r="F58" s="65">
        <v>5</v>
      </c>
      <c r="G58" s="65">
        <v>5</v>
      </c>
      <c r="H58" s="65">
        <v>5</v>
      </c>
      <c r="I58" s="65">
        <v>5</v>
      </c>
      <c r="J58" s="65">
        <v>5</v>
      </c>
      <c r="K58" s="65">
        <v>5</v>
      </c>
      <c r="L58" s="65">
        <v>5</v>
      </c>
      <c r="M58" s="65">
        <v>5</v>
      </c>
      <c r="N58" s="65">
        <v>5</v>
      </c>
      <c r="O58" s="65">
        <v>5</v>
      </c>
      <c r="P58" s="65">
        <v>5</v>
      </c>
      <c r="Q58" s="65">
        <v>5</v>
      </c>
      <c r="R58" s="65">
        <v>5</v>
      </c>
      <c r="S58" s="65">
        <v>5</v>
      </c>
      <c r="T58" s="65">
        <v>5</v>
      </c>
      <c r="U58" s="65">
        <v>5</v>
      </c>
      <c r="V58" s="65">
        <v>5</v>
      </c>
      <c r="W58" s="65">
        <v>5</v>
      </c>
      <c r="X58" s="65">
        <v>5</v>
      </c>
      <c r="Y58" s="65">
        <v>5</v>
      </c>
      <c r="Z58" s="65">
        <v>5</v>
      </c>
      <c r="AA58" s="65">
        <v>5</v>
      </c>
      <c r="AB58" s="65">
        <v>5</v>
      </c>
      <c r="AC58" s="65">
        <v>5</v>
      </c>
      <c r="AD58" s="65">
        <v>5</v>
      </c>
      <c r="AE58" s="65">
        <v>5</v>
      </c>
      <c r="AF58" s="65">
        <v>5</v>
      </c>
      <c r="AG58" s="54">
        <v>14</v>
      </c>
      <c r="AH58" s="47">
        <f t="shared" si="2"/>
        <v>5</v>
      </c>
      <c r="AI58" s="48">
        <f t="shared" si="3"/>
        <v>5</v>
      </c>
      <c r="AK58" s="49"/>
    </row>
    <row r="59" spans="1:41" x14ac:dyDescent="0.25">
      <c r="A59" s="53" t="s">
        <v>67</v>
      </c>
      <c r="B59" s="65">
        <v>5.2</v>
      </c>
      <c r="C59" s="65">
        <v>5.2</v>
      </c>
      <c r="D59" s="65">
        <v>5.2</v>
      </c>
      <c r="E59" s="65">
        <v>5.2</v>
      </c>
      <c r="F59" s="65">
        <v>5.2</v>
      </c>
      <c r="G59" s="65">
        <v>5.2</v>
      </c>
      <c r="H59" s="65">
        <v>5.2</v>
      </c>
      <c r="I59" s="65">
        <v>5.2</v>
      </c>
      <c r="J59" s="65">
        <v>5.2</v>
      </c>
      <c r="K59" s="65">
        <v>5.2</v>
      </c>
      <c r="L59" s="65">
        <v>5.2</v>
      </c>
      <c r="M59" s="65">
        <v>5.2</v>
      </c>
      <c r="N59" s="65">
        <v>5.2</v>
      </c>
      <c r="O59" s="65">
        <v>5.2</v>
      </c>
      <c r="P59" s="65">
        <v>5.2</v>
      </c>
      <c r="Q59" s="65">
        <v>5.2</v>
      </c>
      <c r="R59" s="65">
        <v>5.2</v>
      </c>
      <c r="S59" s="65">
        <v>5.2</v>
      </c>
      <c r="T59" s="65">
        <v>5.2</v>
      </c>
      <c r="U59" s="65">
        <v>5.2</v>
      </c>
      <c r="V59" s="65">
        <v>5.2</v>
      </c>
      <c r="W59" s="65">
        <v>5.2</v>
      </c>
      <c r="X59" s="65">
        <v>5.2</v>
      </c>
      <c r="Y59" s="65">
        <v>5.2</v>
      </c>
      <c r="Z59" s="65">
        <v>5.2</v>
      </c>
      <c r="AA59" s="65">
        <v>5.2</v>
      </c>
      <c r="AB59" s="65">
        <v>5.2</v>
      </c>
      <c r="AC59" s="65">
        <v>5.2</v>
      </c>
      <c r="AD59" s="65">
        <v>5.2</v>
      </c>
      <c r="AE59" s="65">
        <v>5.2</v>
      </c>
      <c r="AF59" s="65">
        <v>5.2</v>
      </c>
      <c r="AG59" s="54">
        <v>10.050000000000001</v>
      </c>
      <c r="AH59" s="47">
        <f t="shared" si="2"/>
        <v>5.2</v>
      </c>
      <c r="AI59" s="48">
        <f t="shared" si="3"/>
        <v>5.2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 t="shared" ref="B62:AG62" si="6">SUM(B49:B61)</f>
        <v>108.84000000000002</v>
      </c>
      <c r="C62" s="60">
        <f t="shared" si="6"/>
        <v>91.840000000000018</v>
      </c>
      <c r="D62" s="60">
        <f t="shared" si="6"/>
        <v>91.840000000000018</v>
      </c>
      <c r="E62" s="60">
        <f t="shared" si="6"/>
        <v>91.840000000000018</v>
      </c>
      <c r="F62" s="60">
        <f t="shared" si="6"/>
        <v>108.34000000000002</v>
      </c>
      <c r="G62" s="60">
        <f t="shared" si="6"/>
        <v>126.24000000000001</v>
      </c>
      <c r="H62" s="60">
        <f t="shared" si="6"/>
        <v>176.73999999999995</v>
      </c>
      <c r="I62" s="60">
        <f t="shared" si="6"/>
        <v>189.03999999999996</v>
      </c>
      <c r="J62" s="60">
        <f t="shared" si="6"/>
        <v>258.14</v>
      </c>
      <c r="K62" s="60">
        <f t="shared" si="6"/>
        <v>286.33999999999997</v>
      </c>
      <c r="L62" s="60">
        <f t="shared" si="6"/>
        <v>345.84000000000003</v>
      </c>
      <c r="M62" s="60">
        <f t="shared" si="6"/>
        <v>350.04</v>
      </c>
      <c r="N62" s="60">
        <f t="shared" si="6"/>
        <v>325.84000000000003</v>
      </c>
      <c r="O62" s="60">
        <f t="shared" si="6"/>
        <v>356.74</v>
      </c>
      <c r="P62" s="60">
        <f t="shared" si="6"/>
        <v>373.37</v>
      </c>
      <c r="Q62" s="60">
        <f t="shared" si="6"/>
        <v>322.24000000000007</v>
      </c>
      <c r="R62" s="60">
        <f t="shared" si="6"/>
        <v>322.24000000000007</v>
      </c>
      <c r="S62" s="60">
        <f t="shared" si="6"/>
        <v>267.84000000000003</v>
      </c>
      <c r="T62" s="60">
        <f t="shared" si="6"/>
        <v>280.94</v>
      </c>
      <c r="U62" s="60">
        <f t="shared" si="6"/>
        <v>274.24</v>
      </c>
      <c r="V62" s="60">
        <f t="shared" si="6"/>
        <v>313.84000000000003</v>
      </c>
      <c r="W62" s="60">
        <f t="shared" si="6"/>
        <v>308.74</v>
      </c>
      <c r="X62" s="60">
        <f t="shared" si="6"/>
        <v>314.54000000000002</v>
      </c>
      <c r="Y62" s="60">
        <f t="shared" si="6"/>
        <v>317.44</v>
      </c>
      <c r="Z62" s="60">
        <f t="shared" si="6"/>
        <v>340.74</v>
      </c>
      <c r="AA62" s="60">
        <f t="shared" si="6"/>
        <v>316.04000000000002</v>
      </c>
      <c r="AB62" s="60">
        <f t="shared" si="6"/>
        <v>281.64000000000004</v>
      </c>
      <c r="AC62" s="60">
        <f t="shared" si="6"/>
        <v>264.64000000000004</v>
      </c>
      <c r="AD62" s="60">
        <f t="shared" si="6"/>
        <v>261.04000000000002</v>
      </c>
      <c r="AE62" s="60">
        <f t="shared" si="6"/>
        <v>244.14</v>
      </c>
      <c r="AF62" s="60">
        <f t="shared" si="6"/>
        <v>197.64</v>
      </c>
      <c r="AG62" s="61">
        <f t="shared" si="6"/>
        <v>489.91</v>
      </c>
      <c r="AH62" s="47">
        <f t="shared" si="2"/>
        <v>373.37</v>
      </c>
      <c r="AI62" s="48">
        <f t="shared" si="3"/>
        <v>91.840000000000018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0</v>
      </c>
      <c r="U63" s="45">
        <v>0</v>
      </c>
      <c r="V63" s="45">
        <v>0</v>
      </c>
      <c r="W63" s="45">
        <v>0</v>
      </c>
      <c r="X63" s="45">
        <v>10</v>
      </c>
      <c r="Y63" s="45">
        <v>40</v>
      </c>
      <c r="Z63" s="45">
        <v>40</v>
      </c>
      <c r="AA63" s="45">
        <v>30</v>
      </c>
      <c r="AB63" s="45">
        <v>20</v>
      </c>
      <c r="AC63" s="45">
        <v>10</v>
      </c>
      <c r="AD63" s="45">
        <v>10</v>
      </c>
      <c r="AE63" s="45">
        <v>14</v>
      </c>
      <c r="AF63" s="45">
        <v>0</v>
      </c>
      <c r="AG63" s="51">
        <v>60</v>
      </c>
      <c r="AH63" s="47">
        <f t="shared" si="2"/>
        <v>40</v>
      </c>
      <c r="AI63" s="48">
        <f t="shared" si="3"/>
        <v>0</v>
      </c>
      <c r="AK63" s="49"/>
    </row>
    <row r="64" spans="1:41" x14ac:dyDescent="0.25">
      <c r="A64" s="53" t="s">
        <v>72</v>
      </c>
      <c r="B64" s="45">
        <v>0</v>
      </c>
      <c r="C64" s="45">
        <v>0</v>
      </c>
      <c r="D64" s="45">
        <v>0</v>
      </c>
      <c r="E64" s="45">
        <v>0</v>
      </c>
      <c r="F64" s="4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4.8</v>
      </c>
      <c r="Y64" s="65">
        <v>16.5</v>
      </c>
      <c r="Z64" s="65">
        <v>16</v>
      </c>
      <c r="AA64" s="65">
        <v>14</v>
      </c>
      <c r="AB64" s="65">
        <v>14</v>
      </c>
      <c r="AC64" s="65">
        <v>6</v>
      </c>
      <c r="AD64" s="65">
        <v>4.0999999999999996</v>
      </c>
      <c r="AE64" s="65">
        <v>5.5</v>
      </c>
      <c r="AF64" s="45">
        <v>0</v>
      </c>
      <c r="AG64" s="54">
        <v>32</v>
      </c>
      <c r="AH64" s="47">
        <f t="shared" si="2"/>
        <v>16.5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45">
        <v>0</v>
      </c>
      <c r="C65" s="45">
        <v>0</v>
      </c>
      <c r="D65" s="45">
        <v>0</v>
      </c>
      <c r="E65" s="45">
        <v>0</v>
      </c>
      <c r="F65" s="45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45">
        <v>0</v>
      </c>
      <c r="N65" s="45">
        <v>0</v>
      </c>
      <c r="O65" s="45">
        <v>0</v>
      </c>
      <c r="P65" s="45">
        <v>0</v>
      </c>
      <c r="Q65" s="45">
        <v>0</v>
      </c>
      <c r="R65" s="45">
        <v>0</v>
      </c>
      <c r="S65" s="45">
        <v>0</v>
      </c>
      <c r="T65" s="67">
        <v>0</v>
      </c>
      <c r="U65" s="67">
        <v>0</v>
      </c>
      <c r="V65" s="67">
        <v>0</v>
      </c>
      <c r="W65" s="67">
        <v>0</v>
      </c>
      <c r="X65" s="67">
        <v>1.7</v>
      </c>
      <c r="Y65" s="67">
        <v>6</v>
      </c>
      <c r="Z65" s="67">
        <v>5.8</v>
      </c>
      <c r="AA65" s="67">
        <v>5.0999999999999996</v>
      </c>
      <c r="AB65" s="67">
        <v>5.0999999999999996</v>
      </c>
      <c r="AC65" s="67">
        <v>2.2000000000000002</v>
      </c>
      <c r="AD65" s="67">
        <v>1.5</v>
      </c>
      <c r="AE65" s="67">
        <v>2</v>
      </c>
      <c r="AF65" s="45">
        <v>0</v>
      </c>
      <c r="AG65" s="68">
        <v>14</v>
      </c>
      <c r="AH65" s="47">
        <f t="shared" si="2"/>
        <v>6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0</v>
      </c>
      <c r="M66" s="60">
        <f>M63+M64+M65</f>
        <v>0</v>
      </c>
      <c r="N66" s="60">
        <f t="shared" ref="N66:AF66" si="7">N63+N64+N65</f>
        <v>0</v>
      </c>
      <c r="O66" s="60">
        <f t="shared" si="7"/>
        <v>0</v>
      </c>
      <c r="P66" s="60">
        <f t="shared" si="7"/>
        <v>0</v>
      </c>
      <c r="Q66" s="60">
        <f t="shared" si="7"/>
        <v>0</v>
      </c>
      <c r="R66" s="60">
        <f t="shared" si="7"/>
        <v>0</v>
      </c>
      <c r="S66" s="60">
        <f t="shared" si="7"/>
        <v>0</v>
      </c>
      <c r="T66" s="60">
        <v>0</v>
      </c>
      <c r="U66" s="60">
        <f t="shared" si="7"/>
        <v>0</v>
      </c>
      <c r="V66" s="60">
        <f t="shared" si="7"/>
        <v>0</v>
      </c>
      <c r="W66" s="60">
        <f t="shared" si="7"/>
        <v>0</v>
      </c>
      <c r="X66" s="60">
        <f t="shared" si="7"/>
        <v>16.5</v>
      </c>
      <c r="Y66" s="60">
        <f t="shared" si="7"/>
        <v>62.5</v>
      </c>
      <c r="Z66" s="60">
        <f t="shared" si="7"/>
        <v>61.8</v>
      </c>
      <c r="AA66" s="60">
        <f t="shared" si="7"/>
        <v>49.1</v>
      </c>
      <c r="AB66" s="60">
        <f t="shared" si="7"/>
        <v>39.1</v>
      </c>
      <c r="AC66" s="60">
        <f t="shared" si="7"/>
        <v>18.2</v>
      </c>
      <c r="AD66" s="60">
        <f t="shared" si="7"/>
        <v>15.6</v>
      </c>
      <c r="AE66" s="60">
        <f t="shared" si="7"/>
        <v>21.5</v>
      </c>
      <c r="AF66" s="60">
        <f t="shared" si="7"/>
        <v>0</v>
      </c>
      <c r="AG66" s="61">
        <f>SUM(AG63:AG65)</f>
        <v>106</v>
      </c>
      <c r="AH66" s="47">
        <f t="shared" si="2"/>
        <v>62.5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47</v>
      </c>
      <c r="C67" s="45">
        <v>50</v>
      </c>
      <c r="D67" s="45">
        <v>62</v>
      </c>
      <c r="E67" s="45">
        <v>57</v>
      </c>
      <c r="F67" s="45">
        <v>46</v>
      </c>
      <c r="G67" s="45">
        <v>58</v>
      </c>
      <c r="H67" s="45">
        <v>62</v>
      </c>
      <c r="I67" s="45">
        <v>62</v>
      </c>
      <c r="J67" s="45">
        <v>66</v>
      </c>
      <c r="K67" s="45">
        <v>67</v>
      </c>
      <c r="L67" s="45">
        <v>71.599999999999994</v>
      </c>
      <c r="M67" s="45">
        <v>66</v>
      </c>
      <c r="N67" s="45">
        <v>60</v>
      </c>
      <c r="O67" s="45">
        <v>58</v>
      </c>
      <c r="P67" s="45">
        <v>66.599999999999994</v>
      </c>
      <c r="Q67" s="45">
        <v>68.099999999999994</v>
      </c>
      <c r="R67" s="45">
        <v>68.099999999999994</v>
      </c>
      <c r="S67" s="45">
        <v>46</v>
      </c>
      <c r="T67" s="45">
        <v>60</v>
      </c>
      <c r="U67" s="45">
        <v>59</v>
      </c>
      <c r="V67" s="45">
        <v>60.44</v>
      </c>
      <c r="W67" s="45">
        <v>63</v>
      </c>
      <c r="X67" s="45">
        <v>63</v>
      </c>
      <c r="Y67" s="45">
        <v>67</v>
      </c>
      <c r="Z67" s="45">
        <v>69</v>
      </c>
      <c r="AA67" s="45">
        <v>70</v>
      </c>
      <c r="AB67" s="45">
        <v>70</v>
      </c>
      <c r="AC67" s="45">
        <v>53.3</v>
      </c>
      <c r="AD67" s="45">
        <v>68</v>
      </c>
      <c r="AE67" s="45">
        <v>52</v>
      </c>
      <c r="AF67" s="45">
        <v>52</v>
      </c>
      <c r="AG67" s="51"/>
      <c r="AH67" s="47">
        <f t="shared" si="2"/>
        <v>71.599999999999994</v>
      </c>
      <c r="AI67" s="48">
        <f t="shared" si="3"/>
        <v>46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335</v>
      </c>
      <c r="C69" s="65">
        <v>335</v>
      </c>
      <c r="D69" s="65">
        <v>312</v>
      </c>
      <c r="E69" s="65">
        <v>306</v>
      </c>
      <c r="F69" s="65">
        <v>279</v>
      </c>
      <c r="G69" s="65">
        <v>300</v>
      </c>
      <c r="H69" s="65">
        <v>302</v>
      </c>
      <c r="I69" s="65">
        <v>318</v>
      </c>
      <c r="J69" s="65">
        <v>328</v>
      </c>
      <c r="K69" s="65">
        <v>320</v>
      </c>
      <c r="L69" s="65">
        <v>331</v>
      </c>
      <c r="M69" s="65">
        <v>309</v>
      </c>
      <c r="N69" s="65">
        <v>305</v>
      </c>
      <c r="O69" s="65">
        <v>308.5</v>
      </c>
      <c r="P69" s="65">
        <v>335.8</v>
      </c>
      <c r="Q69" s="65">
        <v>334</v>
      </c>
      <c r="R69" s="65">
        <v>334</v>
      </c>
      <c r="S69" s="65">
        <v>338</v>
      </c>
      <c r="T69" s="65">
        <v>331</v>
      </c>
      <c r="U69" s="65">
        <v>342</v>
      </c>
      <c r="V69" s="65">
        <v>323</v>
      </c>
      <c r="W69" s="65">
        <v>300</v>
      </c>
      <c r="X69" s="65">
        <v>302</v>
      </c>
      <c r="Y69" s="65">
        <v>276</v>
      </c>
      <c r="Z69" s="65">
        <v>254</v>
      </c>
      <c r="AA69" s="65">
        <v>270</v>
      </c>
      <c r="AB69" s="65">
        <v>340</v>
      </c>
      <c r="AC69" s="65">
        <v>270</v>
      </c>
      <c r="AD69" s="65">
        <v>280</v>
      </c>
      <c r="AE69" s="65">
        <v>306</v>
      </c>
      <c r="AF69" s="65">
        <v>335</v>
      </c>
      <c r="AG69" s="75"/>
      <c r="AH69" s="47">
        <f t="shared" si="2"/>
        <v>342</v>
      </c>
      <c r="AI69" s="48">
        <f t="shared" si="3"/>
        <v>254</v>
      </c>
      <c r="AK69" s="49"/>
    </row>
    <row r="70" spans="1:40" x14ac:dyDescent="0.25">
      <c r="A70" s="53" t="s">
        <v>78</v>
      </c>
      <c r="B70" s="76">
        <v>45</v>
      </c>
      <c r="C70" s="76">
        <v>45</v>
      </c>
      <c r="D70" s="76">
        <v>46</v>
      </c>
      <c r="E70" s="76" t="s">
        <v>709</v>
      </c>
      <c r="F70" s="76">
        <v>8</v>
      </c>
      <c r="G70" s="76">
        <v>8</v>
      </c>
      <c r="H70" s="76">
        <v>8</v>
      </c>
      <c r="I70" s="76">
        <v>57</v>
      </c>
      <c r="J70" s="76">
        <v>53.7</v>
      </c>
      <c r="K70" s="76">
        <v>61.2</v>
      </c>
      <c r="L70" s="76">
        <v>61.7</v>
      </c>
      <c r="M70" s="76">
        <v>64.599999999999994</v>
      </c>
      <c r="N70" s="76">
        <v>63.2</v>
      </c>
      <c r="O70" s="76">
        <v>47.3</v>
      </c>
      <c r="P70" s="76">
        <v>60.1</v>
      </c>
      <c r="Q70" s="76">
        <v>60.9</v>
      </c>
      <c r="R70" s="76">
        <v>60.9</v>
      </c>
      <c r="S70" s="76">
        <v>57</v>
      </c>
      <c r="T70" s="76">
        <v>55.3</v>
      </c>
      <c r="U70" s="76">
        <v>0</v>
      </c>
      <c r="V70" s="76">
        <v>0</v>
      </c>
      <c r="W70" s="76">
        <v>0</v>
      </c>
      <c r="X70" s="76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0</v>
      </c>
      <c r="AD70" s="65">
        <v>0</v>
      </c>
      <c r="AE70" s="65">
        <v>0</v>
      </c>
      <c r="AF70" s="65">
        <v>0</v>
      </c>
      <c r="AG70" s="75"/>
      <c r="AH70" s="47">
        <f t="shared" si="2"/>
        <v>64.599999999999994</v>
      </c>
      <c r="AI70" s="48">
        <f t="shared" si="3"/>
        <v>0</v>
      </c>
      <c r="AK70" s="49"/>
    </row>
    <row r="71" spans="1:40" x14ac:dyDescent="0.25">
      <c r="A71" s="53" t="s">
        <v>79</v>
      </c>
      <c r="B71" s="45">
        <v>15</v>
      </c>
      <c r="C71" s="45">
        <v>15</v>
      </c>
      <c r="D71" s="45">
        <v>0</v>
      </c>
      <c r="E71" s="45">
        <v>19</v>
      </c>
      <c r="F71" s="45">
        <v>18</v>
      </c>
      <c r="G71" s="45">
        <v>18</v>
      </c>
      <c r="H71" s="45">
        <v>18</v>
      </c>
      <c r="I71" s="45">
        <v>19</v>
      </c>
      <c r="J71" s="45">
        <v>19</v>
      </c>
      <c r="K71" s="45">
        <v>19</v>
      </c>
      <c r="L71" s="45">
        <v>18</v>
      </c>
      <c r="M71" s="45">
        <v>18</v>
      </c>
      <c r="N71" s="45">
        <v>27</v>
      </c>
      <c r="O71" s="45">
        <v>28</v>
      </c>
      <c r="P71" s="45">
        <v>31</v>
      </c>
      <c r="Q71" s="45">
        <v>32</v>
      </c>
      <c r="R71" s="45">
        <v>32</v>
      </c>
      <c r="S71" s="45">
        <v>32</v>
      </c>
      <c r="T71" s="45">
        <v>32</v>
      </c>
      <c r="U71" s="45">
        <v>30</v>
      </c>
      <c r="V71" s="45">
        <v>28</v>
      </c>
      <c r="W71" s="45">
        <v>28</v>
      </c>
      <c r="X71" s="45">
        <v>53</v>
      </c>
      <c r="Y71" s="45">
        <v>53</v>
      </c>
      <c r="Z71" s="45">
        <v>52</v>
      </c>
      <c r="AA71" s="45">
        <v>52</v>
      </c>
      <c r="AB71" s="45">
        <v>52</v>
      </c>
      <c r="AC71" s="45">
        <v>70</v>
      </c>
      <c r="AD71" s="45">
        <v>70</v>
      </c>
      <c r="AE71" s="45">
        <v>30</v>
      </c>
      <c r="AF71" s="45">
        <v>30</v>
      </c>
      <c r="AG71" s="75"/>
      <c r="AH71" s="47">
        <f t="shared" si="2"/>
        <v>70</v>
      </c>
      <c r="AI71" s="48">
        <f t="shared" si="3"/>
        <v>0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5"/>
      <c r="AH72" s="47">
        <f t="shared" si="2"/>
        <v>5</v>
      </c>
      <c r="AI72" s="48">
        <f t="shared" si="3"/>
        <v>0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8">MAX(B75:AF75)</f>
        <v>0</v>
      </c>
      <c r="AI75" s="48">
        <f t="shared" ref="AI75:AI113" si="9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8"/>
        <v>0</v>
      </c>
      <c r="AI76" s="48">
        <f t="shared" si="9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8"/>
        <v>0</v>
      </c>
      <c r="AI77" s="48">
        <f t="shared" si="9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F78" si="10">SUMIF(B67:B77,"&gt;0")</f>
        <v>447</v>
      </c>
      <c r="C78" s="60">
        <f t="shared" si="10"/>
        <v>450</v>
      </c>
      <c r="D78" s="60">
        <f t="shared" si="10"/>
        <v>420</v>
      </c>
      <c r="E78" s="60">
        <f t="shared" si="10"/>
        <v>382</v>
      </c>
      <c r="F78" s="60">
        <f t="shared" si="10"/>
        <v>351</v>
      </c>
      <c r="G78" s="60">
        <f t="shared" si="10"/>
        <v>384</v>
      </c>
      <c r="H78" s="60">
        <f t="shared" si="10"/>
        <v>390</v>
      </c>
      <c r="I78" s="60">
        <f t="shared" si="10"/>
        <v>456</v>
      </c>
      <c r="J78" s="60">
        <f t="shared" si="10"/>
        <v>466.7</v>
      </c>
      <c r="K78" s="60">
        <f t="shared" si="10"/>
        <v>467.2</v>
      </c>
      <c r="L78" s="60">
        <f t="shared" si="10"/>
        <v>482.3</v>
      </c>
      <c r="M78" s="60">
        <f t="shared" si="10"/>
        <v>457.6</v>
      </c>
      <c r="N78" s="60">
        <f t="shared" si="10"/>
        <v>455.2</v>
      </c>
      <c r="O78" s="60">
        <f t="shared" si="10"/>
        <v>441.8</v>
      </c>
      <c r="P78" s="60">
        <f t="shared" si="10"/>
        <v>493.5</v>
      </c>
      <c r="Q78" s="60">
        <f t="shared" si="10"/>
        <v>495</v>
      </c>
      <c r="R78" s="60">
        <f t="shared" si="10"/>
        <v>495</v>
      </c>
      <c r="S78" s="60">
        <f t="shared" si="10"/>
        <v>473</v>
      </c>
      <c r="T78" s="60">
        <f t="shared" si="10"/>
        <v>478.3</v>
      </c>
      <c r="U78" s="60">
        <f t="shared" si="10"/>
        <v>431</v>
      </c>
      <c r="V78" s="60">
        <f t="shared" si="10"/>
        <v>411.44</v>
      </c>
      <c r="W78" s="60">
        <f t="shared" si="10"/>
        <v>391</v>
      </c>
      <c r="X78" s="60">
        <f t="shared" si="10"/>
        <v>418</v>
      </c>
      <c r="Y78" s="60">
        <f t="shared" si="10"/>
        <v>396</v>
      </c>
      <c r="Z78" s="60">
        <f t="shared" si="10"/>
        <v>375</v>
      </c>
      <c r="AA78" s="60">
        <f t="shared" si="10"/>
        <v>392</v>
      </c>
      <c r="AB78" s="60">
        <f t="shared" si="10"/>
        <v>462</v>
      </c>
      <c r="AC78" s="60">
        <f t="shared" si="10"/>
        <v>393.3</v>
      </c>
      <c r="AD78" s="60">
        <f t="shared" si="10"/>
        <v>418</v>
      </c>
      <c r="AE78" s="60">
        <f t="shared" si="10"/>
        <v>388</v>
      </c>
      <c r="AF78" s="60">
        <f t="shared" si="10"/>
        <v>417</v>
      </c>
      <c r="AG78" s="88">
        <f>SUM(AG67:AG77)</f>
        <v>0</v>
      </c>
      <c r="AH78" s="47">
        <f t="shared" si="8"/>
        <v>495</v>
      </c>
      <c r="AI78" s="48">
        <f t="shared" si="9"/>
        <v>351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8"/>
        <v>0</v>
      </c>
      <c r="AI79" s="48">
        <f t="shared" si="9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8"/>
        <v>0</v>
      </c>
      <c r="AI80" s="48">
        <f t="shared" si="9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8"/>
        <v>0</v>
      </c>
      <c r="AI81" s="48">
        <f t="shared" si="9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/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8"/>
        <v>0</v>
      </c>
      <c r="AI82" s="48">
        <f t="shared" si="9"/>
        <v>0</v>
      </c>
    </row>
    <row r="83" spans="1:37" ht="15.75" thickBot="1" x14ac:dyDescent="0.3">
      <c r="A83" s="74" t="s">
        <v>94</v>
      </c>
      <c r="B83" s="95">
        <f>B44+B48+B66+B62+B78+B82</f>
        <v>1000.84</v>
      </c>
      <c r="C83" s="95">
        <f t="shared" ref="C83:AG83" si="11">C44+C48+C66+C62+C78+C82</f>
        <v>986.84</v>
      </c>
      <c r="D83" s="95">
        <f t="shared" si="11"/>
        <v>956.84</v>
      </c>
      <c r="E83" s="95">
        <f t="shared" si="11"/>
        <v>918.84</v>
      </c>
      <c r="F83" s="95">
        <f t="shared" si="11"/>
        <v>995.74</v>
      </c>
      <c r="G83" s="95">
        <f t="shared" si="11"/>
        <v>1034.74</v>
      </c>
      <c r="H83" s="95">
        <f t="shared" si="11"/>
        <v>1101.1399999999999</v>
      </c>
      <c r="I83" s="95">
        <f t="shared" si="11"/>
        <v>1169.54</v>
      </c>
      <c r="J83" s="95">
        <f t="shared" si="11"/>
        <v>1249.74</v>
      </c>
      <c r="K83" s="95">
        <f t="shared" si="11"/>
        <v>1283.53</v>
      </c>
      <c r="L83" s="95">
        <f t="shared" si="11"/>
        <v>1383.34</v>
      </c>
      <c r="M83" s="95">
        <f t="shared" si="11"/>
        <v>1407.2399999999998</v>
      </c>
      <c r="N83" s="95">
        <f t="shared" si="11"/>
        <v>1341.64</v>
      </c>
      <c r="O83" s="95">
        <f t="shared" si="11"/>
        <v>1369.64</v>
      </c>
      <c r="P83" s="95">
        <f t="shared" si="11"/>
        <v>1384.17</v>
      </c>
      <c r="Q83" s="95">
        <f t="shared" si="11"/>
        <v>1333.3400000000001</v>
      </c>
      <c r="R83" s="95">
        <f t="shared" si="11"/>
        <v>1333.3400000000001</v>
      </c>
      <c r="S83" s="95">
        <f t="shared" si="11"/>
        <v>1256.94</v>
      </c>
      <c r="T83" s="95">
        <f t="shared" si="11"/>
        <v>1260.3399999999999</v>
      </c>
      <c r="U83" s="95">
        <f t="shared" si="11"/>
        <v>1206.3400000000001</v>
      </c>
      <c r="V83" s="95">
        <f t="shared" si="11"/>
        <v>1216.3800000000001</v>
      </c>
      <c r="W83" s="95">
        <f t="shared" si="11"/>
        <v>1230.8400000000001</v>
      </c>
      <c r="X83" s="95">
        <f t="shared" si="11"/>
        <v>1320.14</v>
      </c>
      <c r="Y83" s="95">
        <f t="shared" si="11"/>
        <v>1411.24</v>
      </c>
      <c r="Z83" s="95">
        <f t="shared" si="11"/>
        <v>1422.84</v>
      </c>
      <c r="AA83" s="95">
        <f t="shared" si="11"/>
        <v>1392.44</v>
      </c>
      <c r="AB83" s="95">
        <f t="shared" si="11"/>
        <v>1438.8400000000001</v>
      </c>
      <c r="AC83" s="95">
        <f t="shared" si="11"/>
        <v>1332.24</v>
      </c>
      <c r="AD83" s="95">
        <f t="shared" si="11"/>
        <v>1340.74</v>
      </c>
      <c r="AE83" s="95">
        <f t="shared" si="11"/>
        <v>1224.74</v>
      </c>
      <c r="AF83" s="95">
        <f t="shared" si="11"/>
        <v>1145.74</v>
      </c>
      <c r="AG83" s="61">
        <f t="shared" si="11"/>
        <v>2004.1900000000003</v>
      </c>
      <c r="AH83" s="47">
        <f>MAX(B83:AF83)</f>
        <v>1438.8400000000001</v>
      </c>
      <c r="AI83" s="48">
        <f>MIN(B83:AF83)</f>
        <v>918.84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>
        <v>200</v>
      </c>
      <c r="M84" s="97">
        <v>200</v>
      </c>
      <c r="N84" s="97">
        <v>110</v>
      </c>
      <c r="O84" s="97"/>
      <c r="P84" s="97"/>
      <c r="Q84" s="97"/>
      <c r="R84" s="97"/>
      <c r="S84" s="97"/>
      <c r="T84" s="97"/>
      <c r="U84" s="97"/>
      <c r="V84" s="97"/>
      <c r="W84" s="97">
        <v>170</v>
      </c>
      <c r="X84" s="97">
        <v>170</v>
      </c>
      <c r="Y84" s="97">
        <v>170</v>
      </c>
      <c r="Z84" s="97">
        <v>170</v>
      </c>
      <c r="AA84" s="97">
        <v>170</v>
      </c>
      <c r="AB84" s="97">
        <v>140</v>
      </c>
      <c r="AC84" s="97">
        <v>80</v>
      </c>
      <c r="AD84" s="97">
        <v>80</v>
      </c>
      <c r="AE84" s="97">
        <v>0</v>
      </c>
      <c r="AF84" s="97"/>
      <c r="AG84" s="88"/>
      <c r="AH84" s="47">
        <f t="shared" si="8"/>
        <v>200</v>
      </c>
      <c r="AI84" s="48">
        <f t="shared" si="9"/>
        <v>0</v>
      </c>
    </row>
    <row r="85" spans="1:37" ht="15.75" thickBot="1" x14ac:dyDescent="0.3">
      <c r="A85" s="74" t="s">
        <v>96</v>
      </c>
      <c r="B85" s="95">
        <f>B83+B84</f>
        <v>1000.84</v>
      </c>
      <c r="C85" s="95">
        <f t="shared" ref="C85:AF85" si="12">C83+C84</f>
        <v>986.84</v>
      </c>
      <c r="D85" s="95">
        <f t="shared" si="12"/>
        <v>956.84</v>
      </c>
      <c r="E85" s="95">
        <f t="shared" si="12"/>
        <v>918.84</v>
      </c>
      <c r="F85" s="95">
        <f t="shared" si="12"/>
        <v>995.74</v>
      </c>
      <c r="G85" s="95">
        <f t="shared" si="12"/>
        <v>1034.74</v>
      </c>
      <c r="H85" s="95">
        <f t="shared" si="12"/>
        <v>1101.1399999999999</v>
      </c>
      <c r="I85" s="95">
        <f t="shared" si="12"/>
        <v>1169.54</v>
      </c>
      <c r="J85" s="95">
        <f t="shared" si="12"/>
        <v>1249.74</v>
      </c>
      <c r="K85" s="95">
        <f t="shared" si="12"/>
        <v>1283.53</v>
      </c>
      <c r="L85" s="95">
        <f t="shared" si="12"/>
        <v>1583.34</v>
      </c>
      <c r="M85" s="95">
        <f t="shared" si="12"/>
        <v>1607.2399999999998</v>
      </c>
      <c r="N85" s="95">
        <f t="shared" si="12"/>
        <v>1451.64</v>
      </c>
      <c r="O85" s="95">
        <f t="shared" si="12"/>
        <v>1369.64</v>
      </c>
      <c r="P85" s="95">
        <f t="shared" si="12"/>
        <v>1384.17</v>
      </c>
      <c r="Q85" s="95">
        <f t="shared" si="12"/>
        <v>1333.3400000000001</v>
      </c>
      <c r="R85" s="95">
        <f t="shared" si="12"/>
        <v>1333.3400000000001</v>
      </c>
      <c r="S85" s="95">
        <f t="shared" si="12"/>
        <v>1256.94</v>
      </c>
      <c r="T85" s="95">
        <f t="shared" si="12"/>
        <v>1260.3399999999999</v>
      </c>
      <c r="U85" s="95">
        <f t="shared" si="12"/>
        <v>1206.3400000000001</v>
      </c>
      <c r="V85" s="95">
        <f t="shared" si="12"/>
        <v>1216.3800000000001</v>
      </c>
      <c r="W85" s="95">
        <f t="shared" si="12"/>
        <v>1400.8400000000001</v>
      </c>
      <c r="X85" s="95">
        <f t="shared" si="12"/>
        <v>1490.14</v>
      </c>
      <c r="Y85" s="95">
        <f t="shared" si="12"/>
        <v>1581.24</v>
      </c>
      <c r="Z85" s="95">
        <f t="shared" si="12"/>
        <v>1592.84</v>
      </c>
      <c r="AA85" s="95">
        <f t="shared" si="12"/>
        <v>1562.44</v>
      </c>
      <c r="AB85" s="95">
        <f t="shared" si="12"/>
        <v>1578.8400000000001</v>
      </c>
      <c r="AC85" s="95">
        <f t="shared" si="12"/>
        <v>1412.24</v>
      </c>
      <c r="AD85" s="95">
        <f t="shared" si="12"/>
        <v>1420.74</v>
      </c>
      <c r="AE85" s="95">
        <f t="shared" si="12"/>
        <v>1224.74</v>
      </c>
      <c r="AF85" s="95">
        <f t="shared" si="12"/>
        <v>1145.74</v>
      </c>
      <c r="AG85" s="88">
        <f>AG82+AG78+AG66+AG62+AG44+AG84</f>
        <v>1466.0900000000001</v>
      </c>
      <c r="AH85" s="47">
        <f t="shared" si="8"/>
        <v>1607.2399999999998</v>
      </c>
      <c r="AI85" s="48">
        <f t="shared" si="9"/>
        <v>918.84</v>
      </c>
    </row>
    <row r="86" spans="1:37" ht="15.75" thickBot="1" x14ac:dyDescent="0.3">
      <c r="A86" s="74" t="s">
        <v>97</v>
      </c>
      <c r="B86" s="95">
        <f t="shared" ref="B86:AF86" si="13">B85-B93</f>
        <v>1000.84</v>
      </c>
      <c r="C86" s="95">
        <f t="shared" si="13"/>
        <v>986.84</v>
      </c>
      <c r="D86" s="95">
        <f t="shared" si="13"/>
        <v>956.84</v>
      </c>
      <c r="E86" s="95">
        <f t="shared" si="13"/>
        <v>918.84</v>
      </c>
      <c r="F86" s="95">
        <f t="shared" si="13"/>
        <v>995.74</v>
      </c>
      <c r="G86" s="95">
        <f t="shared" si="13"/>
        <v>1034.74</v>
      </c>
      <c r="H86" s="95">
        <f t="shared" si="13"/>
        <v>1101.1399999999999</v>
      </c>
      <c r="I86" s="95">
        <f t="shared" si="13"/>
        <v>1169.54</v>
      </c>
      <c r="J86" s="95">
        <f t="shared" si="13"/>
        <v>1249.74</v>
      </c>
      <c r="K86" s="95">
        <f t="shared" si="13"/>
        <v>1283.53</v>
      </c>
      <c r="L86" s="95">
        <f t="shared" si="13"/>
        <v>1583.34</v>
      </c>
      <c r="M86" s="95">
        <f t="shared" si="13"/>
        <v>1607.2399999999998</v>
      </c>
      <c r="N86" s="95">
        <f t="shared" si="13"/>
        <v>1451.64</v>
      </c>
      <c r="O86" s="95">
        <f t="shared" si="13"/>
        <v>1369.64</v>
      </c>
      <c r="P86" s="95">
        <f t="shared" si="13"/>
        <v>1384.17</v>
      </c>
      <c r="Q86" s="95">
        <f t="shared" si="13"/>
        <v>1333.3400000000001</v>
      </c>
      <c r="R86" s="95">
        <f t="shared" si="13"/>
        <v>1333.3400000000001</v>
      </c>
      <c r="S86" s="95">
        <f t="shared" si="13"/>
        <v>1256.94</v>
      </c>
      <c r="T86" s="95">
        <f t="shared" si="13"/>
        <v>1260.3399999999999</v>
      </c>
      <c r="U86" s="95">
        <f t="shared" si="13"/>
        <v>1206.3400000000001</v>
      </c>
      <c r="V86" s="95">
        <f t="shared" si="13"/>
        <v>1216.3800000000001</v>
      </c>
      <c r="W86" s="95">
        <f t="shared" si="13"/>
        <v>1400.8400000000001</v>
      </c>
      <c r="X86" s="95">
        <f t="shared" si="13"/>
        <v>1490.14</v>
      </c>
      <c r="Y86" s="95">
        <f t="shared" si="13"/>
        <v>1581.24</v>
      </c>
      <c r="Z86" s="95">
        <f t="shared" si="13"/>
        <v>1592.84</v>
      </c>
      <c r="AA86" s="95">
        <f t="shared" si="13"/>
        <v>1562.44</v>
      </c>
      <c r="AB86" s="95">
        <f t="shared" si="13"/>
        <v>1578.8400000000001</v>
      </c>
      <c r="AC86" s="95">
        <f t="shared" si="13"/>
        <v>1412.24</v>
      </c>
      <c r="AD86" s="95">
        <f t="shared" si="13"/>
        <v>1420.74</v>
      </c>
      <c r="AE86" s="95">
        <f t="shared" si="13"/>
        <v>1224.74</v>
      </c>
      <c r="AF86" s="95">
        <f t="shared" si="13"/>
        <v>1145.74</v>
      </c>
      <c r="AG86" s="88"/>
      <c r="AH86" s="47">
        <f t="shared" si="8"/>
        <v>1607.2399999999998</v>
      </c>
      <c r="AI86" s="48">
        <f t="shared" si="9"/>
        <v>918.84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8"/>
        <v>0</v>
      </c>
      <c r="AI87" s="48">
        <f t="shared" si="9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8"/>
        <v>0</v>
      </c>
      <c r="AI88" s="48">
        <f t="shared" si="9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8"/>
        <v>0</v>
      </c>
      <c r="AI89" s="48">
        <f t="shared" si="9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8"/>
        <v>0</v>
      </c>
      <c r="AI90" s="48">
        <f t="shared" si="9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8"/>
        <v>0</v>
      </c>
      <c r="AI91" s="48">
        <f t="shared" si="9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8"/>
        <v>0</v>
      </c>
      <c r="AI92" s="48">
        <f t="shared" si="9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88"/>
      <c r="AH93" s="47">
        <f t="shared" si="8"/>
        <v>0</v>
      </c>
      <c r="AI93" s="48">
        <f t="shared" si="9"/>
        <v>0</v>
      </c>
      <c r="AK93" s="49"/>
    </row>
    <row r="94" spans="1:37" ht="15.75" thickBot="1" x14ac:dyDescent="0.3">
      <c r="A94" s="74" t="s">
        <v>102</v>
      </c>
      <c r="B94" s="60">
        <f t="shared" ref="B94:AF94" si="14">B78-B93</f>
        <v>447</v>
      </c>
      <c r="C94" s="60">
        <f t="shared" si="14"/>
        <v>450</v>
      </c>
      <c r="D94" s="60">
        <f t="shared" si="14"/>
        <v>420</v>
      </c>
      <c r="E94" s="60">
        <f t="shared" si="14"/>
        <v>382</v>
      </c>
      <c r="F94" s="60">
        <f t="shared" si="14"/>
        <v>351</v>
      </c>
      <c r="G94" s="60">
        <f t="shared" si="14"/>
        <v>384</v>
      </c>
      <c r="H94" s="60">
        <f t="shared" si="14"/>
        <v>390</v>
      </c>
      <c r="I94" s="60">
        <f t="shared" si="14"/>
        <v>456</v>
      </c>
      <c r="J94" s="60">
        <f t="shared" si="14"/>
        <v>466.7</v>
      </c>
      <c r="K94" s="60">
        <f t="shared" si="14"/>
        <v>467.2</v>
      </c>
      <c r="L94" s="60">
        <f t="shared" si="14"/>
        <v>482.3</v>
      </c>
      <c r="M94" s="60">
        <f t="shared" si="14"/>
        <v>457.6</v>
      </c>
      <c r="N94" s="60">
        <f t="shared" si="14"/>
        <v>455.2</v>
      </c>
      <c r="O94" s="60">
        <f t="shared" si="14"/>
        <v>441.8</v>
      </c>
      <c r="P94" s="60">
        <f t="shared" si="14"/>
        <v>493.5</v>
      </c>
      <c r="Q94" s="60">
        <f t="shared" si="14"/>
        <v>495</v>
      </c>
      <c r="R94" s="60">
        <f t="shared" si="14"/>
        <v>495</v>
      </c>
      <c r="S94" s="60">
        <f t="shared" si="14"/>
        <v>473</v>
      </c>
      <c r="T94" s="60">
        <f t="shared" si="14"/>
        <v>478.3</v>
      </c>
      <c r="U94" s="60">
        <f t="shared" si="14"/>
        <v>431</v>
      </c>
      <c r="V94" s="60">
        <f t="shared" si="14"/>
        <v>411.44</v>
      </c>
      <c r="W94" s="60">
        <f t="shared" si="14"/>
        <v>391</v>
      </c>
      <c r="X94" s="60">
        <f t="shared" si="14"/>
        <v>418</v>
      </c>
      <c r="Y94" s="60">
        <f t="shared" si="14"/>
        <v>396</v>
      </c>
      <c r="Z94" s="60">
        <f t="shared" si="14"/>
        <v>375</v>
      </c>
      <c r="AA94" s="60">
        <f t="shared" si="14"/>
        <v>392</v>
      </c>
      <c r="AB94" s="60">
        <f t="shared" si="14"/>
        <v>462</v>
      </c>
      <c r="AC94" s="60">
        <f t="shared" si="14"/>
        <v>393.3</v>
      </c>
      <c r="AD94" s="60">
        <f t="shared" si="14"/>
        <v>418</v>
      </c>
      <c r="AE94" s="60">
        <f t="shared" si="14"/>
        <v>388</v>
      </c>
      <c r="AF94" s="60">
        <f t="shared" si="14"/>
        <v>417</v>
      </c>
      <c r="AG94" s="88"/>
      <c r="AH94" s="47">
        <f t="shared" si="8"/>
        <v>495</v>
      </c>
      <c r="AI94" s="48">
        <f t="shared" si="9"/>
        <v>351</v>
      </c>
    </row>
    <row r="95" spans="1:37" x14ac:dyDescent="0.25">
      <c r="A95" s="100" t="s">
        <v>103</v>
      </c>
      <c r="B95" s="101">
        <v>49.865000000000002</v>
      </c>
      <c r="C95" s="101">
        <v>49.866999999999997</v>
      </c>
      <c r="D95" s="101">
        <v>49.866999999999997</v>
      </c>
      <c r="E95" s="101">
        <v>49.875999999999998</v>
      </c>
      <c r="F95" s="101">
        <v>49.930999999999997</v>
      </c>
      <c r="G95" s="101">
        <v>50.024000000000001</v>
      </c>
      <c r="H95" s="101">
        <v>50.033999999999999</v>
      </c>
      <c r="I95" s="101">
        <v>50.082999999999998</v>
      </c>
      <c r="J95" s="101">
        <v>50.161000000000001</v>
      </c>
      <c r="K95" s="101">
        <v>50.081000000000003</v>
      </c>
      <c r="L95" s="101">
        <v>50.085999999999999</v>
      </c>
      <c r="M95" s="101">
        <v>50.030999999999999</v>
      </c>
      <c r="N95" s="101">
        <v>49.881</v>
      </c>
      <c r="O95" s="101">
        <v>49.866999999999997</v>
      </c>
      <c r="P95" s="101">
        <v>49.887</v>
      </c>
      <c r="Q95" s="101">
        <v>49.857999999999997</v>
      </c>
      <c r="R95" s="101">
        <v>49.857999999999997</v>
      </c>
      <c r="S95" s="101">
        <v>49.857999999999997</v>
      </c>
      <c r="T95" s="101">
        <v>50.03</v>
      </c>
      <c r="U95" s="101">
        <v>49.987000000000002</v>
      </c>
      <c r="V95" s="101">
        <v>49.923000000000002</v>
      </c>
      <c r="W95" s="101">
        <v>50.04</v>
      </c>
      <c r="X95" s="101">
        <v>50.052999999999997</v>
      </c>
      <c r="Y95" s="101">
        <v>50.06</v>
      </c>
      <c r="Z95" s="101">
        <v>50.046999999999997</v>
      </c>
      <c r="AA95" s="101">
        <v>50.015000000000001</v>
      </c>
      <c r="AB95" s="101">
        <v>50.09</v>
      </c>
      <c r="AC95" s="101">
        <v>50.01</v>
      </c>
      <c r="AD95" s="101">
        <v>49.92</v>
      </c>
      <c r="AE95" s="101">
        <v>49.97</v>
      </c>
      <c r="AF95" s="101">
        <v>49.96</v>
      </c>
      <c r="AG95" s="102"/>
      <c r="AH95" s="47">
        <f t="shared" si="8"/>
        <v>50.161000000000001</v>
      </c>
      <c r="AI95" s="48">
        <f t="shared" si="9"/>
        <v>49.857999999999997</v>
      </c>
    </row>
    <row r="96" spans="1:37" x14ac:dyDescent="0.25">
      <c r="A96" s="103" t="s">
        <v>104</v>
      </c>
      <c r="B96" s="65">
        <v>128.1</v>
      </c>
      <c r="C96" s="65">
        <v>127.3</v>
      </c>
      <c r="D96" s="65">
        <v>127.3</v>
      </c>
      <c r="E96" s="65">
        <v>128.30000000000001</v>
      </c>
      <c r="F96" s="65">
        <v>125.9</v>
      </c>
      <c r="G96" s="65">
        <v>126.5</v>
      </c>
      <c r="H96" s="65">
        <v>126.3</v>
      </c>
      <c r="I96" s="65">
        <v>126.8</v>
      </c>
      <c r="J96" s="65">
        <v>125.6</v>
      </c>
      <c r="K96" s="65">
        <v>127.5</v>
      </c>
      <c r="L96" s="65">
        <v>126.9</v>
      </c>
      <c r="M96" s="65">
        <v>125.4</v>
      </c>
      <c r="N96" s="65">
        <v>127.8</v>
      </c>
      <c r="O96" s="65">
        <v>123.7</v>
      </c>
      <c r="P96" s="65">
        <v>124.1</v>
      </c>
      <c r="Q96" s="65">
        <v>124.4</v>
      </c>
      <c r="R96" s="65">
        <v>124.4</v>
      </c>
      <c r="S96" s="65">
        <v>124.4</v>
      </c>
      <c r="T96" s="65">
        <v>124.5</v>
      </c>
      <c r="U96" s="65">
        <v>124.5</v>
      </c>
      <c r="V96" s="65">
        <v>125.5</v>
      </c>
      <c r="W96" s="65">
        <v>127.5</v>
      </c>
      <c r="X96" s="65">
        <v>127.4</v>
      </c>
      <c r="Y96" s="65">
        <v>128</v>
      </c>
      <c r="Z96" s="65">
        <v>128.6</v>
      </c>
      <c r="AA96" s="65">
        <v>128.5</v>
      </c>
      <c r="AB96" s="65">
        <v>130.30000000000001</v>
      </c>
      <c r="AC96" s="65">
        <v>129.9</v>
      </c>
      <c r="AD96" s="65">
        <v>130.9</v>
      </c>
      <c r="AE96" s="65">
        <v>128.19999999999999</v>
      </c>
      <c r="AF96" s="65">
        <v>126.5</v>
      </c>
      <c r="AG96" s="104"/>
      <c r="AH96" s="47">
        <f t="shared" si="8"/>
        <v>130.9</v>
      </c>
      <c r="AI96" s="48">
        <f t="shared" si="9"/>
        <v>123.7</v>
      </c>
    </row>
    <row r="97" spans="1:35" x14ac:dyDescent="0.25">
      <c r="A97" s="103" t="s">
        <v>105</v>
      </c>
      <c r="B97" s="65">
        <v>131.80000000000001</v>
      </c>
      <c r="C97" s="65">
        <v>131.80000000000001</v>
      </c>
      <c r="D97" s="65">
        <v>131.80000000000001</v>
      </c>
      <c r="E97" s="65">
        <v>132.69999999999999</v>
      </c>
      <c r="F97" s="65">
        <v>130.4</v>
      </c>
      <c r="G97" s="65">
        <v>130.4</v>
      </c>
      <c r="H97" s="65">
        <v>130.4</v>
      </c>
      <c r="I97" s="65">
        <v>130.5</v>
      </c>
      <c r="J97" s="65">
        <v>128.9</v>
      </c>
      <c r="K97" s="65">
        <v>129.69999999999999</v>
      </c>
      <c r="L97" s="65">
        <v>129.1</v>
      </c>
      <c r="M97" s="65">
        <v>128.19999999999999</v>
      </c>
      <c r="N97" s="65">
        <v>127.8</v>
      </c>
      <c r="O97" s="65">
        <v>127.4</v>
      </c>
      <c r="P97" s="65">
        <v>127.8</v>
      </c>
      <c r="Q97" s="65">
        <v>128.30000000000001</v>
      </c>
      <c r="R97" s="65">
        <v>128.30000000000001</v>
      </c>
      <c r="S97" s="65">
        <v>128.30000000000001</v>
      </c>
      <c r="T97" s="65">
        <v>127.8</v>
      </c>
      <c r="U97" s="65">
        <v>127.3</v>
      </c>
      <c r="V97" s="65">
        <v>128.19999999999999</v>
      </c>
      <c r="W97" s="65">
        <v>129.4</v>
      </c>
      <c r="X97" s="65">
        <v>129.1</v>
      </c>
      <c r="Y97" s="65">
        <v>129.5</v>
      </c>
      <c r="Z97" s="65">
        <v>130.19999999999999</v>
      </c>
      <c r="AA97" s="65">
        <v>130.4</v>
      </c>
      <c r="AB97" s="65">
        <v>132.4</v>
      </c>
      <c r="AC97" s="65">
        <v>132.4</v>
      </c>
      <c r="AD97" s="65">
        <v>133</v>
      </c>
      <c r="AE97" s="65">
        <v>131.6</v>
      </c>
      <c r="AF97" s="65">
        <v>131.1</v>
      </c>
      <c r="AG97" s="104"/>
      <c r="AH97" s="47">
        <f t="shared" si="8"/>
        <v>133</v>
      </c>
      <c r="AI97" s="48">
        <f t="shared" si="9"/>
        <v>127.3</v>
      </c>
    </row>
    <row r="98" spans="1:35" x14ac:dyDescent="0.25">
      <c r="A98" s="103" t="s">
        <v>106</v>
      </c>
      <c r="B98" s="65">
        <v>130.69999999999999</v>
      </c>
      <c r="C98" s="65">
        <v>130.69999999999999</v>
      </c>
      <c r="D98" s="65">
        <v>130.69999999999999</v>
      </c>
      <c r="E98" s="65">
        <v>130.5</v>
      </c>
      <c r="F98" s="65">
        <v>131.80000000000001</v>
      </c>
      <c r="G98" s="65">
        <v>133.30000000000001</v>
      </c>
      <c r="H98" s="65">
        <v>128.69999999999999</v>
      </c>
      <c r="I98" s="65">
        <v>131.9</v>
      </c>
      <c r="J98" s="65">
        <v>129.9</v>
      </c>
      <c r="K98" s="65">
        <v>129.6</v>
      </c>
      <c r="L98" s="65">
        <v>128.80000000000001</v>
      </c>
      <c r="M98" s="65">
        <v>125.1</v>
      </c>
      <c r="N98" s="65">
        <v>129.4</v>
      </c>
      <c r="O98" s="65">
        <v>129.9</v>
      </c>
      <c r="P98" s="65">
        <v>126.9</v>
      </c>
      <c r="Q98" s="65">
        <v>130.5</v>
      </c>
      <c r="R98" s="65">
        <v>130.5</v>
      </c>
      <c r="S98" s="65">
        <v>130.5</v>
      </c>
      <c r="T98" s="65">
        <v>129.1</v>
      </c>
      <c r="U98" s="65">
        <v>129.30000000000001</v>
      </c>
      <c r="V98" s="65">
        <v>132</v>
      </c>
      <c r="W98" s="65">
        <v>129.6</v>
      </c>
      <c r="X98" s="65">
        <v>128.80000000000001</v>
      </c>
      <c r="Y98" s="65">
        <v>128.30000000000001</v>
      </c>
      <c r="Z98" s="65">
        <v>128.80000000000001</v>
      </c>
      <c r="AA98" s="65">
        <v>129</v>
      </c>
      <c r="AB98" s="65">
        <v>129.4</v>
      </c>
      <c r="AC98" s="65">
        <v>129.4</v>
      </c>
      <c r="AD98" s="65">
        <v>128.9</v>
      </c>
      <c r="AE98" s="65">
        <v>130</v>
      </c>
      <c r="AF98" s="65">
        <v>126.7</v>
      </c>
      <c r="AG98" s="104"/>
      <c r="AH98" s="47">
        <f t="shared" si="8"/>
        <v>133.30000000000001</v>
      </c>
      <c r="AI98" s="48">
        <f t="shared" si="9"/>
        <v>125.1</v>
      </c>
    </row>
    <row r="99" spans="1:35" x14ac:dyDescent="0.25">
      <c r="A99" s="105" t="s">
        <v>107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104"/>
      <c r="AH99" s="47">
        <f t="shared" si="8"/>
        <v>0</v>
      </c>
      <c r="AI99" s="48">
        <f t="shared" si="9"/>
        <v>0</v>
      </c>
    </row>
    <row r="100" spans="1:35" x14ac:dyDescent="0.25">
      <c r="A100" s="105" t="s">
        <v>108</v>
      </c>
      <c r="B100" s="106">
        <v>132.5</v>
      </c>
      <c r="C100" s="106">
        <v>133.5</v>
      </c>
      <c r="D100" s="106">
        <v>133.5</v>
      </c>
      <c r="E100" s="106">
        <v>133.80000000000001</v>
      </c>
      <c r="F100" s="106">
        <v>129</v>
      </c>
      <c r="G100" s="106">
        <v>130</v>
      </c>
      <c r="H100" s="106">
        <v>131.65</v>
      </c>
      <c r="I100" s="106">
        <v>133.6</v>
      </c>
      <c r="J100" s="106">
        <v>133.1</v>
      </c>
      <c r="K100" s="106">
        <v>133.69999999999999</v>
      </c>
      <c r="L100" s="106">
        <v>134.6</v>
      </c>
      <c r="M100" s="106">
        <v>133.6</v>
      </c>
      <c r="N100" s="106">
        <v>135</v>
      </c>
      <c r="O100" s="106">
        <v>135.5</v>
      </c>
      <c r="P100" s="106">
        <v>123.8</v>
      </c>
      <c r="Q100" s="106">
        <v>134.19999999999999</v>
      </c>
      <c r="R100" s="106">
        <v>134.19999999999999</v>
      </c>
      <c r="S100" s="106">
        <v>134.19999999999999</v>
      </c>
      <c r="T100" s="106">
        <v>132</v>
      </c>
      <c r="U100" s="106">
        <v>130</v>
      </c>
      <c r="V100" s="106">
        <v>131</v>
      </c>
      <c r="W100" s="106">
        <v>134.19999999999999</v>
      </c>
      <c r="X100" s="106">
        <v>132.30000000000001</v>
      </c>
      <c r="Y100" s="106">
        <v>132.6</v>
      </c>
      <c r="Z100" s="106">
        <v>134.30000000000001</v>
      </c>
      <c r="AA100" s="106">
        <v>135.4</v>
      </c>
      <c r="AB100" s="106">
        <v>136.19999999999999</v>
      </c>
      <c r="AC100" s="106">
        <v>133.80000000000001</v>
      </c>
      <c r="AD100" s="106">
        <v>135.19999999999999</v>
      </c>
      <c r="AE100" s="106">
        <v>134.19999999999999</v>
      </c>
      <c r="AF100" s="106">
        <v>131.4</v>
      </c>
      <c r="AG100" s="107"/>
      <c r="AH100" s="47">
        <f t="shared" si="8"/>
        <v>136.19999999999999</v>
      </c>
      <c r="AI100" s="48">
        <f t="shared" si="9"/>
        <v>123.8</v>
      </c>
    </row>
    <row r="101" spans="1:35" x14ac:dyDescent="0.25">
      <c r="A101" s="103" t="s">
        <v>109</v>
      </c>
      <c r="B101" s="65">
        <v>137</v>
      </c>
      <c r="C101" s="65">
        <v>137.19999999999999</v>
      </c>
      <c r="D101" s="65">
        <v>137.19999999999999</v>
      </c>
      <c r="E101" s="65">
        <v>133.80000000000001</v>
      </c>
      <c r="F101" s="65">
        <v>136</v>
      </c>
      <c r="G101" s="65">
        <v>136</v>
      </c>
      <c r="H101" s="65">
        <v>134</v>
      </c>
      <c r="I101" s="65">
        <v>133.69999999999999</v>
      </c>
      <c r="J101" s="65">
        <v>128.9</v>
      </c>
      <c r="K101" s="65">
        <v>127.9</v>
      </c>
      <c r="L101" s="65">
        <v>13039</v>
      </c>
      <c r="M101" s="65">
        <v>128.80000000000001</v>
      </c>
      <c r="N101" s="65">
        <v>127</v>
      </c>
      <c r="O101" s="65">
        <v>126.2</v>
      </c>
      <c r="P101" s="65">
        <v>123.8</v>
      </c>
      <c r="Q101" s="65">
        <v>125.7</v>
      </c>
      <c r="R101" s="65">
        <v>125.7</v>
      </c>
      <c r="S101" s="65">
        <v>125.7</v>
      </c>
      <c r="T101" s="65">
        <v>127.1</v>
      </c>
      <c r="U101" s="65">
        <v>127</v>
      </c>
      <c r="V101" s="65">
        <v>125</v>
      </c>
      <c r="W101" s="65">
        <v>130.69999999999999</v>
      </c>
      <c r="X101" s="65">
        <v>133.30000000000001</v>
      </c>
      <c r="Y101" s="65"/>
      <c r="Z101" s="65">
        <v>131.4</v>
      </c>
      <c r="AA101" s="65"/>
      <c r="AB101" s="65"/>
      <c r="AC101" s="65"/>
      <c r="AD101" s="65">
        <v>5.2</v>
      </c>
      <c r="AE101" s="65"/>
      <c r="AF101" s="65"/>
      <c r="AG101" s="104"/>
      <c r="AH101" s="47">
        <f t="shared" si="8"/>
        <v>13039</v>
      </c>
      <c r="AI101" s="48">
        <f t="shared" si="9"/>
        <v>5.2</v>
      </c>
    </row>
    <row r="102" spans="1:35" ht="15.75" thickBot="1" x14ac:dyDescent="0.3">
      <c r="A102" s="103" t="s">
        <v>110</v>
      </c>
      <c r="B102" s="92">
        <v>66.400000000000006</v>
      </c>
      <c r="C102" s="92">
        <v>66.3</v>
      </c>
      <c r="D102" s="92">
        <v>66.3</v>
      </c>
      <c r="E102" s="92">
        <v>66.8</v>
      </c>
      <c r="F102" s="92">
        <v>65.5</v>
      </c>
      <c r="G102" s="92">
        <v>65.599999999999994</v>
      </c>
      <c r="H102" s="92">
        <v>65.599999999999994</v>
      </c>
      <c r="I102" s="92">
        <v>65.5</v>
      </c>
      <c r="J102" s="92">
        <v>64.3</v>
      </c>
      <c r="K102" s="92">
        <v>64.7</v>
      </c>
      <c r="L102" s="92">
        <v>64.5</v>
      </c>
      <c r="M102" s="92">
        <v>64</v>
      </c>
      <c r="N102" s="92">
        <v>64.900000000000006</v>
      </c>
      <c r="O102" s="92">
        <v>63.7</v>
      </c>
      <c r="P102" s="92">
        <v>64.099999999999994</v>
      </c>
      <c r="Q102" s="92">
        <v>64.2</v>
      </c>
      <c r="R102" s="92">
        <v>64.2</v>
      </c>
      <c r="S102" s="92">
        <v>64.2</v>
      </c>
      <c r="T102" s="92">
        <v>64</v>
      </c>
      <c r="U102" s="92">
        <v>64</v>
      </c>
      <c r="V102" s="92">
        <v>64.3</v>
      </c>
      <c r="W102" s="92">
        <v>64.599999999999994</v>
      </c>
      <c r="X102" s="92">
        <v>64.5</v>
      </c>
      <c r="Y102" s="92">
        <v>64.900000000000006</v>
      </c>
      <c r="Z102" s="92">
        <v>65.3</v>
      </c>
      <c r="AA102" s="92">
        <v>65.400000000000006</v>
      </c>
      <c r="AB102" s="92">
        <v>66.3</v>
      </c>
      <c r="AC102" s="92">
        <v>66.5</v>
      </c>
      <c r="AD102" s="92">
        <v>66.5</v>
      </c>
      <c r="AE102" s="92">
        <v>66.2</v>
      </c>
      <c r="AF102" s="92">
        <v>65.8</v>
      </c>
      <c r="AG102" s="108"/>
      <c r="AH102" s="47">
        <f t="shared" si="8"/>
        <v>66.8</v>
      </c>
      <c r="AI102" s="48">
        <f t="shared" si="9"/>
        <v>63.7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8"/>
        <v>0</v>
      </c>
      <c r="AI103" s="48">
        <f t="shared" si="9"/>
        <v>0</v>
      </c>
    </row>
    <row r="104" spans="1:35" ht="15.75" thickBot="1" x14ac:dyDescent="0.3">
      <c r="A104" s="110" t="s">
        <v>112</v>
      </c>
      <c r="B104" s="111">
        <f t="shared" ref="B104:AF104" si="15">SUM(B16,B22,B25:B26,B52,B54:B55,B57,B59,B105:B109,B131,B137,B143,B152,B154,B166,B173,B176:B177,B184,B186,B188,B192:B194,B196:B198,B203,B209:B210,B212:B214,B222,B227)</f>
        <v>123.5</v>
      </c>
      <c r="C104" s="111">
        <f t="shared" si="15"/>
        <v>124.74</v>
      </c>
      <c r="D104" s="111">
        <f t="shared" si="15"/>
        <v>124.74</v>
      </c>
      <c r="E104" s="111">
        <f t="shared" si="15"/>
        <v>115.13999999999999</v>
      </c>
      <c r="F104" s="111">
        <f t="shared" si="15"/>
        <v>129.74</v>
      </c>
      <c r="G104" s="111">
        <f t="shared" si="15"/>
        <v>152.74</v>
      </c>
      <c r="H104" s="111">
        <f t="shared" si="15"/>
        <v>182.74</v>
      </c>
      <c r="I104" s="111">
        <f t="shared" si="15"/>
        <v>228.24</v>
      </c>
      <c r="J104" s="111">
        <f t="shared" si="15"/>
        <v>270.83999999999997</v>
      </c>
      <c r="K104" s="111">
        <f t="shared" si="15"/>
        <v>328.14</v>
      </c>
      <c r="L104" s="111">
        <f t="shared" si="15"/>
        <v>377.24</v>
      </c>
      <c r="M104" s="111">
        <f t="shared" si="15"/>
        <v>383.73999999999995</v>
      </c>
      <c r="N104" s="111">
        <f t="shared" si="15"/>
        <v>349.84</v>
      </c>
      <c r="O104" s="111">
        <f t="shared" si="15"/>
        <v>333.84</v>
      </c>
      <c r="P104" s="111">
        <v>42</v>
      </c>
      <c r="Q104" s="111">
        <f t="shared" si="15"/>
        <v>282</v>
      </c>
      <c r="R104" s="111">
        <f t="shared" si="15"/>
        <v>282</v>
      </c>
      <c r="S104" s="111">
        <f t="shared" si="15"/>
        <v>287.2</v>
      </c>
      <c r="T104" s="111">
        <f t="shared" si="15"/>
        <v>284.2</v>
      </c>
      <c r="U104" s="111">
        <f t="shared" si="15"/>
        <v>302.89999999999998</v>
      </c>
      <c r="V104" s="111">
        <f t="shared" si="15"/>
        <v>304.89999999999998</v>
      </c>
      <c r="W104" s="111">
        <f t="shared" si="15"/>
        <v>344.09999999999997</v>
      </c>
      <c r="X104" s="111">
        <f t="shared" si="15"/>
        <v>381.5</v>
      </c>
      <c r="Y104" s="111">
        <f t="shared" si="15"/>
        <v>420.59999999999997</v>
      </c>
      <c r="Z104" s="111">
        <f t="shared" si="15"/>
        <v>411.2</v>
      </c>
      <c r="AA104" s="111">
        <f t="shared" si="15"/>
        <v>400.3</v>
      </c>
      <c r="AB104" s="111">
        <f t="shared" si="15"/>
        <v>350.20000000000005</v>
      </c>
      <c r="AC104" s="111">
        <f t="shared" si="15"/>
        <v>338.9</v>
      </c>
      <c r="AD104" s="111">
        <f t="shared" si="15"/>
        <v>321.40000000000003</v>
      </c>
      <c r="AE104" s="111">
        <f t="shared" si="15"/>
        <v>239.20000000000002</v>
      </c>
      <c r="AF104" s="111">
        <f t="shared" si="15"/>
        <v>171.5</v>
      </c>
      <c r="AG104" s="112"/>
      <c r="AH104" s="47">
        <f t="shared" si="8"/>
        <v>420.59999999999997</v>
      </c>
      <c r="AI104" s="48">
        <f t="shared" si="9"/>
        <v>42</v>
      </c>
    </row>
    <row r="105" spans="1:35" x14ac:dyDescent="0.25">
      <c r="A105" s="100" t="s">
        <v>113</v>
      </c>
      <c r="B105" s="113">
        <v>-22.6</v>
      </c>
      <c r="C105" s="113">
        <v>-18.3</v>
      </c>
      <c r="D105" s="113">
        <v>-18.3</v>
      </c>
      <c r="E105" s="113">
        <v>-19.100000000000001</v>
      </c>
      <c r="F105" s="113">
        <v>-27.9</v>
      </c>
      <c r="G105" s="113">
        <v>-20.2</v>
      </c>
      <c r="H105" s="113">
        <v>-9.4</v>
      </c>
      <c r="I105" s="113">
        <f>---3</f>
        <v>-3</v>
      </c>
      <c r="J105" s="113">
        <v>13.4</v>
      </c>
      <c r="K105" s="113">
        <v>21.8</v>
      </c>
      <c r="L105" s="113">
        <v>31.9</v>
      </c>
      <c r="M105" s="113">
        <v>31</v>
      </c>
      <c r="N105" s="113">
        <v>29.2</v>
      </c>
      <c r="O105" s="113">
        <v>36.1</v>
      </c>
      <c r="P105" s="113">
        <v>39.6</v>
      </c>
      <c r="Q105" s="113">
        <v>32.299999999999997</v>
      </c>
      <c r="R105" s="113">
        <v>32.299999999999997</v>
      </c>
      <c r="S105" s="113">
        <v>32.299999999999997</v>
      </c>
      <c r="T105" s="113">
        <v>19</v>
      </c>
      <c r="U105" s="113">
        <v>15</v>
      </c>
      <c r="V105" s="113">
        <v>21</v>
      </c>
      <c r="W105" s="113">
        <v>27.4</v>
      </c>
      <c r="X105" s="113">
        <v>27.6</v>
      </c>
      <c r="Y105" s="113">
        <v>27</v>
      </c>
      <c r="Z105" s="113">
        <v>22.6</v>
      </c>
      <c r="AA105" s="113">
        <v>24.6</v>
      </c>
      <c r="AB105" s="113">
        <v>19.2</v>
      </c>
      <c r="AC105" s="113">
        <v>13</v>
      </c>
      <c r="AD105" s="113">
        <v>17.899999999999999</v>
      </c>
      <c r="AE105" s="113">
        <v>5.4</v>
      </c>
      <c r="AF105" s="113">
        <v>-9.3000000000000007</v>
      </c>
      <c r="AG105" s="114">
        <v>75</v>
      </c>
      <c r="AH105" s="47">
        <f t="shared" si="8"/>
        <v>39.6</v>
      </c>
      <c r="AI105" s="48">
        <f t="shared" si="9"/>
        <v>-27.9</v>
      </c>
    </row>
    <row r="106" spans="1:35" x14ac:dyDescent="0.25">
      <c r="A106" s="103" t="s">
        <v>114</v>
      </c>
      <c r="B106" s="115">
        <v>-25.4</v>
      </c>
      <c r="C106" s="115">
        <v>-18.600000000000001</v>
      </c>
      <c r="D106" s="115">
        <v>-18.600000000000001</v>
      </c>
      <c r="E106" s="115">
        <v>-20.8</v>
      </c>
      <c r="F106" s="115">
        <v>-31.1</v>
      </c>
      <c r="G106" s="115">
        <v>-21.8</v>
      </c>
      <c r="H106" s="115">
        <v>-8.1</v>
      </c>
      <c r="I106" s="115">
        <f>--1.1</f>
        <v>1.1000000000000001</v>
      </c>
      <c r="J106" s="115">
        <v>22.3</v>
      </c>
      <c r="K106" s="115">
        <v>27.3</v>
      </c>
      <c r="L106" s="115">
        <v>39.799999999999997</v>
      </c>
      <c r="M106" s="115">
        <v>37.700000000000003</v>
      </c>
      <c r="N106" s="115">
        <v>35.299999999999997</v>
      </c>
      <c r="O106" s="115">
        <v>52.8</v>
      </c>
      <c r="P106" s="115">
        <v>60.7</v>
      </c>
      <c r="Q106" s="115">
        <v>47.9</v>
      </c>
      <c r="R106" s="115">
        <v>47.9</v>
      </c>
      <c r="S106" s="115">
        <v>47.9</v>
      </c>
      <c r="T106" s="115">
        <v>31.8</v>
      </c>
      <c r="U106" s="115">
        <v>26</v>
      </c>
      <c r="V106" s="115">
        <v>32</v>
      </c>
      <c r="W106" s="115">
        <v>34.799999999999997</v>
      </c>
      <c r="X106" s="115">
        <v>31.8</v>
      </c>
      <c r="Y106" s="115">
        <v>31.5</v>
      </c>
      <c r="Z106" s="115">
        <v>24.4</v>
      </c>
      <c r="AA106" s="115">
        <v>25.4</v>
      </c>
      <c r="AB106" s="115">
        <v>18.899999999999999</v>
      </c>
      <c r="AC106" s="115">
        <v>10.9</v>
      </c>
      <c r="AD106" s="115">
        <v>18.8</v>
      </c>
      <c r="AE106" s="115">
        <v>6.3</v>
      </c>
      <c r="AF106" s="115">
        <v>-12.5</v>
      </c>
      <c r="AG106" s="114">
        <v>240</v>
      </c>
      <c r="AH106" s="47">
        <f t="shared" si="8"/>
        <v>60.7</v>
      </c>
      <c r="AI106" s="48">
        <f t="shared" si="9"/>
        <v>-31.1</v>
      </c>
    </row>
    <row r="107" spans="1:35" x14ac:dyDescent="0.25">
      <c r="A107" s="103" t="s">
        <v>115</v>
      </c>
      <c r="B107" s="115">
        <v>-28</v>
      </c>
      <c r="C107" s="115">
        <v>-38</v>
      </c>
      <c r="D107" s="115">
        <v>-38</v>
      </c>
      <c r="E107" s="115">
        <v>-37</v>
      </c>
      <c r="F107" s="115">
        <v>-32</v>
      </c>
      <c r="G107" s="115">
        <v>-27.2</v>
      </c>
      <c r="H107" s="115">
        <v>-24.8</v>
      </c>
      <c r="I107" s="115">
        <v>-8.4</v>
      </c>
      <c r="J107" s="115">
        <v>0</v>
      </c>
      <c r="K107" s="115">
        <v>26.5</v>
      </c>
      <c r="L107" s="115">
        <v>53.6</v>
      </c>
      <c r="M107" s="115">
        <v>62</v>
      </c>
      <c r="N107" s="115">
        <v>39.200000000000003</v>
      </c>
      <c r="O107" s="115">
        <v>5</v>
      </c>
      <c r="P107" s="115">
        <v>-10.8</v>
      </c>
      <c r="Q107" s="115">
        <f>-0.5-1.4</f>
        <v>-1.9</v>
      </c>
      <c r="R107" s="115">
        <f>-0.5-1.4</f>
        <v>-1.9</v>
      </c>
      <c r="S107" s="115">
        <f>-0.5-1.4</f>
        <v>-1.9</v>
      </c>
      <c r="T107" s="115">
        <v>-5.5</v>
      </c>
      <c r="U107" s="115">
        <v>11</v>
      </c>
      <c r="V107" s="115">
        <v>15</v>
      </c>
      <c r="W107" s="115">
        <v>33</v>
      </c>
      <c r="X107" s="115">
        <v>85</v>
      </c>
      <c r="Y107" s="115">
        <v>88</v>
      </c>
      <c r="Z107" s="115">
        <v>93</v>
      </c>
      <c r="AA107" s="115">
        <v>90</v>
      </c>
      <c r="AB107" s="115">
        <f>22.1+40.1</f>
        <v>62.2</v>
      </c>
      <c r="AC107" s="115">
        <f>24.3+31</f>
        <v>55.3</v>
      </c>
      <c r="AD107" s="115">
        <f>16.3+22.1</f>
        <v>38.400000000000006</v>
      </c>
      <c r="AE107" s="115">
        <f>-11.6-5.7</f>
        <v>-17.3</v>
      </c>
      <c r="AF107" s="115">
        <f>-12.4-13.1</f>
        <v>-25.5</v>
      </c>
      <c r="AG107" s="114">
        <v>240</v>
      </c>
      <c r="AH107" s="47">
        <f t="shared" si="8"/>
        <v>93</v>
      </c>
      <c r="AI107" s="48">
        <f t="shared" si="9"/>
        <v>-38</v>
      </c>
    </row>
    <row r="108" spans="1:35" x14ac:dyDescent="0.25">
      <c r="A108" s="103" t="s">
        <v>116</v>
      </c>
      <c r="B108" s="115">
        <v>-1.8</v>
      </c>
      <c r="C108" s="115">
        <v>-0.2</v>
      </c>
      <c r="D108" s="115">
        <v>-0.2</v>
      </c>
      <c r="E108" s="115">
        <v>-1.5</v>
      </c>
      <c r="F108" s="115">
        <v>-2</v>
      </c>
      <c r="G108" s="115">
        <v>0.3</v>
      </c>
      <c r="H108" s="115">
        <v>1.4</v>
      </c>
      <c r="I108" s="115">
        <v>8.9</v>
      </c>
      <c r="J108" s="115">
        <v>14.5</v>
      </c>
      <c r="K108" s="115">
        <v>21.2</v>
      </c>
      <c r="L108" s="115">
        <v>28.2</v>
      </c>
      <c r="M108" s="115">
        <v>27.4</v>
      </c>
      <c r="N108" s="115">
        <v>19</v>
      </c>
      <c r="O108" s="115">
        <v>11.2</v>
      </c>
      <c r="P108" s="115">
        <v>11.7</v>
      </c>
      <c r="Q108" s="115">
        <v>6.5</v>
      </c>
      <c r="R108" s="115">
        <v>6.5</v>
      </c>
      <c r="S108" s="115">
        <v>6.5</v>
      </c>
      <c r="T108" s="115">
        <v>9</v>
      </c>
      <c r="U108" s="115">
        <v>13</v>
      </c>
      <c r="V108" s="115">
        <v>14</v>
      </c>
      <c r="W108" s="115">
        <v>21</v>
      </c>
      <c r="X108" s="115">
        <v>38</v>
      </c>
      <c r="Y108" s="115">
        <v>57.2</v>
      </c>
      <c r="Z108" s="115">
        <v>57.3</v>
      </c>
      <c r="AA108" s="115">
        <v>49</v>
      </c>
      <c r="AB108" s="115">
        <v>34.299999999999997</v>
      </c>
      <c r="AC108" s="115">
        <v>27.7</v>
      </c>
      <c r="AD108" s="115">
        <v>28.3</v>
      </c>
      <c r="AE108" s="115">
        <v>20.8</v>
      </c>
      <c r="AF108" s="115">
        <v>-4.2</v>
      </c>
      <c r="AG108" s="114">
        <v>60</v>
      </c>
      <c r="AH108" s="47">
        <f t="shared" si="8"/>
        <v>57.3</v>
      </c>
      <c r="AI108" s="48">
        <f t="shared" si="9"/>
        <v>-4.2</v>
      </c>
    </row>
    <row r="109" spans="1:35" x14ac:dyDescent="0.25">
      <c r="A109" s="116" t="s">
        <v>117</v>
      </c>
      <c r="B109" s="117">
        <v>91</v>
      </c>
      <c r="C109" s="117">
        <v>88.6</v>
      </c>
      <c r="D109" s="117">
        <v>88.6</v>
      </c>
      <c r="E109" s="117">
        <v>82.3</v>
      </c>
      <c r="F109" s="117">
        <v>105</v>
      </c>
      <c r="G109" s="117">
        <v>102</v>
      </c>
      <c r="H109" s="117">
        <v>104</v>
      </c>
      <c r="I109" s="117">
        <v>113</v>
      </c>
      <c r="J109" s="117">
        <v>106</v>
      </c>
      <c r="K109" s="117">
        <v>117.7</v>
      </c>
      <c r="L109" s="117">
        <v>109.2</v>
      </c>
      <c r="M109" s="117">
        <v>111.1</v>
      </c>
      <c r="N109" s="117">
        <v>109.3</v>
      </c>
      <c r="O109" s="117">
        <v>111.1</v>
      </c>
      <c r="P109" s="117">
        <v>102</v>
      </c>
      <c r="Q109" s="117">
        <v>81.5</v>
      </c>
      <c r="R109" s="117">
        <v>81.5</v>
      </c>
      <c r="S109" s="117">
        <v>81.5</v>
      </c>
      <c r="T109" s="117">
        <v>109</v>
      </c>
      <c r="U109" s="117">
        <v>117</v>
      </c>
      <c r="V109" s="117">
        <v>110</v>
      </c>
      <c r="W109" s="117">
        <v>115</v>
      </c>
      <c r="X109" s="117">
        <v>86.2</v>
      </c>
      <c r="Y109" s="117">
        <v>104</v>
      </c>
      <c r="Z109" s="117">
        <v>101</v>
      </c>
      <c r="AA109" s="117">
        <v>96.3</v>
      </c>
      <c r="AB109" s="117">
        <v>100.6</v>
      </c>
      <c r="AC109" s="117">
        <v>117</v>
      </c>
      <c r="AD109" s="117">
        <v>103</v>
      </c>
      <c r="AE109" s="117">
        <v>109</v>
      </c>
      <c r="AF109" s="117">
        <v>104</v>
      </c>
      <c r="AG109" s="118">
        <v>120</v>
      </c>
      <c r="AH109" s="47">
        <f t="shared" si="8"/>
        <v>117.7</v>
      </c>
      <c r="AI109" s="48">
        <f t="shared" si="9"/>
        <v>81.5</v>
      </c>
    </row>
    <row r="110" spans="1:35" x14ac:dyDescent="0.25">
      <c r="A110" s="116" t="s">
        <v>118</v>
      </c>
      <c r="B110" s="117">
        <v>97.9</v>
      </c>
      <c r="C110" s="117">
        <v>95</v>
      </c>
      <c r="D110" s="117">
        <v>95</v>
      </c>
      <c r="E110" s="117">
        <v>88.2</v>
      </c>
      <c r="F110" s="117">
        <v>104</v>
      </c>
      <c r="G110" s="117">
        <v>98</v>
      </c>
      <c r="H110" s="117">
        <v>97</v>
      </c>
      <c r="I110" s="117">
        <v>103</v>
      </c>
      <c r="J110" s="117">
        <v>99.9</v>
      </c>
      <c r="K110" s="117">
        <v>95</v>
      </c>
      <c r="L110" s="117">
        <v>96</v>
      </c>
      <c r="M110" s="117">
        <v>106</v>
      </c>
      <c r="N110" s="117">
        <v>92</v>
      </c>
      <c r="O110" s="117">
        <v>105.3</v>
      </c>
      <c r="P110" s="117">
        <v>85</v>
      </c>
      <c r="Q110" s="117">
        <v>105</v>
      </c>
      <c r="R110" s="117">
        <v>105</v>
      </c>
      <c r="S110" s="117">
        <v>105</v>
      </c>
      <c r="T110" s="117">
        <v>102</v>
      </c>
      <c r="U110" s="117">
        <v>107</v>
      </c>
      <c r="V110" s="117">
        <v>95</v>
      </c>
      <c r="W110" s="117">
        <v>88</v>
      </c>
      <c r="X110" s="117">
        <v>99</v>
      </c>
      <c r="Y110" s="117">
        <v>90</v>
      </c>
      <c r="Z110" s="117">
        <v>91.2</v>
      </c>
      <c r="AA110" s="117">
        <v>93</v>
      </c>
      <c r="AB110" s="117">
        <v>91.6</v>
      </c>
      <c r="AC110" s="117">
        <v>90.9</v>
      </c>
      <c r="AD110" s="117">
        <v>89</v>
      </c>
      <c r="AE110" s="117">
        <v>98</v>
      </c>
      <c r="AF110" s="117">
        <v>101</v>
      </c>
      <c r="AG110" s="118"/>
      <c r="AH110" s="47">
        <f t="shared" si="8"/>
        <v>107</v>
      </c>
      <c r="AI110" s="48">
        <f t="shared" si="9"/>
        <v>85</v>
      </c>
    </row>
    <row r="111" spans="1:35" x14ac:dyDescent="0.25">
      <c r="A111" s="116" t="s">
        <v>119</v>
      </c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  <c r="AB111" s="117"/>
      <c r="AC111" s="117"/>
      <c r="AD111" s="117"/>
      <c r="AE111" s="117"/>
      <c r="AF111" s="117"/>
      <c r="AG111" s="119"/>
      <c r="AH111" s="47">
        <f t="shared" si="8"/>
        <v>0</v>
      </c>
      <c r="AI111" s="48">
        <f t="shared" si="9"/>
        <v>0</v>
      </c>
    </row>
    <row r="112" spans="1:35" x14ac:dyDescent="0.25">
      <c r="A112" s="120" t="s">
        <v>120</v>
      </c>
      <c r="B112" s="106">
        <v>33.6</v>
      </c>
      <c r="C112" s="106">
        <v>35.200000000000003</v>
      </c>
      <c r="D112" s="106">
        <v>35.200000000000003</v>
      </c>
      <c r="E112" s="106">
        <v>36.9</v>
      </c>
      <c r="F112" s="106">
        <v>33.799999999999997</v>
      </c>
      <c r="G112" s="106">
        <v>29.2</v>
      </c>
      <c r="H112" s="106">
        <v>20.6</v>
      </c>
      <c r="I112" s="106">
        <v>8.9</v>
      </c>
      <c r="J112" s="106">
        <v>-10.6</v>
      </c>
      <c r="K112" s="106">
        <v>-6.2</v>
      </c>
      <c r="L112" s="106">
        <v>-25</v>
      </c>
      <c r="M112" s="106">
        <v>-24.6</v>
      </c>
      <c r="N112" s="106">
        <v>-13.8</v>
      </c>
      <c r="O112" s="106">
        <v>-6</v>
      </c>
      <c r="P112" s="106">
        <v>-2.2999999999999998</v>
      </c>
      <c r="Q112" s="106">
        <v>8.1</v>
      </c>
      <c r="R112" s="106">
        <v>8.1</v>
      </c>
      <c r="S112" s="106">
        <v>8.1</v>
      </c>
      <c r="T112" s="106">
        <v>0</v>
      </c>
      <c r="U112" s="106">
        <v>2.2000000000000002</v>
      </c>
      <c r="V112" s="106">
        <v>40</v>
      </c>
      <c r="W112" s="106">
        <v>0</v>
      </c>
      <c r="X112" s="106">
        <v>-48</v>
      </c>
      <c r="Y112" s="106">
        <v>-42</v>
      </c>
      <c r="Z112" s="106">
        <v>-43</v>
      </c>
      <c r="AA112" s="106">
        <v>-33</v>
      </c>
      <c r="AB112" s="106">
        <v>-13.6</v>
      </c>
      <c r="AC112" s="106">
        <v>-8.31</v>
      </c>
      <c r="AD112" s="106">
        <v>-5.5</v>
      </c>
      <c r="AE112" s="106">
        <v>-13.7</v>
      </c>
      <c r="AF112" s="106">
        <v>-16.600000000000001</v>
      </c>
      <c r="AG112" s="119"/>
      <c r="AH112" s="47">
        <f t="shared" si="8"/>
        <v>40</v>
      </c>
      <c r="AI112" s="48">
        <f t="shared" si="9"/>
        <v>-48</v>
      </c>
    </row>
    <row r="113" spans="1:37" ht="15.75" thickBot="1" x14ac:dyDescent="0.3">
      <c r="A113" s="120" t="s">
        <v>121</v>
      </c>
      <c r="B113" s="106">
        <v>2.7</v>
      </c>
      <c r="C113" s="106">
        <v>13.5</v>
      </c>
      <c r="D113" s="106">
        <v>13.5</v>
      </c>
      <c r="E113" s="106">
        <v>7</v>
      </c>
      <c r="F113" s="106">
        <v>1.2</v>
      </c>
      <c r="G113" s="106">
        <v>0</v>
      </c>
      <c r="H113" s="106">
        <v>2.8</v>
      </c>
      <c r="I113" s="106">
        <v>3.8</v>
      </c>
      <c r="J113" s="106">
        <v>-4</v>
      </c>
      <c r="K113" s="106">
        <v>-28.6</v>
      </c>
      <c r="L113" s="106">
        <v>38.4</v>
      </c>
      <c r="M113" s="106">
        <v>-45.6</v>
      </c>
      <c r="N113" s="106">
        <v>-32.6</v>
      </c>
      <c r="O113" s="106">
        <v>-2</v>
      </c>
      <c r="P113" s="106">
        <v>12.6</v>
      </c>
      <c r="Q113" s="106">
        <v>0.2</v>
      </c>
      <c r="R113" s="106">
        <v>0.2</v>
      </c>
      <c r="S113" s="106">
        <v>0.2</v>
      </c>
      <c r="T113" s="106">
        <v>0</v>
      </c>
      <c r="U113" s="106">
        <v>-12</v>
      </c>
      <c r="V113" s="106">
        <v>-9</v>
      </c>
      <c r="W113" s="106">
        <v>-28</v>
      </c>
      <c r="X113" s="106">
        <v>-56</v>
      </c>
      <c r="Y113" s="106">
        <v>-49</v>
      </c>
      <c r="Z113" s="106">
        <v>-53</v>
      </c>
      <c r="AA113" s="106">
        <v>-53.5</v>
      </c>
      <c r="AB113" s="106">
        <v>-55.3</v>
      </c>
      <c r="AC113" s="106">
        <v>-46.4</v>
      </c>
      <c r="AD113" s="106">
        <v>-32.5</v>
      </c>
      <c r="AE113" s="106">
        <v>-2</v>
      </c>
      <c r="AF113" s="106">
        <v>0</v>
      </c>
      <c r="AG113" s="119"/>
      <c r="AH113" s="47">
        <f t="shared" si="8"/>
        <v>38.4</v>
      </c>
      <c r="AI113" s="48">
        <f t="shared" si="9"/>
        <v>-56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6">SUM(B115:B219)</f>
        <v>0</v>
      </c>
      <c r="C220" s="136">
        <f t="shared" si="16"/>
        <v>0</v>
      </c>
      <c r="D220" s="136">
        <f t="shared" si="16"/>
        <v>0</v>
      </c>
      <c r="E220" s="136">
        <f t="shared" si="16"/>
        <v>0</v>
      </c>
      <c r="F220" s="136">
        <f t="shared" si="16"/>
        <v>0</v>
      </c>
      <c r="G220" s="136">
        <f t="shared" si="16"/>
        <v>0</v>
      </c>
      <c r="H220" s="136">
        <f t="shared" si="16"/>
        <v>0</v>
      </c>
      <c r="I220" s="136">
        <f t="shared" si="16"/>
        <v>0</v>
      </c>
      <c r="J220" s="136">
        <f t="shared" si="16"/>
        <v>0</v>
      </c>
      <c r="K220" s="136">
        <f t="shared" si="16"/>
        <v>0</v>
      </c>
      <c r="L220" s="136">
        <f t="shared" si="16"/>
        <v>0</v>
      </c>
      <c r="M220" s="136">
        <f t="shared" si="16"/>
        <v>0</v>
      </c>
      <c r="N220" s="136">
        <f t="shared" si="16"/>
        <v>0</v>
      </c>
      <c r="O220" s="136">
        <f t="shared" si="16"/>
        <v>0</v>
      </c>
      <c r="P220" s="136">
        <f t="shared" si="16"/>
        <v>0</v>
      </c>
      <c r="Q220" s="136">
        <f t="shared" si="16"/>
        <v>0</v>
      </c>
      <c r="R220" s="136">
        <f t="shared" si="16"/>
        <v>0</v>
      </c>
      <c r="S220" s="136">
        <f t="shared" si="16"/>
        <v>0</v>
      </c>
      <c r="T220" s="136">
        <f t="shared" si="16"/>
        <v>0</v>
      </c>
      <c r="U220" s="136">
        <f t="shared" si="16"/>
        <v>0</v>
      </c>
      <c r="V220" s="136">
        <f t="shared" si="16"/>
        <v>0</v>
      </c>
      <c r="W220" s="136">
        <f t="shared" si="16"/>
        <v>0</v>
      </c>
      <c r="X220" s="136">
        <f t="shared" si="16"/>
        <v>0</v>
      </c>
      <c r="Y220" s="136">
        <f t="shared" si="16"/>
        <v>0</v>
      </c>
      <c r="Z220" s="136">
        <f t="shared" si="16"/>
        <v>0</v>
      </c>
      <c r="AA220" s="136">
        <f t="shared" si="16"/>
        <v>0</v>
      </c>
      <c r="AB220" s="136">
        <f t="shared" si="16"/>
        <v>0</v>
      </c>
      <c r="AC220" s="136">
        <f t="shared" si="16"/>
        <v>0</v>
      </c>
      <c r="AD220" s="136">
        <f t="shared" si="16"/>
        <v>0</v>
      </c>
      <c r="AE220" s="136">
        <f t="shared" si="16"/>
        <v>0</v>
      </c>
      <c r="AF220" s="137">
        <f t="shared" si="16"/>
        <v>0</v>
      </c>
      <c r="AG220" s="138">
        <f t="shared" si="16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7">AF222</f>
        <v>0</v>
      </c>
      <c r="C222" s="140">
        <v>0.3</v>
      </c>
      <c r="D222" s="140">
        <f t="shared" ref="D222:P227" si="18">C222</f>
        <v>0.3</v>
      </c>
      <c r="E222" s="140">
        <f t="shared" si="18"/>
        <v>0.3</v>
      </c>
      <c r="F222" s="140">
        <f t="shared" si="18"/>
        <v>0.3</v>
      </c>
      <c r="G222" s="140">
        <f t="shared" si="18"/>
        <v>0.3</v>
      </c>
      <c r="H222" s="140">
        <f t="shared" si="18"/>
        <v>0.3</v>
      </c>
      <c r="I222" s="140">
        <f t="shared" si="18"/>
        <v>0.3</v>
      </c>
      <c r="J222" s="140">
        <f t="shared" si="18"/>
        <v>0.3</v>
      </c>
      <c r="K222" s="140">
        <f t="shared" si="18"/>
        <v>0.3</v>
      </c>
      <c r="L222" s="140">
        <f t="shared" si="18"/>
        <v>0.3</v>
      </c>
      <c r="M222" s="140">
        <f t="shared" si="18"/>
        <v>0.3</v>
      </c>
      <c r="N222" s="140">
        <f t="shared" si="18"/>
        <v>0.3</v>
      </c>
      <c r="O222" s="140">
        <f t="shared" si="18"/>
        <v>0.3</v>
      </c>
      <c r="P222" s="140">
        <f t="shared" si="18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7"/>
        <v>0</v>
      </c>
      <c r="C223" s="128">
        <v>0.4</v>
      </c>
      <c r="D223" s="128">
        <f t="shared" si="18"/>
        <v>0.4</v>
      </c>
      <c r="E223" s="128">
        <f t="shared" si="18"/>
        <v>0.4</v>
      </c>
      <c r="F223" s="128">
        <f t="shared" si="18"/>
        <v>0.4</v>
      </c>
      <c r="G223" s="128">
        <f t="shared" si="18"/>
        <v>0.4</v>
      </c>
      <c r="H223" s="128">
        <f t="shared" si="18"/>
        <v>0.4</v>
      </c>
      <c r="I223" s="128">
        <f t="shared" si="18"/>
        <v>0.4</v>
      </c>
      <c r="J223" s="128">
        <f t="shared" si="18"/>
        <v>0.4</v>
      </c>
      <c r="K223" s="128">
        <f t="shared" si="18"/>
        <v>0.4</v>
      </c>
      <c r="L223" s="128">
        <f t="shared" si="18"/>
        <v>0.4</v>
      </c>
      <c r="M223" s="128">
        <f t="shared" si="18"/>
        <v>0.4</v>
      </c>
      <c r="N223" s="128">
        <f t="shared" si="18"/>
        <v>0.4</v>
      </c>
      <c r="O223" s="128">
        <f t="shared" si="18"/>
        <v>0.4</v>
      </c>
      <c r="P223" s="128">
        <f t="shared" si="18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7"/>
        <v>0</v>
      </c>
      <c r="C224" s="128">
        <v>1.5</v>
      </c>
      <c r="D224" s="128">
        <f t="shared" si="18"/>
        <v>1.5</v>
      </c>
      <c r="E224" s="128">
        <f t="shared" si="18"/>
        <v>1.5</v>
      </c>
      <c r="F224" s="128">
        <f t="shared" si="18"/>
        <v>1.5</v>
      </c>
      <c r="G224" s="128">
        <f t="shared" si="18"/>
        <v>1.5</v>
      </c>
      <c r="H224" s="128">
        <f t="shared" si="18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18"/>
        <v>1.5</v>
      </c>
      <c r="K224" s="128">
        <f t="shared" ca="1" si="18"/>
        <v>1.5</v>
      </c>
      <c r="L224" s="128">
        <f t="shared" ca="1" si="18"/>
        <v>1.5</v>
      </c>
      <c r="M224" s="128">
        <f t="shared" ca="1" si="18"/>
        <v>1.5</v>
      </c>
      <c r="N224" s="128">
        <f t="shared" ca="1" si="18"/>
        <v>1.5</v>
      </c>
      <c r="O224" s="128">
        <f t="shared" ca="1" si="18"/>
        <v>1.5</v>
      </c>
      <c r="P224" s="128">
        <f t="shared" ca="1" si="18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7"/>
        <v>0</v>
      </c>
      <c r="C225" s="128">
        <v>0.3</v>
      </c>
      <c r="D225" s="128">
        <f t="shared" si="18"/>
        <v>0.3</v>
      </c>
      <c r="E225" s="128">
        <f t="shared" si="18"/>
        <v>0.3</v>
      </c>
      <c r="F225" s="128">
        <f t="shared" si="18"/>
        <v>0.3</v>
      </c>
      <c r="G225" s="128">
        <f t="shared" si="18"/>
        <v>0.3</v>
      </c>
      <c r="H225" s="128">
        <f t="shared" si="18"/>
        <v>0.3</v>
      </c>
      <c r="I225" s="128">
        <f t="shared" si="18"/>
        <v>0.3</v>
      </c>
      <c r="J225" s="128">
        <f t="shared" si="18"/>
        <v>0.3</v>
      </c>
      <c r="K225" s="128">
        <f t="shared" si="18"/>
        <v>0.3</v>
      </c>
      <c r="L225" s="128">
        <f t="shared" si="18"/>
        <v>0.3</v>
      </c>
      <c r="M225" s="128">
        <f t="shared" si="18"/>
        <v>0.3</v>
      </c>
      <c r="N225" s="128">
        <f t="shared" si="18"/>
        <v>0.3</v>
      </c>
      <c r="O225" s="128">
        <f t="shared" si="18"/>
        <v>0.3</v>
      </c>
      <c r="P225" s="128">
        <f t="shared" si="18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7"/>
        <v>0</v>
      </c>
      <c r="C226" s="128">
        <v>0.4</v>
      </c>
      <c r="D226" s="128">
        <f t="shared" si="18"/>
        <v>0.4</v>
      </c>
      <c r="E226" s="128">
        <f t="shared" si="18"/>
        <v>0.4</v>
      </c>
      <c r="F226" s="128">
        <f t="shared" si="18"/>
        <v>0.4</v>
      </c>
      <c r="G226" s="128">
        <f t="shared" si="18"/>
        <v>0.4</v>
      </c>
      <c r="H226" s="128">
        <f t="shared" si="18"/>
        <v>0.4</v>
      </c>
      <c r="I226" s="128">
        <f t="shared" si="18"/>
        <v>0.4</v>
      </c>
      <c r="J226" s="128">
        <f t="shared" si="18"/>
        <v>0.4</v>
      </c>
      <c r="K226" s="128">
        <f t="shared" si="18"/>
        <v>0.4</v>
      </c>
      <c r="L226" s="128">
        <f t="shared" si="18"/>
        <v>0.4</v>
      </c>
      <c r="M226" s="128">
        <f t="shared" si="18"/>
        <v>0.4</v>
      </c>
      <c r="N226" s="128">
        <f t="shared" si="18"/>
        <v>0.4</v>
      </c>
      <c r="O226" s="128">
        <f t="shared" si="18"/>
        <v>0.4</v>
      </c>
      <c r="P226" s="128">
        <f t="shared" si="18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7"/>
        <v>0</v>
      </c>
      <c r="C227" s="132">
        <v>0.64</v>
      </c>
      <c r="D227" s="132">
        <f t="shared" si="18"/>
        <v>0.64</v>
      </c>
      <c r="E227" s="132">
        <f t="shared" si="18"/>
        <v>0.64</v>
      </c>
      <c r="F227" s="132">
        <f t="shared" si="18"/>
        <v>0.64</v>
      </c>
      <c r="G227" s="132">
        <f t="shared" si="18"/>
        <v>0.64</v>
      </c>
      <c r="H227" s="132">
        <f t="shared" si="18"/>
        <v>0.64</v>
      </c>
      <c r="I227" s="132">
        <f t="shared" si="18"/>
        <v>0.64</v>
      </c>
      <c r="J227" s="132">
        <f t="shared" si="18"/>
        <v>0.64</v>
      </c>
      <c r="K227" s="132">
        <f t="shared" si="18"/>
        <v>0.64</v>
      </c>
      <c r="L227" s="132">
        <f t="shared" si="18"/>
        <v>0.64</v>
      </c>
      <c r="M227" s="132">
        <f t="shared" si="18"/>
        <v>0.64</v>
      </c>
      <c r="N227" s="132">
        <f t="shared" si="18"/>
        <v>0.64</v>
      </c>
      <c r="O227" s="132">
        <f t="shared" si="18"/>
        <v>0.64</v>
      </c>
      <c r="P227" s="132">
        <f t="shared" si="18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19">SUM(B222:B227)</f>
        <v>0</v>
      </c>
      <c r="C228" s="136">
        <f t="shared" si="19"/>
        <v>3.54</v>
      </c>
      <c r="D228" s="136">
        <f t="shared" si="19"/>
        <v>3.54</v>
      </c>
      <c r="E228" s="136">
        <f t="shared" si="19"/>
        <v>3.54</v>
      </c>
      <c r="F228" s="136">
        <f t="shared" si="19"/>
        <v>3.54</v>
      </c>
      <c r="G228" s="136">
        <f t="shared" si="19"/>
        <v>3.54</v>
      </c>
      <c r="H228" s="136">
        <f t="shared" si="19"/>
        <v>3.54</v>
      </c>
      <c r="I228" s="136">
        <f t="shared" ca="1" si="19"/>
        <v>3.54</v>
      </c>
      <c r="J228" s="136">
        <f t="shared" ca="1" si="19"/>
        <v>3.54</v>
      </c>
      <c r="K228" s="136">
        <f t="shared" ca="1" si="19"/>
        <v>3.54</v>
      </c>
      <c r="L228" s="136">
        <f t="shared" ca="1" si="19"/>
        <v>3.54</v>
      </c>
      <c r="M228" s="136">
        <f t="shared" ca="1" si="19"/>
        <v>3.54</v>
      </c>
      <c r="N228" s="136">
        <f t="shared" ca="1" si="19"/>
        <v>3.54</v>
      </c>
      <c r="O228" s="136">
        <f t="shared" ca="1" si="19"/>
        <v>3.54</v>
      </c>
      <c r="P228" s="136">
        <f t="shared" ca="1" si="19"/>
        <v>3.54</v>
      </c>
      <c r="Q228" s="136">
        <f t="shared" si="19"/>
        <v>0</v>
      </c>
      <c r="R228" s="136">
        <f t="shared" si="19"/>
        <v>0</v>
      </c>
      <c r="S228" s="136">
        <f t="shared" si="19"/>
        <v>0</v>
      </c>
      <c r="T228" s="136">
        <f t="shared" si="19"/>
        <v>0</v>
      </c>
      <c r="U228" s="136">
        <f t="shared" si="19"/>
        <v>0</v>
      </c>
      <c r="V228" s="136">
        <f t="shared" si="19"/>
        <v>0</v>
      </c>
      <c r="W228" s="136">
        <f t="shared" si="19"/>
        <v>0</v>
      </c>
      <c r="X228" s="136">
        <f t="shared" si="19"/>
        <v>0</v>
      </c>
      <c r="Y228" s="136">
        <f t="shared" si="19"/>
        <v>0</v>
      </c>
      <c r="Z228" s="136">
        <f t="shared" si="19"/>
        <v>0</v>
      </c>
      <c r="AA228" s="136">
        <f t="shared" si="19"/>
        <v>0</v>
      </c>
      <c r="AB228" s="136">
        <f t="shared" si="19"/>
        <v>0</v>
      </c>
      <c r="AC228" s="136">
        <f t="shared" si="19"/>
        <v>0</v>
      </c>
      <c r="AD228" s="136">
        <f t="shared" si="19"/>
        <v>0</v>
      </c>
      <c r="AE228" s="136">
        <f t="shared" si="19"/>
        <v>0</v>
      </c>
      <c r="AF228" s="136">
        <f t="shared" si="19"/>
        <v>0</v>
      </c>
      <c r="AG228" s="145">
        <f t="shared" si="19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1607.2399999999998</v>
      </c>
      <c r="C237" s="161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15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str">
        <f ca="1">"Pie Chart of Daily Peak Demand(Inclusive of Export) of Nepal ("&amp;A4&amp;" "&amp;B4&amp;")"</f>
        <v>Pie Chart of Daily Peak Demand(Inclusive of Export) of Nepal (Nepali Date: 2079/09/15)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2079/09/15)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0">B85</f>
        <v>1000.84</v>
      </c>
      <c r="U242" s="170">
        <f t="shared" si="20"/>
        <v>986.84</v>
      </c>
      <c r="V242" s="170">
        <f t="shared" si="20"/>
        <v>956.84</v>
      </c>
      <c r="W242" s="170">
        <f t="shared" si="20"/>
        <v>918.84</v>
      </c>
      <c r="X242" s="170">
        <f t="shared" si="20"/>
        <v>995.74</v>
      </c>
      <c r="Y242" s="170">
        <f t="shared" si="20"/>
        <v>1034.74</v>
      </c>
      <c r="Z242" s="170">
        <f t="shared" si="20"/>
        <v>1101.1399999999999</v>
      </c>
      <c r="AA242" s="170">
        <f t="shared" si="20"/>
        <v>1169.54</v>
      </c>
      <c r="AB242" s="170">
        <f t="shared" si="20"/>
        <v>1249.74</v>
      </c>
      <c r="AC242" s="170">
        <f t="shared" si="20"/>
        <v>1283.53</v>
      </c>
      <c r="AD242" s="170">
        <f t="shared" si="20"/>
        <v>1583.34</v>
      </c>
      <c r="AE242" s="170">
        <f t="shared" si="20"/>
        <v>1607.2399999999998</v>
      </c>
      <c r="AF242" s="170">
        <f t="shared" si="20"/>
        <v>1451.64</v>
      </c>
      <c r="AG242" s="170">
        <f t="shared" si="20"/>
        <v>1369.64</v>
      </c>
      <c r="AH242" s="170">
        <f t="shared" si="20"/>
        <v>1384.17</v>
      </c>
      <c r="AI242" s="170">
        <f t="shared" si="20"/>
        <v>1333.3400000000001</v>
      </c>
      <c r="AJ242" s="170">
        <f t="shared" si="20"/>
        <v>1333.3400000000001</v>
      </c>
      <c r="AK242" s="170">
        <f t="shared" si="20"/>
        <v>1256.94</v>
      </c>
      <c r="AL242" s="170">
        <f t="shared" si="20"/>
        <v>1260.3399999999999</v>
      </c>
      <c r="AM242" s="170">
        <f t="shared" si="20"/>
        <v>1206.3400000000001</v>
      </c>
      <c r="AN242" s="170">
        <f t="shared" si="20"/>
        <v>1216.3800000000001</v>
      </c>
      <c r="AO242" s="170">
        <f t="shared" si="20"/>
        <v>1400.8400000000001</v>
      </c>
      <c r="AP242" s="170">
        <f t="shared" si="20"/>
        <v>1490.14</v>
      </c>
      <c r="AQ242" s="170">
        <f t="shared" si="20"/>
        <v>1581.24</v>
      </c>
      <c r="AR242" s="170">
        <f t="shared" si="20"/>
        <v>1592.84</v>
      </c>
      <c r="AS242" s="170">
        <f t="shared" si="20"/>
        <v>1562.44</v>
      </c>
      <c r="AT242" s="170">
        <f t="shared" si="20"/>
        <v>1578.8400000000001</v>
      </c>
      <c r="AU242" s="170">
        <f t="shared" si="20"/>
        <v>1412.24</v>
      </c>
      <c r="AV242" s="170">
        <f t="shared" si="20"/>
        <v>1420.74</v>
      </c>
      <c r="AW242" s="170">
        <f t="shared" si="20"/>
        <v>1224.74</v>
      </c>
      <c r="AX242" s="170">
        <f t="shared" si="20"/>
        <v>1145.74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1">C227</f>
        <v>0.64</v>
      </c>
      <c r="C263" s="173">
        <f t="shared" si="21"/>
        <v>0.64</v>
      </c>
      <c r="D263" s="173">
        <f t="shared" si="21"/>
        <v>0.64</v>
      </c>
      <c r="E263" s="173">
        <f t="shared" si="21"/>
        <v>0.64</v>
      </c>
      <c r="F263" s="173">
        <f t="shared" si="21"/>
        <v>0.64</v>
      </c>
      <c r="G263" s="173">
        <f t="shared" si="21"/>
        <v>0.64</v>
      </c>
      <c r="H263" s="173">
        <f t="shared" si="21"/>
        <v>0.64</v>
      </c>
      <c r="I263" s="173">
        <f t="shared" si="21"/>
        <v>0.64</v>
      </c>
      <c r="J263" s="173">
        <f t="shared" si="21"/>
        <v>0.64</v>
      </c>
      <c r="K263" s="173">
        <f t="shared" si="21"/>
        <v>0.64</v>
      </c>
      <c r="L263" s="173">
        <f t="shared" si="21"/>
        <v>0.64</v>
      </c>
      <c r="M263" s="173">
        <f t="shared" si="21"/>
        <v>0.64</v>
      </c>
      <c r="N263" s="173">
        <f t="shared" si="21"/>
        <v>0.64</v>
      </c>
      <c r="O263" s="173">
        <f t="shared" si="21"/>
        <v>0.64</v>
      </c>
      <c r="P263" s="173">
        <f t="shared" si="21"/>
        <v>0</v>
      </c>
      <c r="Q263" s="173">
        <f t="shared" si="21"/>
        <v>0</v>
      </c>
      <c r="R263" s="173">
        <f t="shared" si="21"/>
        <v>0</v>
      </c>
      <c r="S263" s="173">
        <f t="shared" si="21"/>
        <v>0</v>
      </c>
      <c r="T263" s="173">
        <f t="shared" si="21"/>
        <v>0</v>
      </c>
      <c r="U263" s="173">
        <f t="shared" si="21"/>
        <v>0</v>
      </c>
      <c r="V263" s="173">
        <f t="shared" si="21"/>
        <v>0</v>
      </c>
      <c r="W263" s="173">
        <f t="shared" si="21"/>
        <v>0</v>
      </c>
      <c r="X263" s="173">
        <f t="shared" si="21"/>
        <v>0</v>
      </c>
      <c r="Y263" s="173">
        <f t="shared" si="21"/>
        <v>0</v>
      </c>
      <c r="Z263" s="173">
        <f t="shared" si="21"/>
        <v>0</v>
      </c>
      <c r="AA263" s="173">
        <f t="shared" si="21"/>
        <v>0</v>
      </c>
      <c r="AB263" s="173">
        <f t="shared" si="21"/>
        <v>0</v>
      </c>
      <c r="AC263" s="173">
        <f t="shared" si="21"/>
        <v>0</v>
      </c>
      <c r="AD263" s="173">
        <f t="shared" si="21"/>
        <v>0</v>
      </c>
      <c r="AE263" s="173">
        <f t="shared" si="21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2">IF(B231&lt;100,"",B231-520)</f>
        <v/>
      </c>
      <c r="C264" s="174" t="str">
        <f t="shared" si="22"/>
        <v/>
      </c>
      <c r="D264" s="174" t="str">
        <f t="shared" si="22"/>
        <v/>
      </c>
      <c r="E264" s="174" t="str">
        <f t="shared" si="22"/>
        <v/>
      </c>
      <c r="F264" s="174" t="str">
        <f t="shared" si="22"/>
        <v/>
      </c>
      <c r="G264" s="174" t="str">
        <f t="shared" si="22"/>
        <v/>
      </c>
      <c r="H264" s="174" t="str">
        <f t="shared" si="22"/>
        <v/>
      </c>
      <c r="I264" s="174" t="str">
        <f t="shared" si="22"/>
        <v/>
      </c>
      <c r="J264" s="174" t="str">
        <f t="shared" si="22"/>
        <v/>
      </c>
      <c r="K264" s="174" t="str">
        <f t="shared" si="22"/>
        <v/>
      </c>
      <c r="L264" s="174" t="str">
        <f t="shared" si="22"/>
        <v/>
      </c>
      <c r="M264" s="174" t="str">
        <f t="shared" si="22"/>
        <v/>
      </c>
      <c r="N264" s="174" t="str">
        <f t="shared" si="22"/>
        <v/>
      </c>
      <c r="O264" s="174" t="str">
        <f t="shared" si="22"/>
        <v/>
      </c>
      <c r="P264" s="174" t="str">
        <f t="shared" si="22"/>
        <v/>
      </c>
      <c r="Q264" s="174" t="str">
        <f t="shared" si="22"/>
        <v/>
      </c>
      <c r="R264" s="174" t="str">
        <f t="shared" si="22"/>
        <v/>
      </c>
      <c r="S264" s="174" t="str">
        <f t="shared" si="22"/>
        <v/>
      </c>
      <c r="T264" s="174" t="str">
        <f t="shared" si="22"/>
        <v/>
      </c>
      <c r="U264" s="174" t="str">
        <f t="shared" si="22"/>
        <v/>
      </c>
      <c r="V264" s="174" t="str">
        <f t="shared" si="22"/>
        <v/>
      </c>
      <c r="W264" s="174" t="str">
        <f t="shared" si="22"/>
        <v/>
      </c>
      <c r="X264" s="174" t="str">
        <f t="shared" si="22"/>
        <v/>
      </c>
      <c r="Y264" s="174" t="str">
        <f t="shared" si="22"/>
        <v/>
      </c>
      <c r="Z264" s="174" t="str">
        <f t="shared" si="22"/>
        <v/>
      </c>
      <c r="AA264" s="174" t="str">
        <f t="shared" si="22"/>
        <v/>
      </c>
      <c r="AB264" s="174" t="str">
        <f t="shared" si="22"/>
        <v/>
      </c>
      <c r="AC264" s="174" t="str">
        <f t="shared" si="22"/>
        <v/>
      </c>
      <c r="AD264" s="174" t="str">
        <f t="shared" si="22"/>
        <v/>
      </c>
      <c r="AE264" s="174" t="str">
        <f t="shared" si="22"/>
        <v/>
      </c>
      <c r="AF264" s="174" t="str">
        <f t="shared" si="22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3">IF(B232&lt;100,"",B232-620)</f>
        <v/>
      </c>
      <c r="C265" s="174" t="str">
        <f t="shared" si="23"/>
        <v/>
      </c>
      <c r="D265" s="174" t="str">
        <f t="shared" si="23"/>
        <v/>
      </c>
      <c r="E265" s="174" t="str">
        <f t="shared" si="23"/>
        <v/>
      </c>
      <c r="F265" s="174" t="str">
        <f t="shared" si="23"/>
        <v/>
      </c>
      <c r="G265" s="174" t="str">
        <f t="shared" si="23"/>
        <v/>
      </c>
      <c r="H265" s="174" t="str">
        <f t="shared" si="23"/>
        <v/>
      </c>
      <c r="I265" s="174" t="str">
        <f t="shared" si="23"/>
        <v/>
      </c>
      <c r="J265" s="174" t="str">
        <f t="shared" si="23"/>
        <v/>
      </c>
      <c r="K265" s="174" t="str">
        <f t="shared" si="23"/>
        <v/>
      </c>
      <c r="L265" s="174" t="str">
        <f t="shared" si="23"/>
        <v/>
      </c>
      <c r="M265" s="174" t="str">
        <f t="shared" si="23"/>
        <v/>
      </c>
      <c r="N265" s="174" t="str">
        <f t="shared" si="23"/>
        <v/>
      </c>
      <c r="O265" s="174" t="str">
        <f t="shared" si="23"/>
        <v/>
      </c>
      <c r="P265" s="174" t="str">
        <f t="shared" si="23"/>
        <v/>
      </c>
      <c r="Q265" s="174" t="str">
        <f t="shared" si="23"/>
        <v/>
      </c>
      <c r="R265" s="174" t="str">
        <f t="shared" si="23"/>
        <v/>
      </c>
      <c r="S265" s="174" t="str">
        <f t="shared" si="23"/>
        <v/>
      </c>
      <c r="T265" s="174" t="str">
        <f t="shared" si="23"/>
        <v/>
      </c>
      <c r="U265" s="174" t="str">
        <f t="shared" si="23"/>
        <v/>
      </c>
      <c r="V265" s="174" t="str">
        <f t="shared" si="23"/>
        <v/>
      </c>
      <c r="W265" s="174" t="str">
        <f t="shared" si="23"/>
        <v/>
      </c>
      <c r="X265" s="174" t="str">
        <f t="shared" si="23"/>
        <v/>
      </c>
      <c r="Y265" s="174" t="str">
        <f t="shared" si="23"/>
        <v/>
      </c>
      <c r="Z265" s="174" t="str">
        <f t="shared" si="23"/>
        <v/>
      </c>
      <c r="AA265" s="174" t="str">
        <f t="shared" si="23"/>
        <v/>
      </c>
      <c r="AB265" s="174" t="str">
        <f t="shared" si="23"/>
        <v/>
      </c>
      <c r="AC265" s="174" t="str">
        <f t="shared" si="23"/>
        <v/>
      </c>
      <c r="AD265" s="174" t="str">
        <f t="shared" si="23"/>
        <v/>
      </c>
      <c r="AE265" s="174" t="str">
        <f t="shared" si="23"/>
        <v/>
      </c>
      <c r="AF265" s="174" t="str">
        <f t="shared" si="23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4">IF(B233&lt;100,"",B233-330)</f>
        <v/>
      </c>
      <c r="C266" s="174" t="str">
        <f t="shared" si="24"/>
        <v/>
      </c>
      <c r="D266" s="174" t="str">
        <f t="shared" si="24"/>
        <v/>
      </c>
      <c r="E266" s="174" t="str">
        <f t="shared" si="24"/>
        <v/>
      </c>
      <c r="F266" s="174" t="str">
        <f t="shared" si="24"/>
        <v/>
      </c>
      <c r="G266" s="174" t="str">
        <f t="shared" si="24"/>
        <v/>
      </c>
      <c r="H266" s="174" t="str">
        <f t="shared" si="24"/>
        <v/>
      </c>
      <c r="I266" s="174" t="str">
        <f t="shared" si="24"/>
        <v/>
      </c>
      <c r="J266" s="174" t="str">
        <f t="shared" si="24"/>
        <v/>
      </c>
      <c r="K266" s="174" t="str">
        <f t="shared" si="24"/>
        <v/>
      </c>
      <c r="L266" s="174" t="str">
        <f t="shared" si="24"/>
        <v/>
      </c>
      <c r="M266" s="174" t="str">
        <f t="shared" si="24"/>
        <v/>
      </c>
      <c r="N266" s="174" t="str">
        <f t="shared" si="24"/>
        <v/>
      </c>
      <c r="O266" s="174" t="str">
        <f t="shared" si="24"/>
        <v/>
      </c>
      <c r="P266" s="174" t="str">
        <f t="shared" si="24"/>
        <v/>
      </c>
      <c r="Q266" s="174" t="str">
        <f t="shared" si="24"/>
        <v/>
      </c>
      <c r="R266" s="174" t="str">
        <f t="shared" si="24"/>
        <v/>
      </c>
      <c r="S266" s="174" t="str">
        <f t="shared" si="24"/>
        <v/>
      </c>
      <c r="T266" s="174" t="str">
        <f t="shared" si="24"/>
        <v/>
      </c>
      <c r="U266" s="174" t="str">
        <f t="shared" si="24"/>
        <v/>
      </c>
      <c r="V266" s="174" t="str">
        <f t="shared" si="24"/>
        <v/>
      </c>
      <c r="W266" s="174" t="str">
        <f t="shared" si="24"/>
        <v/>
      </c>
      <c r="X266" s="174" t="str">
        <f t="shared" si="24"/>
        <v/>
      </c>
      <c r="Y266" s="174" t="str">
        <f t="shared" si="24"/>
        <v/>
      </c>
      <c r="Z266" s="174" t="str">
        <f t="shared" si="24"/>
        <v/>
      </c>
      <c r="AA266" s="174" t="str">
        <f t="shared" si="24"/>
        <v/>
      </c>
      <c r="AB266" s="174" t="str">
        <f t="shared" si="24"/>
        <v/>
      </c>
      <c r="AC266" s="174" t="str">
        <f t="shared" si="24"/>
        <v/>
      </c>
      <c r="AD266" s="174" t="str">
        <f t="shared" si="24"/>
        <v/>
      </c>
      <c r="AE266" s="174" t="str">
        <f t="shared" si="24"/>
        <v/>
      </c>
      <c r="AF266" s="174" t="str">
        <f t="shared" si="24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5">IF(B234&lt;100,"",B234-1500)</f>
        <v/>
      </c>
      <c r="C267" s="174" t="str">
        <f t="shared" si="25"/>
        <v/>
      </c>
      <c r="D267" s="174" t="str">
        <f t="shared" si="25"/>
        <v/>
      </c>
      <c r="E267" s="174" t="str">
        <f t="shared" si="25"/>
        <v/>
      </c>
      <c r="F267" s="174" t="str">
        <f t="shared" si="25"/>
        <v/>
      </c>
      <c r="G267" s="174" t="str">
        <f t="shared" si="25"/>
        <v/>
      </c>
      <c r="H267" s="174" t="str">
        <f t="shared" si="25"/>
        <v/>
      </c>
      <c r="I267" s="174" t="str">
        <f t="shared" si="25"/>
        <v/>
      </c>
      <c r="J267" s="174" t="str">
        <f t="shared" si="25"/>
        <v/>
      </c>
      <c r="K267" s="174" t="str">
        <f t="shared" si="25"/>
        <v/>
      </c>
      <c r="L267" s="174" t="str">
        <f t="shared" si="25"/>
        <v/>
      </c>
      <c r="M267" s="174" t="str">
        <f t="shared" si="25"/>
        <v/>
      </c>
      <c r="N267" s="174" t="str">
        <f t="shared" si="25"/>
        <v/>
      </c>
      <c r="O267" s="174" t="str">
        <f t="shared" si="25"/>
        <v/>
      </c>
      <c r="P267" s="174" t="str">
        <f t="shared" si="25"/>
        <v/>
      </c>
      <c r="Q267" s="174" t="str">
        <f t="shared" si="25"/>
        <v/>
      </c>
      <c r="R267" s="174" t="str">
        <f t="shared" si="25"/>
        <v/>
      </c>
      <c r="S267" s="174" t="str">
        <f t="shared" si="25"/>
        <v/>
      </c>
      <c r="T267" s="174" t="str">
        <f t="shared" si="25"/>
        <v/>
      </c>
      <c r="U267" s="174" t="str">
        <f t="shared" si="25"/>
        <v/>
      </c>
      <c r="V267" s="174" t="str">
        <f t="shared" si="25"/>
        <v/>
      </c>
      <c r="W267" s="174" t="str">
        <f t="shared" si="25"/>
        <v/>
      </c>
      <c r="X267" s="174" t="str">
        <f t="shared" si="25"/>
        <v/>
      </c>
      <c r="Y267" s="174" t="str">
        <f t="shared" si="25"/>
        <v/>
      </c>
      <c r="Z267" s="174" t="str">
        <f t="shared" si="25"/>
        <v/>
      </c>
      <c r="AA267" s="174" t="str">
        <f t="shared" si="25"/>
        <v/>
      </c>
      <c r="AB267" s="174" t="str">
        <f t="shared" si="25"/>
        <v/>
      </c>
      <c r="AC267" s="174" t="str">
        <f t="shared" si="25"/>
        <v/>
      </c>
      <c r="AD267" s="174" t="str">
        <f t="shared" si="25"/>
        <v/>
      </c>
      <c r="AE267" s="174" t="str">
        <f t="shared" si="25"/>
        <v/>
      </c>
      <c r="AF267" s="174" t="str">
        <f t="shared" si="25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E105:AF105 E107:AF112 Y11:AF41">
    <cfRule type="expression" dxfId="5667" priority="234">
      <formula>B$9&gt;=20/24</formula>
    </cfRule>
    <cfRule type="expression" dxfId="5666" priority="235">
      <formula>AND(B$9&gt;=14/24,B$9&lt;20/24)</formula>
    </cfRule>
    <cfRule type="expression" dxfId="5665" priority="236">
      <formula>AND(B$9&gt;=8/24,B$9&lt;14/24)</formula>
    </cfRule>
    <cfRule type="expression" dxfId="5664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G61 Y11:AF41">
    <cfRule type="expression" dxfId="5663" priority="232">
      <formula>Y11&gt;$AG11</formula>
    </cfRule>
  </conditionalFormatting>
  <conditionalFormatting sqref="A95:A105 A55:A82 A91:A93 A198:A228 A42:A53 A114:A185 A38:A39 A87:A89 A84:A85 A107:A109 A35:A36 A17:A18 A11:A15 A20:A33">
    <cfRule type="expression" dxfId="5662" priority="231">
      <formula>$AH11=0</formula>
    </cfRule>
  </conditionalFormatting>
  <conditionalFormatting sqref="A110">
    <cfRule type="expression" dxfId="5661" priority="230">
      <formula>$AH110=0</formula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5660" priority="228">
      <formula>$AH41=0</formula>
    </cfRule>
  </conditionalFormatting>
  <conditionalFormatting sqref="A94">
    <cfRule type="expression" dxfId="5659" priority="227">
      <formula>$AH94=0</formula>
    </cfRule>
  </conditionalFormatting>
  <conditionalFormatting sqref="A16">
    <cfRule type="expression" dxfId="5658" priority="226">
      <formula>$AH16=0</formula>
    </cfRule>
  </conditionalFormatting>
  <conditionalFormatting sqref="A192:A197">
    <cfRule type="expression" dxfId="5657" priority="225">
      <formula>$AH192=0</formula>
    </cfRule>
  </conditionalFormatting>
  <conditionalFormatting sqref="A186:A191">
    <cfRule type="expression" dxfId="5656" priority="224">
      <formula>$AH186=0</formula>
    </cfRule>
  </conditionalFormatting>
  <conditionalFormatting sqref="A54">
    <cfRule type="expression" dxfId="5655" priority="223">
      <formula>$AH54=0</formula>
    </cfRule>
  </conditionalFormatting>
  <conditionalFormatting sqref="A90">
    <cfRule type="expression" dxfId="5654" priority="222">
      <formula>$AH90=0</formula>
    </cfRule>
  </conditionalFormatting>
  <conditionalFormatting sqref="AD95:AF95 E95:X95">
    <cfRule type="expression" dxfId="5653" priority="218">
      <formula>E$9&gt;=20/24</formula>
    </cfRule>
    <cfRule type="expression" dxfId="5652" priority="219">
      <formula>AND(E$9&gt;=14/24,E$9&lt;20/24)</formula>
    </cfRule>
    <cfRule type="expression" dxfId="5651" priority="220">
      <formula>AND(E$9&gt;=8/24,E$9&lt;14/24)</formula>
    </cfRule>
    <cfRule type="expression" dxfId="5650" priority="221">
      <formula>E$9&lt;8/24</formula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649" priority="240">
      <formula>C$9&gt;=20/24</formula>
    </cfRule>
    <cfRule type="expression" dxfId="5648" priority="241">
      <formula>AND(C$9&gt;=14/24,C$9&lt;20/24)</formula>
    </cfRule>
    <cfRule type="expression" dxfId="5647" priority="242">
      <formula>AND(C$9&gt;=8/24,C$9&lt;14/24)</formula>
    </cfRule>
    <cfRule type="expression" dxfId="5646" priority="243">
      <formula>C$9&lt;8/24</formula>
    </cfRule>
  </conditionalFormatting>
  <conditionalFormatting sqref="A229">
    <cfRule type="expression" dxfId="5645" priority="244">
      <formula>$AH229=0</formula>
    </cfRule>
  </conditionalFormatting>
  <conditionalFormatting sqref="AG241">
    <cfRule type="expression" dxfId="5644" priority="245">
      <formula>B$9&gt;=20/24</formula>
    </cfRule>
    <cfRule type="expression" dxfId="5643" priority="246">
      <formula>AND(B$9&gt;=14/24,B$9&lt;20/24)</formula>
    </cfRule>
    <cfRule type="expression" dxfId="5642" priority="247">
      <formula>AND(B$9&gt;=8/24,B$9&lt;14/24)</formula>
    </cfRule>
    <cfRule type="expression" dxfId="5641" priority="248">
      <formula>B$9&lt;8/24</formula>
    </cfRule>
  </conditionalFormatting>
  <conditionalFormatting sqref="S8">
    <cfRule type="expression" dxfId="5640" priority="213">
      <formula>U$9&gt;=20/24</formula>
    </cfRule>
    <cfRule type="expression" dxfId="5639" priority="214">
      <formula>AND(U$9&gt;=14/24,U$9&lt;20/24)</formula>
    </cfRule>
    <cfRule type="expression" dxfId="5638" priority="215">
      <formula>AND(U$9&gt;=8/24,U$9&lt;14/24)</formula>
    </cfRule>
    <cfRule type="expression" dxfId="5637" priority="216">
      <formula>U$9&lt;8/24</formula>
    </cfRule>
  </conditionalFormatting>
  <conditionalFormatting sqref="AB8">
    <cfRule type="expression" dxfId="5636" priority="209">
      <formula>AD$9&gt;=20/24</formula>
    </cfRule>
    <cfRule type="expression" dxfId="5635" priority="210">
      <formula>AND(AD$9&gt;=14/24,AD$9&lt;20/24)</formula>
    </cfRule>
    <cfRule type="expression" dxfId="5634" priority="211">
      <formula>AND(AD$9&gt;=8/24,AD$9&lt;14/24)</formula>
    </cfRule>
    <cfRule type="expression" dxfId="5633" priority="212">
      <formula>AD$9&lt;8/24</formula>
    </cfRule>
  </conditionalFormatting>
  <conditionalFormatting sqref="AH241:AX241">
    <cfRule type="expression" dxfId="5632" priority="249">
      <formula>AG$9&gt;=20/24</formula>
    </cfRule>
    <cfRule type="expression" dxfId="5631" priority="250">
      <formula>AND(AG$9&gt;=14/24,AG$9&lt;20/24)</formula>
    </cfRule>
    <cfRule type="expression" dxfId="5630" priority="251">
      <formula>AND(AG$9&gt;=8/24,AG$9&lt;14/24)</formula>
    </cfRule>
    <cfRule type="expression" dxfId="5629" priority="252">
      <formula>AG$9&lt;8/24</formula>
    </cfRule>
  </conditionalFormatting>
  <conditionalFormatting sqref="T241">
    <cfRule type="expression" dxfId="5628" priority="253">
      <formula>AX$9&gt;=20/24</formula>
    </cfRule>
    <cfRule type="expression" dxfId="5627" priority="254">
      <formula>AND(AX$9&gt;=14/24,AX$9&lt;20/24)</formula>
    </cfRule>
    <cfRule type="expression" dxfId="5626" priority="255">
      <formula>AND(AX$9&gt;=8/24,AX$9&lt;14/24)</formula>
    </cfRule>
    <cfRule type="expression" dxfId="5625" priority="256">
      <formula>AX$9&lt;8/24</formula>
    </cfRule>
  </conditionalFormatting>
  <conditionalFormatting sqref="A111:A112">
    <cfRule type="expression" dxfId="5624" priority="208">
      <formula>$AH111=0</formula>
    </cfRule>
  </conditionalFormatting>
  <conditionalFormatting sqref="M50:X55 AB50:AE50 Y52:AE53 AF50:AF53 E67:AF67">
    <cfRule type="expression" dxfId="5623" priority="204">
      <formula>E$9&gt;=20/24</formula>
    </cfRule>
    <cfRule type="expression" dxfId="5622" priority="205">
      <formula>AND(E$9&gt;=14/24,E$9&lt;20/24)</formula>
    </cfRule>
    <cfRule type="expression" dxfId="5621" priority="206">
      <formula>AND(E$9&gt;=8/24,E$9&lt;14/24)</formula>
    </cfRule>
    <cfRule type="expression" dxfId="5620" priority="207">
      <formula>E$9&lt;8/24</formula>
    </cfRule>
  </conditionalFormatting>
  <conditionalFormatting sqref="M49:X49 AB49:AF49">
    <cfRule type="expression" dxfId="5619" priority="200">
      <formula>M$9&gt;=20/24</formula>
    </cfRule>
    <cfRule type="expression" dxfId="5618" priority="201">
      <formula>AND(M$9&gt;=14/24,M$9&lt;20/24)</formula>
    </cfRule>
    <cfRule type="expression" dxfId="5617" priority="202">
      <formula>AND(M$9&gt;=8/24,M$9&lt;14/24)</formula>
    </cfRule>
    <cfRule type="expression" dxfId="5616" priority="203">
      <formula>M$9&lt;8/24</formula>
    </cfRule>
  </conditionalFormatting>
  <conditionalFormatting sqref="M49:X55 AB49:AE50 Y52:AE53 AF49:AF53">
    <cfRule type="expression" dxfId="5615" priority="199">
      <formula>M49&gt;$AG49</formula>
    </cfRule>
  </conditionalFormatting>
  <conditionalFormatting sqref="D82:AF82 X43:AF43 X63:AF65 X92:AF92 AD96:AF102 M96:X102 E68:X69 Y68:AF70">
    <cfRule type="expression" dxfId="5614" priority="195">
      <formula>D$9&gt;=20/24</formula>
    </cfRule>
    <cfRule type="expression" dxfId="5613" priority="196">
      <formula>AND(D$9&gt;=14/24,D$9&lt;20/24)</formula>
    </cfRule>
    <cfRule type="expression" dxfId="5612" priority="197">
      <formula>AND(D$9&gt;=8/24,D$9&lt;14/24)</formula>
    </cfRule>
    <cfRule type="expression" dxfId="5611" priority="198">
      <formula>D$9&lt;8/24</formula>
    </cfRule>
  </conditionalFormatting>
  <conditionalFormatting sqref="X43:AF43 X63:AF65">
    <cfRule type="expression" dxfId="5610" priority="194">
      <formula>X43&gt;$AG43</formula>
    </cfRule>
  </conditionalFormatting>
  <conditionalFormatting sqref="Y49:AA51 AB51:AE51">
    <cfRule type="expression" dxfId="5609" priority="190">
      <formula>Y$9&gt;=20/24</formula>
    </cfRule>
    <cfRule type="expression" dxfId="5608" priority="191">
      <formula>AND(Y$9&gt;=14/24,Y$9&lt;20/24)</formula>
    </cfRule>
    <cfRule type="expression" dxfId="5607" priority="192">
      <formula>AND(Y$9&gt;=8/24,Y$9&lt;14/24)</formula>
    </cfRule>
    <cfRule type="expression" dxfId="5606" priority="193">
      <formula>Y$9&lt;8/24</formula>
    </cfRule>
  </conditionalFormatting>
  <conditionalFormatting sqref="Y49:AA51 AB51:AE51">
    <cfRule type="expression" dxfId="5605" priority="189">
      <formula>Y49&gt;$AG49</formula>
    </cfRule>
  </conditionalFormatting>
  <conditionalFormatting sqref="C93:AF93 C84:AF84">
    <cfRule type="expression" dxfId="5604" priority="185">
      <formula>C$9&gt;=20/24</formula>
    </cfRule>
    <cfRule type="expression" dxfId="5603" priority="186">
      <formula>AND(C$9&gt;=14/24,C$9&lt;20/24)</formula>
    </cfRule>
    <cfRule type="expression" dxfId="5602" priority="187">
      <formula>AND(C$9&gt;=8/24,C$9&lt;14/24)</formula>
    </cfRule>
    <cfRule type="expression" dxfId="5601" priority="188">
      <formula>C$9&lt;8/24</formula>
    </cfRule>
  </conditionalFormatting>
  <conditionalFormatting sqref="T43:W43">
    <cfRule type="expression" dxfId="5600" priority="181">
      <formula>T$9&gt;=20/24</formula>
    </cfRule>
    <cfRule type="expression" dxfId="5599" priority="182">
      <formula>AND(T$9&gt;=14/24,T$9&lt;20/24)</formula>
    </cfRule>
    <cfRule type="expression" dxfId="5598" priority="183">
      <formula>AND(T$9&gt;=8/24,T$9&lt;14/24)</formula>
    </cfRule>
    <cfRule type="expression" dxfId="5597" priority="184">
      <formula>T$9&lt;8/24</formula>
    </cfRule>
  </conditionalFormatting>
  <conditionalFormatting sqref="T43:W43">
    <cfRule type="expression" dxfId="5596" priority="180">
      <formula>T43&gt;$AG43</formula>
    </cfRule>
  </conditionalFormatting>
  <conditionalFormatting sqref="F50:L51 Y42:AF42">
    <cfRule type="expression" dxfId="5595" priority="176">
      <formula>F$9&gt;=20/24</formula>
    </cfRule>
    <cfRule type="expression" dxfId="5594" priority="177">
      <formula>AND(F$9&gt;=14/24,F$9&lt;20/24)</formula>
    </cfRule>
    <cfRule type="expression" dxfId="5593" priority="178">
      <formula>AND(F$9&gt;=8/24,F$9&lt;14/24)</formula>
    </cfRule>
    <cfRule type="expression" dxfId="5592" priority="179">
      <formula>F$9&lt;8/24</formula>
    </cfRule>
  </conditionalFormatting>
  <conditionalFormatting sqref="F49:L49">
    <cfRule type="expression" dxfId="5591" priority="172">
      <formula>F$9&gt;=20/24</formula>
    </cfRule>
    <cfRule type="expression" dxfId="5590" priority="173">
      <formula>AND(F$9&gt;=14/24,F$9&lt;20/24)</formula>
    </cfRule>
    <cfRule type="expression" dxfId="5589" priority="174">
      <formula>AND(F$9&gt;=8/24,F$9&lt;14/24)</formula>
    </cfRule>
    <cfRule type="expression" dxfId="5588" priority="175">
      <formula>F$9&lt;8/24</formula>
    </cfRule>
  </conditionalFormatting>
  <conditionalFormatting sqref="F49:L51 Y42:AF42">
    <cfRule type="expression" dxfId="5587" priority="171">
      <formula>F42&gt;$AG42</formula>
    </cfRule>
  </conditionalFormatting>
  <conditionalFormatting sqref="AG66 AG83 E96:L102 T63:W65">
    <cfRule type="expression" dxfId="5586" priority="167">
      <formula>E$9&gt;=20/24</formula>
    </cfRule>
    <cfRule type="expression" dxfId="5585" priority="168">
      <formula>AND(E$9&gt;=14/24,E$9&lt;20/24)</formula>
    </cfRule>
    <cfRule type="expression" dxfId="5584" priority="169">
      <formula>AND(E$9&gt;=8/24,E$9&lt;14/24)</formula>
    </cfRule>
    <cfRule type="expression" dxfId="5583" priority="170">
      <formula>E$9&lt;8/24</formula>
    </cfRule>
  </conditionalFormatting>
  <conditionalFormatting sqref="AG44 AG62 AG66 T63:W65">
    <cfRule type="expression" dxfId="5582" priority="166">
      <formula>T44&gt;$AG44</formula>
    </cfRule>
  </conditionalFormatting>
  <conditionalFormatting sqref="Y54:AF54">
    <cfRule type="expression" dxfId="5581" priority="162">
      <formula>Y$9&gt;=20/24</formula>
    </cfRule>
    <cfRule type="expression" dxfId="5580" priority="163">
      <formula>AND(Y$9&gt;=14/24,Y$9&lt;20/24)</formula>
    </cfRule>
    <cfRule type="expression" dxfId="5579" priority="164">
      <formula>AND(Y$9&gt;=8/24,Y$9&lt;14/24)</formula>
    </cfRule>
    <cfRule type="expression" dxfId="5578" priority="165">
      <formula>Y$9&lt;8/24</formula>
    </cfRule>
  </conditionalFormatting>
  <conditionalFormatting sqref="Y54:AF54">
    <cfRule type="expression" dxfId="5577" priority="161">
      <formula>Y54&gt;$AG54</formula>
    </cfRule>
  </conditionalFormatting>
  <conditionalFormatting sqref="A40">
    <cfRule type="expression" dxfId="5576" priority="160">
      <formula>$AH40=0</formula>
    </cfRule>
  </conditionalFormatting>
  <conditionalFormatting sqref="X87:AF91">
    <cfRule type="expression" dxfId="5575" priority="156">
      <formula>X$9&gt;=20/24</formula>
    </cfRule>
    <cfRule type="expression" dxfId="5574" priority="157">
      <formula>AND(X$9&gt;=14/24,X$9&lt;20/24)</formula>
    </cfRule>
    <cfRule type="expression" dxfId="5573" priority="158">
      <formula>AND(X$9&gt;=8/24,X$9&lt;14/24)</formula>
    </cfRule>
    <cfRule type="expression" dxfId="5572" priority="159">
      <formula>X$9&lt;8/24</formula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F45:AF47">
    <cfRule type="expression" dxfId="5571" priority="152">
      <formula>F$9&gt;=20/24</formula>
    </cfRule>
    <cfRule type="expression" dxfId="5570" priority="153">
      <formula>AND(F$9&gt;=14/24,F$9&lt;20/24)</formula>
    </cfRule>
    <cfRule type="expression" dxfId="5569" priority="154">
      <formula>AND(F$9&gt;=8/24,F$9&lt;14/24)</formula>
    </cfRule>
    <cfRule type="expression" dxfId="5568" priority="155">
      <formula>F$9&lt;8/24</formula>
    </cfRule>
  </conditionalFormatting>
  <conditionalFormatting sqref="F45:AF47">
    <cfRule type="expression" dxfId="5567" priority="151">
      <formula>F45&gt;$AG45</formula>
    </cfRule>
  </conditionalFormatting>
  <conditionalFormatting sqref="AG48">
    <cfRule type="expression" dxfId="5566" priority="147">
      <formula>AG$9&gt;=20/24</formula>
    </cfRule>
    <cfRule type="expression" dxfId="5565" priority="148">
      <formula>AND(AG$9&gt;=14/24,AG$9&lt;20/24)</formula>
    </cfRule>
    <cfRule type="expression" dxfId="5564" priority="149">
      <formula>AND(AG$9&gt;=8/24,AG$9&lt;14/24)</formula>
    </cfRule>
    <cfRule type="expression" dxfId="5563" priority="150">
      <formula>AG$9&lt;8/24</formula>
    </cfRule>
  </conditionalFormatting>
  <conditionalFormatting sqref="AG48">
    <cfRule type="expression" dxfId="5562" priority="146">
      <formula>AG48&gt;$AG48</formula>
    </cfRule>
  </conditionalFormatting>
  <conditionalFormatting sqref="C103:AF103">
    <cfRule type="expression" dxfId="5561" priority="142">
      <formula>C$9&gt;=20/24</formula>
    </cfRule>
    <cfRule type="expression" dxfId="5560" priority="143">
      <formula>AND(C$9&gt;=14/24,C$9&lt;20/24)</formula>
    </cfRule>
    <cfRule type="expression" dxfId="5559" priority="144">
      <formula>AND(C$9&gt;=8/24,C$9&lt;14/24)</formula>
    </cfRule>
    <cfRule type="expression" dxfId="5558" priority="145">
      <formula>C$9&lt;8/24</formula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5557" priority="140">
      <formula>$AH37=0</formula>
    </cfRule>
  </conditionalFormatting>
  <conditionalFormatting sqref="A86">
    <cfRule type="expression" dxfId="5556" priority="138">
      <formula>$AH86=0</formula>
    </cfRule>
  </conditionalFormatting>
  <conditionalFormatting sqref="A83">
    <cfRule type="expression" dxfId="5555" priority="139">
      <formula>$AH83=0</formula>
    </cfRule>
  </conditionalFormatting>
  <conditionalFormatting sqref="A113">
    <cfRule type="expression" dxfId="5554" priority="129">
      <formula>$AH113=0</formula>
    </cfRule>
  </conditionalFormatting>
  <conditionalFormatting sqref="E106:AF106">
    <cfRule type="expression" dxfId="5553" priority="125">
      <formula>E$9&gt;=20/24</formula>
    </cfRule>
    <cfRule type="expression" dxfId="5552" priority="126">
      <formula>AND(E$9&gt;=14/24,E$9&lt;20/24)</formula>
    </cfRule>
    <cfRule type="expression" dxfId="5551" priority="127">
      <formula>AND(E$9&gt;=8/24,E$9&lt;14/24)</formula>
    </cfRule>
    <cfRule type="expression" dxfId="5550" priority="128">
      <formula>E$9&lt;8/24</formula>
    </cfRule>
  </conditionalFormatting>
  <conditionalFormatting sqref="A106">
    <cfRule type="expression" dxfId="5549" priority="124">
      <formula>$AH106=0</formula>
    </cfRule>
  </conditionalFormatting>
  <conditionalFormatting sqref="A19">
    <cfRule type="expression" dxfId="5548" priority="122">
      <formula>$AH19=0</formula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5547" priority="120">
      <formula>$AH34=0</formula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5546" priority="116">
      <formula>Y$9&gt;=20/24</formula>
    </cfRule>
    <cfRule type="expression" dxfId="5545" priority="117">
      <formula>AND(Y$9&gt;=14/24,Y$9&lt;20/24)</formula>
    </cfRule>
    <cfRule type="expression" dxfId="5544" priority="118">
      <formula>AND(Y$9&gt;=8/24,Y$9&lt;14/24)</formula>
    </cfRule>
    <cfRule type="expression" dxfId="5543" priority="119">
      <formula>Y$9&lt;8/24</formula>
    </cfRule>
  </conditionalFormatting>
  <conditionalFormatting sqref="Y96:AC102">
    <cfRule type="expression" dxfId="5542" priority="112">
      <formula>Y$9&gt;=20/24</formula>
    </cfRule>
    <cfRule type="expression" dxfId="5541" priority="113">
      <formula>AND(Y$9&gt;=14/24,Y$9&lt;20/24)</formula>
    </cfRule>
    <cfRule type="expression" dxfId="5540" priority="114">
      <formula>AND(Y$9&gt;=8/24,Y$9&lt;14/24)</formula>
    </cfRule>
    <cfRule type="expression" dxfId="5539" priority="115">
      <formula>Y$9&lt;8/24</formula>
    </cfRule>
  </conditionalFormatting>
  <conditionalFormatting sqref="B105:D105 B107:D112 B15:X40">
    <cfRule type="expression" dxfId="5538" priority="108">
      <formula>B$9&gt;=20/24</formula>
    </cfRule>
    <cfRule type="expression" dxfId="5537" priority="109">
      <formula>AND(B$9&gt;=14/24,B$9&lt;20/24)</formula>
    </cfRule>
    <cfRule type="expression" dxfId="5536" priority="110">
      <formula>AND(B$9&gt;=8/24,B$9&lt;14/24)</formula>
    </cfRule>
    <cfRule type="expression" dxfId="5535" priority="111">
      <formula>B$9&lt;8/24</formula>
    </cfRule>
  </conditionalFormatting>
  <conditionalFormatting sqref="B43:S43">
    <cfRule type="expression" dxfId="5534" priority="104">
      <formula>B$9&gt;=20/24</formula>
    </cfRule>
    <cfRule type="expression" dxfId="5533" priority="105">
      <formula>AND(B$9&gt;=14/24,B$9&lt;20/24)</formula>
    </cfRule>
    <cfRule type="expression" dxfId="5532" priority="106">
      <formula>AND(B$9&gt;=8/24,B$9&lt;14/24)</formula>
    </cfRule>
    <cfRule type="expression" dxfId="5531" priority="107">
      <formula>B$9&lt;8/24</formula>
    </cfRule>
  </conditionalFormatting>
  <conditionalFormatting sqref="B43:S43 B15:X40">
    <cfRule type="expression" dxfId="5530" priority="103">
      <formula>B15&gt;$AG15</formula>
    </cfRule>
  </conditionalFormatting>
  <conditionalFormatting sqref="B95:D95">
    <cfRule type="expression" dxfId="5529" priority="99">
      <formula>B$9&gt;=20/24</formula>
    </cfRule>
    <cfRule type="expression" dxfId="5528" priority="100">
      <formula>AND(B$9&gt;=14/24,B$9&lt;20/24)</formula>
    </cfRule>
    <cfRule type="expression" dxfId="5527" priority="101">
      <formula>AND(B$9&gt;=8/24,B$9&lt;14/24)</formula>
    </cfRule>
    <cfRule type="expression" dxfId="5526" priority="102">
      <formula>B$9&lt;8/24</formula>
    </cfRule>
  </conditionalFormatting>
  <conditionalFormatting sqref="B67:D67 B50:E51">
    <cfRule type="expression" dxfId="5525" priority="95">
      <formula>B$9&gt;=20/24</formula>
    </cfRule>
    <cfRule type="expression" dxfId="5524" priority="96">
      <formula>AND(B$9&gt;=14/24,B$9&lt;20/24)</formula>
    </cfRule>
    <cfRule type="expression" dxfId="5523" priority="97">
      <formula>AND(B$9&gt;=8/24,B$9&lt;14/24)</formula>
    </cfRule>
    <cfRule type="expression" dxfId="5522" priority="98">
      <formula>B$9&lt;8/24</formula>
    </cfRule>
  </conditionalFormatting>
  <conditionalFormatting sqref="B49:E49">
    <cfRule type="expression" dxfId="5521" priority="91">
      <formula>B$9&gt;=20/24</formula>
    </cfRule>
    <cfRule type="expression" dxfId="5520" priority="92">
      <formula>AND(B$9&gt;=14/24,B$9&lt;20/24)</formula>
    </cfRule>
    <cfRule type="expression" dxfId="5519" priority="93">
      <formula>AND(B$9&gt;=8/24,B$9&lt;14/24)</formula>
    </cfRule>
    <cfRule type="expression" dxfId="5518" priority="94">
      <formula>B$9&lt;8/24</formula>
    </cfRule>
  </conditionalFormatting>
  <conditionalFormatting sqref="B49:E51">
    <cfRule type="expression" dxfId="5517" priority="90">
      <formula>B49&gt;$AG49</formula>
    </cfRule>
  </conditionalFormatting>
  <conditionalFormatting sqref="B82:C82 B92:W92 B79:AF81 B68:D72 B96:D102 B63:S65 E70:X72 Y71:AF72">
    <cfRule type="expression" dxfId="5516" priority="86">
      <formula>B$9&gt;=20/24</formula>
    </cfRule>
    <cfRule type="expression" dxfId="5515" priority="87">
      <formula>AND(B$9&gt;=14/24,B$9&lt;20/24)</formula>
    </cfRule>
    <cfRule type="expression" dxfId="5514" priority="88">
      <formula>AND(B$9&gt;=8/24,B$9&lt;14/24)</formula>
    </cfRule>
    <cfRule type="expression" dxfId="5513" priority="89">
      <formula>B$9&lt;8/24</formula>
    </cfRule>
  </conditionalFormatting>
  <conditionalFormatting sqref="B52:L53 B63:S65">
    <cfRule type="expression" dxfId="5512" priority="85">
      <formula>B52&gt;$AG52</formula>
    </cfRule>
  </conditionalFormatting>
  <conditionalFormatting sqref="B54:L54">
    <cfRule type="expression" dxfId="5511" priority="81">
      <formula>B$9&gt;=20/24</formula>
    </cfRule>
    <cfRule type="expression" dxfId="5510" priority="82">
      <formula>AND(B$9&gt;=14/24,B$9&lt;20/24)</formula>
    </cfRule>
    <cfRule type="expression" dxfId="5509" priority="83">
      <formula>AND(B$9&gt;=8/24,B$9&lt;14/24)</formula>
    </cfRule>
    <cfRule type="expression" dxfId="5508" priority="84">
      <formula>B$9&lt;8/24</formula>
    </cfRule>
  </conditionalFormatting>
  <conditionalFormatting sqref="B54:L54">
    <cfRule type="expression" dxfId="5507" priority="80">
      <formula>B54&gt;$AG54</formula>
    </cfRule>
  </conditionalFormatting>
  <conditionalFormatting sqref="B84 B93">
    <cfRule type="expression" dxfId="5506" priority="76">
      <formula>B$9&gt;=20/24</formula>
    </cfRule>
    <cfRule type="expression" dxfId="5505" priority="77">
      <formula>AND(B$9&gt;=14/24,B$9&lt;20/24)</formula>
    </cfRule>
    <cfRule type="expression" dxfId="5504" priority="78">
      <formula>AND(B$9&gt;=8/24,B$9&lt;14/24)</formula>
    </cfRule>
    <cfRule type="expression" dxfId="5503" priority="79">
      <formula>B$9&lt;8/24</formula>
    </cfRule>
  </conditionalFormatting>
  <conditionalFormatting sqref="B42:X42">
    <cfRule type="expression" dxfId="5502" priority="72">
      <formula>B$9&gt;=20/24</formula>
    </cfRule>
    <cfRule type="expression" dxfId="5501" priority="73">
      <formula>AND(B$9&gt;=14/24,B$9&lt;20/24)</formula>
    </cfRule>
    <cfRule type="expression" dxfId="5500" priority="74">
      <formula>AND(B$9&gt;=8/24,B$9&lt;14/24)</formula>
    </cfRule>
    <cfRule type="expression" dxfId="5499" priority="75">
      <formula>B$9&lt;8/24</formula>
    </cfRule>
  </conditionalFormatting>
  <conditionalFormatting sqref="B42:X42">
    <cfRule type="expression" dxfId="5498" priority="71">
      <formula>B42&gt;$AG42</formula>
    </cfRule>
  </conditionalFormatting>
  <conditionalFormatting sqref="B83:AF83 B85:AF85 B94:AF94 B66:AF66">
    <cfRule type="expression" dxfId="5497" priority="67">
      <formula>B$9&gt;=20/24</formula>
    </cfRule>
    <cfRule type="expression" dxfId="5496" priority="68">
      <formula>AND(B$9&gt;=14/24,B$9&lt;20/24)</formula>
    </cfRule>
    <cfRule type="expression" dxfId="5495" priority="69">
      <formula>AND(B$9&gt;=8/24,B$9&lt;14/24)</formula>
    </cfRule>
    <cfRule type="expression" dxfId="5494" priority="70">
      <formula>B$9&lt;8/24</formula>
    </cfRule>
  </conditionalFormatting>
  <conditionalFormatting sqref="B44:AF44 B61:AF62 B66:AF66">
    <cfRule type="expression" dxfId="5493" priority="66">
      <formula>B44&gt;$AG44</formula>
    </cfRule>
  </conditionalFormatting>
  <conditionalFormatting sqref="B78:AF78">
    <cfRule type="expression" dxfId="5492" priority="62">
      <formula>B$9&gt;=20/24</formula>
    </cfRule>
    <cfRule type="expression" dxfId="5491" priority="63">
      <formula>AND(B$9&gt;=14/24,B$9&lt;20/24)</formula>
    </cfRule>
    <cfRule type="expression" dxfId="5490" priority="64">
      <formula>AND(B$9&gt;=8/24,B$9&lt;14/24)</formula>
    </cfRule>
    <cfRule type="expression" dxfId="5489" priority="65">
      <formula>B$9&lt;8/24</formula>
    </cfRule>
  </conditionalFormatting>
  <conditionalFormatting sqref="B87:W91">
    <cfRule type="expression" dxfId="5488" priority="58">
      <formula>B$9&gt;=20/24</formula>
    </cfRule>
    <cfRule type="expression" dxfId="5487" priority="59">
      <formula>AND(B$9&gt;=14/24,B$9&lt;20/24)</formula>
    </cfRule>
    <cfRule type="expression" dxfId="5486" priority="60">
      <formula>AND(B$9&gt;=8/24,B$9&lt;14/24)</formula>
    </cfRule>
    <cfRule type="expression" dxfId="5485" priority="61">
      <formula>B$9&lt;8/24</formula>
    </cfRule>
  </conditionalFormatting>
  <conditionalFormatting sqref="B45:E47">
    <cfRule type="expression" dxfId="5484" priority="54">
      <formula>B$9&gt;=20/24</formula>
    </cfRule>
    <cfRule type="expression" dxfId="5483" priority="55">
      <formula>AND(B$9&gt;=14/24,B$9&lt;20/24)</formula>
    </cfRule>
    <cfRule type="expression" dxfId="5482" priority="56">
      <formula>AND(B$9&gt;=8/24,B$9&lt;14/24)</formula>
    </cfRule>
    <cfRule type="expression" dxfId="5481" priority="57">
      <formula>B$9&lt;8/24</formula>
    </cfRule>
  </conditionalFormatting>
  <conditionalFormatting sqref="B45:E47">
    <cfRule type="expression" dxfId="5480" priority="53">
      <formula>B45&gt;$AG45</formula>
    </cfRule>
  </conditionalFormatting>
  <conditionalFormatting sqref="B48:AF48">
    <cfRule type="expression" dxfId="5479" priority="49">
      <formula>B$9&gt;=20/24</formula>
    </cfRule>
    <cfRule type="expression" dxfId="5478" priority="50">
      <formula>AND(B$9&gt;=14/24,B$9&lt;20/24)</formula>
    </cfRule>
    <cfRule type="expression" dxfId="5477" priority="51">
      <formula>AND(B$9&gt;=8/24,B$9&lt;14/24)</formula>
    </cfRule>
    <cfRule type="expression" dxfId="5476" priority="52">
      <formula>B$9&lt;8/24</formula>
    </cfRule>
  </conditionalFormatting>
  <conditionalFormatting sqref="B48:AF48">
    <cfRule type="expression" dxfId="5475" priority="48">
      <formula>B48&gt;$AG48</formula>
    </cfRule>
  </conditionalFormatting>
  <conditionalFormatting sqref="B103">
    <cfRule type="expression" dxfId="5474" priority="44">
      <formula>B$9&gt;=20/24</formula>
    </cfRule>
    <cfRule type="expression" dxfId="5473" priority="45">
      <formula>AND(B$9&gt;=14/24,B$9&lt;20/24)</formula>
    </cfRule>
    <cfRule type="expression" dxfId="5472" priority="46">
      <formula>AND(B$9&gt;=8/24,B$9&lt;14/24)</formula>
    </cfRule>
    <cfRule type="expression" dxfId="5471" priority="47">
      <formula>B$9&lt;8/24</formula>
    </cfRule>
  </conditionalFormatting>
  <conditionalFormatting sqref="B106:D106">
    <cfRule type="expression" dxfId="5470" priority="32">
      <formula>B$9&gt;=20/24</formula>
    </cfRule>
    <cfRule type="expression" dxfId="5469" priority="33">
      <formula>AND(B$9&gt;=14/24,B$9&lt;20/24)</formula>
    </cfRule>
    <cfRule type="expression" dxfId="5468" priority="34">
      <formula>AND(B$9&gt;=8/24,B$9&lt;14/24)</formula>
    </cfRule>
    <cfRule type="expression" dxfId="5467" priority="35">
      <formula>B$9&lt;8/24</formula>
    </cfRule>
  </conditionalFormatting>
  <conditionalFormatting sqref="B55:L60 M56:X60 Y55:AF60">
    <cfRule type="expression" dxfId="5466" priority="28">
      <formula>B$9&gt;=20/24</formula>
    </cfRule>
    <cfRule type="expression" dxfId="5465" priority="29">
      <formula>AND(B$9&gt;=14/24,B$9&lt;20/24)</formula>
    </cfRule>
    <cfRule type="expression" dxfId="5464" priority="30">
      <formula>AND(B$9&gt;=8/24,B$9&lt;14/24)</formula>
    </cfRule>
    <cfRule type="expression" dxfId="5463" priority="31">
      <formula>B$9&lt;8/24</formula>
    </cfRule>
  </conditionalFormatting>
  <conditionalFormatting sqref="B55:L60 M56:X60 Y55:AF60">
    <cfRule type="expression" dxfId="5462" priority="27">
      <formula>B55&gt;$AG55</formula>
    </cfRule>
  </conditionalFormatting>
  <conditionalFormatting sqref="B41:X41 B12:X14">
    <cfRule type="expression" dxfId="5461" priority="26">
      <formula>B12&gt;$AG12</formula>
    </cfRule>
  </conditionalFormatting>
  <conditionalFormatting sqref="B11:X11">
    <cfRule type="expression" dxfId="5460" priority="22">
      <formula>B$9&gt;=20/24</formula>
    </cfRule>
    <cfRule type="expression" dxfId="5459" priority="23">
      <formula>AND(B$9&gt;=14/24,B$9&lt;20/24)</formula>
    </cfRule>
    <cfRule type="expression" dxfId="5458" priority="24">
      <formula>AND(B$9&gt;=8/24,B$9&lt;14/24)</formula>
    </cfRule>
    <cfRule type="expression" dxfId="5457" priority="25">
      <formula>B$9&lt;8/24</formula>
    </cfRule>
  </conditionalFormatting>
  <conditionalFormatting sqref="B11:X11">
    <cfRule type="expression" dxfId="5456" priority="21">
      <formula>B11&gt;$AG11</formula>
    </cfRule>
  </conditionalFormatting>
  <conditionalFormatting sqref="B12:X14">
    <cfRule type="expression" dxfId="5455" priority="17">
      <formula>B$9&gt;=20/24</formula>
    </cfRule>
    <cfRule type="expression" dxfId="5454" priority="18">
      <formula>AND(B$9&gt;=14/24,B$9&lt;20/24)</formula>
    </cfRule>
    <cfRule type="expression" dxfId="5453" priority="19">
      <formula>AND(B$9&gt;=8/24,B$9&lt;14/24)</formula>
    </cfRule>
    <cfRule type="expression" dxfId="5452" priority="20">
      <formula>B$9&lt;8/24</formula>
    </cfRule>
  </conditionalFormatting>
  <conditionalFormatting sqref="B41:X41">
    <cfRule type="expression" dxfId="5451" priority="13">
      <formula>B$9&gt;=20/24</formula>
    </cfRule>
    <cfRule type="expression" dxfId="5450" priority="14">
      <formula>AND(B$9&gt;=14/24,B$9&lt;20/24)</formula>
    </cfRule>
    <cfRule type="expression" dxfId="5449" priority="15">
      <formula>AND(B$9&gt;=8/24,B$9&lt;14/24)</formula>
    </cfRule>
    <cfRule type="expression" dxfId="5448" priority="16">
      <formula>B$9&lt;8/24</formula>
    </cfRule>
  </conditionalFormatting>
  <conditionalFormatting sqref="B73:AF77">
    <cfRule type="expression" dxfId="5447" priority="9">
      <formula>B$9&gt;=20/24</formula>
    </cfRule>
    <cfRule type="expression" dxfId="5446" priority="10">
      <formula>AND(B$9&gt;=14/24,B$9&lt;20/24)</formula>
    </cfRule>
    <cfRule type="expression" dxfId="5445" priority="11">
      <formula>AND(B$9&gt;=8/24,B$9&lt;14/24)</formula>
    </cfRule>
    <cfRule type="expression" dxfId="5444" priority="12">
      <formula>B$9&lt;8/24</formula>
    </cfRule>
  </conditionalFormatting>
  <conditionalFormatting sqref="AL74:AN74 AL80:AN80 AN75:AN76">
    <cfRule type="expression" dxfId="5443" priority="5">
      <formula>AL$9&gt;=20/24</formula>
    </cfRule>
    <cfRule type="expression" dxfId="5442" priority="6">
      <formula>AND(AL$9&gt;=14/24,AL$9&lt;20/24)</formula>
    </cfRule>
    <cfRule type="expression" dxfId="5441" priority="7">
      <formula>AND(AL$9&gt;=8/24,AL$9&lt;14/24)</formula>
    </cfRule>
    <cfRule type="expression" dxfId="5440" priority="8">
      <formula>AL$9&lt;8/24</formula>
    </cfRule>
  </conditionalFormatting>
  <conditionalFormatting sqref="AN77:AN78">
    <cfRule type="expression" dxfId="5439" priority="1">
      <formula>AN$9&gt;=20/24</formula>
    </cfRule>
    <cfRule type="expression" dxfId="5438" priority="2">
      <formula>AND(AN$9&gt;=14/24,AN$9&lt;20/24)</formula>
    </cfRule>
    <cfRule type="expression" dxfId="5437" priority="3">
      <formula>AND(AN$9&gt;=8/24,AN$9&lt;14/24)</formula>
    </cfRule>
    <cfRule type="expression" dxfId="5436" priority="4">
      <formula>AN$9&lt;8/24</formula>
    </cfRule>
  </conditionalFormatting>
  <conditionalFormatting sqref="AL75:AM79">
    <cfRule type="expression" dxfId="5435" priority="258">
      <formula>AJ$9&gt;=20/24</formula>
    </cfRule>
    <cfRule type="expression" dxfId="5434" priority="259">
      <formula>AND(AJ$9&gt;=14/24,AJ$9&lt;20/24)</formula>
    </cfRule>
    <cfRule type="expression" dxfId="5433" priority="260">
      <formula>AND(AJ$9&gt;=8/24,AJ$9&lt;14/24)</formula>
    </cfRule>
    <cfRule type="expression" dxfId="5432" priority="261">
      <formula>AJ$9&lt;8/24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4" id="{B5AF5A2C-624A-41EB-A084-091E3FA2A48A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2BDC3E4F-8C80-4843-BF28-4CBDCC60AC76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D8B3AA4D-F159-48C7-8A88-704D3C9B9F20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B1C7DABA-7BF0-45A1-A592-6ACBFDD828F1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E113:AF113</xm:sqref>
        </x14:conditionalFormatting>
        <x14:conditionalFormatting xmlns:xm="http://schemas.microsoft.com/office/excel/2006/main">
          <x14:cfRule type="expression" priority="130" id="{3EF44974-9D85-49F7-ABD3-3DB9E820F3D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A37A0534-CA79-4164-9030-A7D7AA2AA429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CC373AE0-3AEE-4BFE-A1FD-28E3765A905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649365AC-0439-4A1B-B5F8-5FCB7C262ECE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C113:D113</xm:sqref>
        </x14:conditionalFormatting>
        <x14:conditionalFormatting xmlns:xm="http://schemas.microsoft.com/office/excel/2006/main">
          <x14:cfRule type="expression" priority="40" id="{3B599151-3216-4887-8EC7-CE70C3D6AACA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4A32CB1B-B21B-47BF-B0CA-8533B7ABB14C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" id="{9A282F3F-583A-47AF-A41E-D0912C8CE16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" id="{A5CCA99F-75E5-4210-957E-E8938259F220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6" id="{BE7C4169-DE35-4DF2-A761-35554BE94E9B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D5ABED68-D398-4298-B8D8-639D858DA028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F6B430D5-61F5-4787-990B-04A3D085F43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528B2AE2-48BC-4D23-87F0-E556E0CAC69D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J274"/>
  <sheetViews>
    <sheetView workbookViewId="0">
      <pane ySplit="10" topLeftCell="A48" activePane="bottomLeft" state="frozen"/>
      <selection activeCell="U80" sqref="U80"/>
      <selection pane="bottomLeft" activeCell="AF71" sqref="AF71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/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str">
        <f ca="1">"2079/"&amp;"09/"&amp;INT(MID(CELL("filename",D6),FIND("]",CELL("filename",D6))+1,200))</f>
        <v>2079/09/16</v>
      </c>
      <c r="C4" s="771"/>
      <c r="D4" s="771"/>
      <c r="E4" s="772" t="str">
        <f ca="1">"2079/"&amp;"09/"&amp;INT(MID(CELL("filename",G6),FIND("]",CELL("filename",G6))+1,200))</f>
        <v>2079/09/16</v>
      </c>
      <c r="F4" s="772"/>
      <c r="G4" s="772"/>
      <c r="H4" s="772" t="str">
        <f ca="1">TEXT(E4,"dddd")</f>
        <v>Saturday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354</v>
      </c>
      <c r="C5" s="30">
        <f t="shared" si="0"/>
        <v>378</v>
      </c>
      <c r="D5" s="30">
        <f t="shared" si="0"/>
        <v>388</v>
      </c>
      <c r="E5" s="30">
        <f t="shared" si="0"/>
        <v>391.4</v>
      </c>
      <c r="F5" s="30">
        <f t="shared" si="0"/>
        <v>393</v>
      </c>
      <c r="G5" s="30">
        <f t="shared" si="0"/>
        <v>426</v>
      </c>
      <c r="H5" s="30">
        <f t="shared" si="0"/>
        <v>428</v>
      </c>
      <c r="I5" s="30">
        <f t="shared" si="0"/>
        <v>389</v>
      </c>
      <c r="J5" s="30">
        <f t="shared" si="0"/>
        <v>388</v>
      </c>
      <c r="K5" s="30">
        <f t="shared" si="0"/>
        <v>365</v>
      </c>
      <c r="L5" s="30">
        <f t="shared" si="0"/>
        <v>360.98</v>
      </c>
      <c r="M5" s="30">
        <f t="shared" si="0"/>
        <v>377.92</v>
      </c>
      <c r="N5" s="30">
        <f t="shared" si="0"/>
        <v>411.7</v>
      </c>
      <c r="O5" s="30">
        <f t="shared" si="0"/>
        <v>446.40000000000003</v>
      </c>
      <c r="P5" s="30">
        <f t="shared" si="0"/>
        <v>457.6</v>
      </c>
      <c r="Q5" s="30">
        <f t="shared" si="0"/>
        <v>472.3</v>
      </c>
      <c r="R5" s="30">
        <f t="shared" si="0"/>
        <v>474</v>
      </c>
      <c r="S5" s="30">
        <f t="shared" si="0"/>
        <v>466.7</v>
      </c>
      <c r="T5" s="30">
        <f t="shared" si="0"/>
        <v>487</v>
      </c>
      <c r="U5" s="30">
        <f t="shared" si="0"/>
        <v>470</v>
      </c>
      <c r="V5" s="30">
        <f t="shared" si="0"/>
        <v>483</v>
      </c>
      <c r="W5" s="30">
        <f t="shared" si="0"/>
        <v>481.20000000000005</v>
      </c>
      <c r="X5" s="30">
        <f t="shared" si="0"/>
        <v>414</v>
      </c>
      <c r="Y5" s="30">
        <f t="shared" si="0"/>
        <v>283.60000000000002</v>
      </c>
      <c r="Z5" s="30">
        <f t="shared" si="0"/>
        <v>245.89999999999998</v>
      </c>
      <c r="AA5" s="30">
        <f t="shared" si="0"/>
        <v>424.2</v>
      </c>
      <c r="AB5" s="30">
        <f t="shared" si="0"/>
        <v>454.59999999999997</v>
      </c>
      <c r="AC5" s="30">
        <f t="shared" si="0"/>
        <v>427.59999999999997</v>
      </c>
      <c r="AD5" s="30">
        <f t="shared" si="0"/>
        <v>443.90000000000003</v>
      </c>
      <c r="AE5" s="30">
        <f t="shared" si="0"/>
        <v>446.40000000000003</v>
      </c>
      <c r="AF5" s="30">
        <f>B78</f>
        <v>417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1545MW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Load=988</v>
      </c>
      <c r="B7" s="35">
        <f t="shared" ref="B7:AF7" si="1">B85</f>
        <v>1145.74</v>
      </c>
      <c r="C7" s="35">
        <f t="shared" si="1"/>
        <v>1012.24</v>
      </c>
      <c r="D7" s="35">
        <f t="shared" si="1"/>
        <v>987.74</v>
      </c>
      <c r="E7" s="35">
        <f t="shared" si="1"/>
        <v>1026.54</v>
      </c>
      <c r="F7" s="35">
        <f t="shared" si="1"/>
        <v>1030.1399999999999</v>
      </c>
      <c r="G7" s="35">
        <f t="shared" si="1"/>
        <v>1074.8400000000001</v>
      </c>
      <c r="H7" s="35">
        <f t="shared" si="1"/>
        <v>1174.94</v>
      </c>
      <c r="I7" s="35">
        <f t="shared" si="1"/>
        <v>1253.44</v>
      </c>
      <c r="J7" s="35">
        <f t="shared" si="1"/>
        <v>1368.14</v>
      </c>
      <c r="K7" s="35">
        <f t="shared" si="1"/>
        <v>1429.1399999999999</v>
      </c>
      <c r="L7" s="35">
        <f t="shared" si="1"/>
        <v>1530.94</v>
      </c>
      <c r="M7" s="35">
        <f t="shared" si="1"/>
        <v>1545.1200000000001</v>
      </c>
      <c r="N7" s="35">
        <f>N85</f>
        <v>1447.4600000000003</v>
      </c>
      <c r="O7" s="35">
        <f t="shared" si="1"/>
        <v>1382.94</v>
      </c>
      <c r="P7" s="35">
        <f t="shared" si="1"/>
        <v>1347.64</v>
      </c>
      <c r="Q7" s="35">
        <f t="shared" si="1"/>
        <v>1307.04</v>
      </c>
      <c r="R7" s="35">
        <f t="shared" si="1"/>
        <v>1303.24</v>
      </c>
      <c r="S7" s="35">
        <f t="shared" si="1"/>
        <v>1296.6399999999999</v>
      </c>
      <c r="T7" s="35">
        <f t="shared" si="1"/>
        <v>1316.74</v>
      </c>
      <c r="U7" s="35">
        <f t="shared" si="1"/>
        <v>1324.54</v>
      </c>
      <c r="V7" s="35">
        <f t="shared" si="1"/>
        <v>1261.94</v>
      </c>
      <c r="W7" s="35">
        <f t="shared" si="1"/>
        <v>1292.24</v>
      </c>
      <c r="X7" s="35">
        <f t="shared" si="1"/>
        <v>1533.7400000000002</v>
      </c>
      <c r="Y7" s="35">
        <f t="shared" si="1"/>
        <v>1604.74</v>
      </c>
      <c r="Z7" s="35">
        <f t="shared" si="1"/>
        <v>1569.94</v>
      </c>
      <c r="AA7" s="35">
        <f t="shared" si="1"/>
        <v>1508.54</v>
      </c>
      <c r="AB7" s="35">
        <f t="shared" si="1"/>
        <v>1528.04</v>
      </c>
      <c r="AC7" s="35">
        <f t="shared" si="1"/>
        <v>1403.84</v>
      </c>
      <c r="AD7" s="35">
        <f t="shared" si="1"/>
        <v>1312.4399999999998</v>
      </c>
      <c r="AE7" s="35">
        <f t="shared" si="1"/>
        <v>1179.74</v>
      </c>
      <c r="AF7" s="35">
        <f t="shared" si="1"/>
        <v>1087.6400000000001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16.7</v>
      </c>
      <c r="C11" s="45">
        <v>16.7</v>
      </c>
      <c r="D11" s="45">
        <v>18.100000000000001</v>
      </c>
      <c r="E11" s="45">
        <v>18.100000000000001</v>
      </c>
      <c r="F11" s="45">
        <v>18.100000000000001</v>
      </c>
      <c r="G11" s="45">
        <v>18.100000000000001</v>
      </c>
      <c r="H11" s="45">
        <v>18.100000000000001</v>
      </c>
      <c r="I11" s="45">
        <v>17.2</v>
      </c>
      <c r="J11" s="45">
        <v>17.2</v>
      </c>
      <c r="K11" s="45">
        <v>17.2</v>
      </c>
      <c r="L11" s="45">
        <v>19.100000000000001</v>
      </c>
      <c r="M11" s="45">
        <v>19.100000000000001</v>
      </c>
      <c r="N11" s="45">
        <v>19.100000000000001</v>
      </c>
      <c r="O11" s="45">
        <v>19.100000000000001</v>
      </c>
      <c r="P11" s="45">
        <v>19.100000000000001</v>
      </c>
      <c r="Q11" s="45">
        <v>19.100000000000001</v>
      </c>
      <c r="R11" s="45">
        <v>19.100000000000001</v>
      </c>
      <c r="S11" s="45">
        <v>19.100000000000001</v>
      </c>
      <c r="T11" s="45">
        <v>19.100000000000001</v>
      </c>
      <c r="U11" s="45">
        <v>19.100000000000001</v>
      </c>
      <c r="V11" s="45">
        <v>19.100000000000001</v>
      </c>
      <c r="W11" s="45">
        <v>19.100000000000001</v>
      </c>
      <c r="X11" s="45">
        <v>19.100000000000001</v>
      </c>
      <c r="Y11" s="45">
        <v>17</v>
      </c>
      <c r="Z11" s="45">
        <v>17</v>
      </c>
      <c r="AA11" s="45">
        <v>17</v>
      </c>
      <c r="AB11" s="45">
        <v>17</v>
      </c>
      <c r="AC11" s="45">
        <v>17</v>
      </c>
      <c r="AD11" s="45">
        <v>17.3</v>
      </c>
      <c r="AE11" s="45">
        <v>18</v>
      </c>
      <c r="AF11" s="45">
        <v>18</v>
      </c>
      <c r="AG11" s="46">
        <v>52.4</v>
      </c>
      <c r="AH11" s="47">
        <f t="shared" ref="AH11:AH74" si="2">MAX(B11:AF11)</f>
        <v>19.100000000000001</v>
      </c>
      <c r="AI11" s="48">
        <f t="shared" ref="AI11:AI74" si="3">MIN(B11:AF11)</f>
        <v>16.7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34.200000000000003</v>
      </c>
      <c r="C12" s="45">
        <v>34.200000000000003</v>
      </c>
      <c r="D12" s="45">
        <v>33.799999999999997</v>
      </c>
      <c r="E12" s="45">
        <v>33.799999999999997</v>
      </c>
      <c r="F12" s="45">
        <v>33.799999999999997</v>
      </c>
      <c r="G12" s="45">
        <v>33.799999999999997</v>
      </c>
      <c r="H12" s="45">
        <v>33.799999999999997</v>
      </c>
      <c r="I12" s="45">
        <v>34.200000000000003</v>
      </c>
      <c r="J12" s="45">
        <v>33.6</v>
      </c>
      <c r="K12" s="45">
        <v>33.6</v>
      </c>
      <c r="L12" s="45">
        <v>33.200000000000003</v>
      </c>
      <c r="M12" s="45">
        <v>33.200000000000003</v>
      </c>
      <c r="N12" s="45">
        <v>33.200000000000003</v>
      </c>
      <c r="O12" s="45">
        <v>33.200000000000003</v>
      </c>
      <c r="P12" s="45">
        <v>33.200000000000003</v>
      </c>
      <c r="Q12" s="45">
        <v>33.200000000000003</v>
      </c>
      <c r="R12" s="45">
        <v>33.200000000000003</v>
      </c>
      <c r="S12" s="45">
        <v>33.200000000000003</v>
      </c>
      <c r="T12" s="45">
        <v>33.200000000000003</v>
      </c>
      <c r="U12" s="45">
        <v>33.200000000000003</v>
      </c>
      <c r="V12" s="45">
        <v>33.200000000000003</v>
      </c>
      <c r="W12" s="45">
        <v>33.200000000000003</v>
      </c>
      <c r="X12" s="45">
        <v>33.200000000000003</v>
      </c>
      <c r="Y12" s="45">
        <v>33.799999999999997</v>
      </c>
      <c r="Z12" s="45">
        <v>33.799999999999997</v>
      </c>
      <c r="AA12" s="45">
        <v>33.799999999999997</v>
      </c>
      <c r="AB12" s="45">
        <v>33.799999999999997</v>
      </c>
      <c r="AC12" s="45">
        <v>33.799999999999997</v>
      </c>
      <c r="AD12" s="45">
        <v>32.299999999999997</v>
      </c>
      <c r="AE12" s="45">
        <v>32.4</v>
      </c>
      <c r="AF12" s="45">
        <v>32.9</v>
      </c>
      <c r="AG12" s="50">
        <v>50</v>
      </c>
      <c r="AH12" s="47">
        <f t="shared" si="2"/>
        <v>34.200000000000003</v>
      </c>
      <c r="AI12" s="48">
        <f t="shared" si="3"/>
        <v>32.299999999999997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20.7</v>
      </c>
      <c r="C13" s="45">
        <v>20.7</v>
      </c>
      <c r="D13" s="45">
        <v>19.7</v>
      </c>
      <c r="E13" s="45">
        <v>19.7</v>
      </c>
      <c r="F13" s="45">
        <v>19.7</v>
      </c>
      <c r="G13" s="45">
        <v>19.7</v>
      </c>
      <c r="H13" s="45">
        <v>19.7</v>
      </c>
      <c r="I13" s="45">
        <v>18.899999999999999</v>
      </c>
      <c r="J13" s="45">
        <v>18.600000000000001</v>
      </c>
      <c r="K13" s="45">
        <v>18.600000000000001</v>
      </c>
      <c r="L13" s="45">
        <v>18.600000000000001</v>
      </c>
      <c r="M13" s="45">
        <v>18.600000000000001</v>
      </c>
      <c r="N13" s="45">
        <v>18.600000000000001</v>
      </c>
      <c r="O13" s="45">
        <v>18.600000000000001</v>
      </c>
      <c r="P13" s="45">
        <v>18.600000000000001</v>
      </c>
      <c r="Q13" s="45">
        <v>18.600000000000001</v>
      </c>
      <c r="R13" s="45">
        <v>18.600000000000001</v>
      </c>
      <c r="S13" s="45">
        <v>18.600000000000001</v>
      </c>
      <c r="T13" s="45">
        <v>18.600000000000001</v>
      </c>
      <c r="U13" s="45">
        <v>18.600000000000001</v>
      </c>
      <c r="V13" s="45">
        <v>18.600000000000001</v>
      </c>
      <c r="W13" s="45">
        <v>18.600000000000001</v>
      </c>
      <c r="X13" s="45">
        <v>18.600000000000001</v>
      </c>
      <c r="Y13" s="45">
        <v>20</v>
      </c>
      <c r="Z13" s="45">
        <v>20</v>
      </c>
      <c r="AA13" s="45">
        <v>20</v>
      </c>
      <c r="AB13" s="45">
        <v>20</v>
      </c>
      <c r="AC13" s="45">
        <v>20</v>
      </c>
      <c r="AD13" s="45">
        <v>19.100000000000001</v>
      </c>
      <c r="AE13" s="45">
        <v>19.8</v>
      </c>
      <c r="AF13" s="45">
        <v>19.100000000000001</v>
      </c>
      <c r="AG13" s="50">
        <v>45</v>
      </c>
      <c r="AH13" s="47">
        <f t="shared" si="2"/>
        <v>20.7</v>
      </c>
      <c r="AI13" s="48">
        <f t="shared" si="3"/>
        <v>18.600000000000001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9.5</v>
      </c>
      <c r="C14" s="45">
        <v>9.5</v>
      </c>
      <c r="D14" s="45">
        <v>9.3000000000000007</v>
      </c>
      <c r="E14" s="45">
        <v>9.3000000000000007</v>
      </c>
      <c r="F14" s="45">
        <v>9.3000000000000007</v>
      </c>
      <c r="G14" s="45">
        <v>9.3000000000000007</v>
      </c>
      <c r="H14" s="45">
        <v>9.3000000000000007</v>
      </c>
      <c r="I14" s="45">
        <v>9.3000000000000007</v>
      </c>
      <c r="J14" s="45">
        <v>9.3000000000000007</v>
      </c>
      <c r="K14" s="45">
        <v>9.3000000000000007</v>
      </c>
      <c r="L14" s="45">
        <v>9.3000000000000007</v>
      </c>
      <c r="M14" s="45">
        <v>9.3000000000000007</v>
      </c>
      <c r="N14" s="45">
        <v>9.3000000000000007</v>
      </c>
      <c r="O14" s="45">
        <v>9.3000000000000007</v>
      </c>
      <c r="P14" s="45">
        <v>9.3000000000000007</v>
      </c>
      <c r="Q14" s="45">
        <v>9.3000000000000007</v>
      </c>
      <c r="R14" s="45">
        <v>9.3000000000000007</v>
      </c>
      <c r="S14" s="45">
        <v>9.3000000000000007</v>
      </c>
      <c r="T14" s="45">
        <v>9.3000000000000007</v>
      </c>
      <c r="U14" s="45">
        <v>9.3000000000000007</v>
      </c>
      <c r="V14" s="45">
        <v>9.3000000000000007</v>
      </c>
      <c r="W14" s="45">
        <v>9.3000000000000007</v>
      </c>
      <c r="X14" s="45">
        <v>9.3000000000000007</v>
      </c>
      <c r="Y14" s="45">
        <v>9.5</v>
      </c>
      <c r="Z14" s="45">
        <v>9.5</v>
      </c>
      <c r="AA14" s="45">
        <v>9.5</v>
      </c>
      <c r="AB14" s="45">
        <v>9.5</v>
      </c>
      <c r="AC14" s="45">
        <v>9.5</v>
      </c>
      <c r="AD14" s="45">
        <v>9</v>
      </c>
      <c r="AE14" s="45">
        <v>9</v>
      </c>
      <c r="AF14" s="45">
        <v>9</v>
      </c>
      <c r="AG14" s="50">
        <v>42</v>
      </c>
      <c r="AH14" s="47">
        <f t="shared" si="2"/>
        <v>9.5</v>
      </c>
      <c r="AI14" s="48">
        <f t="shared" si="3"/>
        <v>9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13</v>
      </c>
      <c r="C15" s="45">
        <v>13</v>
      </c>
      <c r="D15" s="45">
        <v>13</v>
      </c>
      <c r="E15" s="45">
        <v>13</v>
      </c>
      <c r="F15" s="45">
        <v>13</v>
      </c>
      <c r="G15" s="45">
        <v>13</v>
      </c>
      <c r="H15" s="45">
        <v>13</v>
      </c>
      <c r="I15" s="45">
        <v>13</v>
      </c>
      <c r="J15" s="45">
        <v>13</v>
      </c>
      <c r="K15" s="45">
        <v>13</v>
      </c>
      <c r="L15" s="45">
        <v>13</v>
      </c>
      <c r="M15" s="45">
        <v>13</v>
      </c>
      <c r="N15" s="45">
        <v>13</v>
      </c>
      <c r="O15" s="45">
        <v>13</v>
      </c>
      <c r="P15" s="45">
        <v>13</v>
      </c>
      <c r="Q15" s="45">
        <v>13</v>
      </c>
      <c r="R15" s="45">
        <v>13</v>
      </c>
      <c r="S15" s="45">
        <v>13</v>
      </c>
      <c r="T15" s="45">
        <v>13</v>
      </c>
      <c r="U15" s="45">
        <v>13</v>
      </c>
      <c r="V15" s="45">
        <v>13</v>
      </c>
      <c r="W15" s="45">
        <v>13</v>
      </c>
      <c r="X15" s="45">
        <v>13</v>
      </c>
      <c r="Y15" s="45">
        <v>13</v>
      </c>
      <c r="Z15" s="45">
        <v>13</v>
      </c>
      <c r="AA15" s="45">
        <v>13</v>
      </c>
      <c r="AB15" s="45">
        <v>13</v>
      </c>
      <c r="AC15" s="45">
        <v>13</v>
      </c>
      <c r="AD15" s="45">
        <v>13</v>
      </c>
      <c r="AE15" s="45">
        <v>13</v>
      </c>
      <c r="AF15" s="45">
        <v>13</v>
      </c>
      <c r="AG15" s="50">
        <v>36</v>
      </c>
      <c r="AH15" s="47">
        <f t="shared" si="2"/>
        <v>13</v>
      </c>
      <c r="AI15" s="48">
        <f t="shared" si="3"/>
        <v>13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8.4</v>
      </c>
      <c r="C16" s="45">
        <v>8.4</v>
      </c>
      <c r="D16" s="45">
        <v>8.4</v>
      </c>
      <c r="E16" s="45">
        <v>8.4</v>
      </c>
      <c r="F16" s="45">
        <v>8.4</v>
      </c>
      <c r="G16" s="45">
        <v>8.4</v>
      </c>
      <c r="H16" s="45">
        <v>8.4</v>
      </c>
      <c r="I16" s="45">
        <v>8.4</v>
      </c>
      <c r="J16" s="45">
        <v>8.4</v>
      </c>
      <c r="K16" s="45">
        <v>8.4</v>
      </c>
      <c r="L16" s="45">
        <v>8.4</v>
      </c>
      <c r="M16" s="45">
        <v>8.4</v>
      </c>
      <c r="N16" s="45">
        <v>8.4</v>
      </c>
      <c r="O16" s="45">
        <v>8.4</v>
      </c>
      <c r="P16" s="45">
        <v>8.4</v>
      </c>
      <c r="Q16" s="45">
        <v>8.4</v>
      </c>
      <c r="R16" s="45">
        <v>8.4</v>
      </c>
      <c r="S16" s="45">
        <v>8.4</v>
      </c>
      <c r="T16" s="45">
        <v>8.4</v>
      </c>
      <c r="U16" s="45">
        <v>8.4</v>
      </c>
      <c r="V16" s="45">
        <v>8.4</v>
      </c>
      <c r="W16" s="45">
        <v>8.4</v>
      </c>
      <c r="X16" s="45">
        <v>8.4</v>
      </c>
      <c r="Y16" s="45">
        <v>8.4</v>
      </c>
      <c r="Z16" s="45">
        <v>8.4</v>
      </c>
      <c r="AA16" s="45">
        <v>8.4</v>
      </c>
      <c r="AB16" s="45">
        <v>8.4</v>
      </c>
      <c r="AC16" s="45">
        <v>8.4</v>
      </c>
      <c r="AD16" s="45">
        <v>8.8000000000000007</v>
      </c>
      <c r="AE16" s="45">
        <v>8.9</v>
      </c>
      <c r="AF16" s="45">
        <v>8.5</v>
      </c>
      <c r="AG16" s="51">
        <v>30</v>
      </c>
      <c r="AH16" s="47">
        <f t="shared" si="2"/>
        <v>8.9</v>
      </c>
      <c r="AI16" s="48">
        <f t="shared" si="3"/>
        <v>8.4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7.6</v>
      </c>
      <c r="C17" s="45">
        <v>7.6</v>
      </c>
      <c r="D17" s="45">
        <v>7.6</v>
      </c>
      <c r="E17" s="45">
        <v>7.6</v>
      </c>
      <c r="F17" s="45">
        <v>7.6</v>
      </c>
      <c r="G17" s="45">
        <v>7.6</v>
      </c>
      <c r="H17" s="45">
        <v>7.6</v>
      </c>
      <c r="I17" s="45">
        <v>7.6</v>
      </c>
      <c r="J17" s="45">
        <v>7.6</v>
      </c>
      <c r="K17" s="45">
        <v>7.6</v>
      </c>
      <c r="L17" s="45">
        <v>7.6</v>
      </c>
      <c r="M17" s="45">
        <v>7.6</v>
      </c>
      <c r="N17" s="45">
        <v>7.6</v>
      </c>
      <c r="O17" s="45">
        <v>7.6</v>
      </c>
      <c r="P17" s="45">
        <v>7.6</v>
      </c>
      <c r="Q17" s="45">
        <v>7.6</v>
      </c>
      <c r="R17" s="45">
        <v>7.6</v>
      </c>
      <c r="S17" s="45">
        <v>7.6</v>
      </c>
      <c r="T17" s="45">
        <v>7.6</v>
      </c>
      <c r="U17" s="45">
        <v>7.6</v>
      </c>
      <c r="V17" s="45">
        <v>7.6</v>
      </c>
      <c r="W17" s="45">
        <v>7.6</v>
      </c>
      <c r="X17" s="45">
        <v>7.6</v>
      </c>
      <c r="Y17" s="45">
        <v>7.6</v>
      </c>
      <c r="Z17" s="45">
        <v>7.6</v>
      </c>
      <c r="AA17" s="45">
        <v>7.6</v>
      </c>
      <c r="AB17" s="45">
        <v>7.6</v>
      </c>
      <c r="AC17" s="45">
        <v>7.6</v>
      </c>
      <c r="AD17" s="45">
        <v>7.2</v>
      </c>
      <c r="AE17" s="45">
        <v>7.2</v>
      </c>
      <c r="AF17" s="45">
        <v>7.2</v>
      </c>
      <c r="AG17" s="50">
        <v>24.2</v>
      </c>
      <c r="AH17" s="47">
        <f t="shared" si="2"/>
        <v>7.6</v>
      </c>
      <c r="AI17" s="48">
        <f t="shared" si="3"/>
        <v>7.2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50">
        <v>28</v>
      </c>
      <c r="AH18" s="47">
        <f t="shared" si="2"/>
        <v>8</v>
      </c>
      <c r="AI18" s="48">
        <f t="shared" si="3"/>
        <v>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9.4</v>
      </c>
      <c r="C20" s="45">
        <v>9.4</v>
      </c>
      <c r="D20" s="45">
        <v>9.4</v>
      </c>
      <c r="E20" s="45">
        <v>9.4</v>
      </c>
      <c r="F20" s="45">
        <v>9.4</v>
      </c>
      <c r="G20" s="45">
        <v>9.4</v>
      </c>
      <c r="H20" s="45">
        <v>9.4</v>
      </c>
      <c r="I20" s="45">
        <v>9.4</v>
      </c>
      <c r="J20" s="45">
        <v>9.4</v>
      </c>
      <c r="K20" s="45">
        <v>9.4</v>
      </c>
      <c r="L20" s="45">
        <v>9.4</v>
      </c>
      <c r="M20" s="45">
        <v>9.4</v>
      </c>
      <c r="N20" s="45">
        <v>9.4</v>
      </c>
      <c r="O20" s="45">
        <v>9.4</v>
      </c>
      <c r="P20" s="45">
        <v>9.4</v>
      </c>
      <c r="Q20" s="45">
        <v>9.4</v>
      </c>
      <c r="R20" s="45">
        <v>9.4</v>
      </c>
      <c r="S20" s="45">
        <v>9.4</v>
      </c>
      <c r="T20" s="45">
        <v>9.4</v>
      </c>
      <c r="U20" s="45">
        <v>9.4</v>
      </c>
      <c r="V20" s="45">
        <v>9.4</v>
      </c>
      <c r="W20" s="45">
        <v>9.4</v>
      </c>
      <c r="X20" s="45">
        <v>9.4</v>
      </c>
      <c r="Y20" s="45">
        <v>9.4</v>
      </c>
      <c r="Z20" s="45">
        <v>9.4</v>
      </c>
      <c r="AA20" s="45">
        <v>9.4</v>
      </c>
      <c r="AB20" s="45">
        <v>9.4</v>
      </c>
      <c r="AC20" s="45">
        <v>9.4</v>
      </c>
      <c r="AD20" s="45">
        <v>9.4</v>
      </c>
      <c r="AE20" s="45">
        <v>9.4</v>
      </c>
      <c r="AF20" s="45">
        <v>9.4</v>
      </c>
      <c r="AG20" s="50">
        <v>25</v>
      </c>
      <c r="AH20" s="47">
        <f t="shared" si="2"/>
        <v>9.4</v>
      </c>
      <c r="AI20" s="48">
        <f t="shared" si="3"/>
        <v>9.4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0">
        <v>25</v>
      </c>
      <c r="AH22" s="47">
        <f t="shared" si="2"/>
        <v>11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7.5</v>
      </c>
      <c r="C24" s="45">
        <v>7.5</v>
      </c>
      <c r="D24" s="45">
        <v>7.5</v>
      </c>
      <c r="E24" s="45">
        <v>7.5</v>
      </c>
      <c r="F24" s="45">
        <v>7.5</v>
      </c>
      <c r="G24" s="45">
        <v>7.5</v>
      </c>
      <c r="H24" s="45">
        <v>7.5</v>
      </c>
      <c r="I24" s="45">
        <v>7.5</v>
      </c>
      <c r="J24" s="45">
        <v>7.5</v>
      </c>
      <c r="K24" s="45">
        <v>7.5</v>
      </c>
      <c r="L24" s="45">
        <v>7.5</v>
      </c>
      <c r="M24" s="45">
        <v>7.5</v>
      </c>
      <c r="N24" s="45">
        <v>7.5</v>
      </c>
      <c r="O24" s="45">
        <v>7.5</v>
      </c>
      <c r="P24" s="45">
        <v>7.5</v>
      </c>
      <c r="Q24" s="45">
        <v>7.5</v>
      </c>
      <c r="R24" s="45">
        <v>7.5</v>
      </c>
      <c r="S24" s="45">
        <v>7.5</v>
      </c>
      <c r="T24" s="45">
        <v>7.5</v>
      </c>
      <c r="U24" s="45">
        <v>7.5</v>
      </c>
      <c r="V24" s="45">
        <v>7.5</v>
      </c>
      <c r="W24" s="45">
        <v>7.5</v>
      </c>
      <c r="X24" s="45">
        <v>7.5</v>
      </c>
      <c r="Y24" s="45">
        <v>7.5</v>
      </c>
      <c r="Z24" s="45">
        <v>7.5</v>
      </c>
      <c r="AA24" s="45">
        <v>7.5</v>
      </c>
      <c r="AB24" s="45">
        <v>7.5</v>
      </c>
      <c r="AC24" s="45">
        <v>7.5</v>
      </c>
      <c r="AD24" s="45">
        <v>7.9</v>
      </c>
      <c r="AE24" s="45">
        <v>8.1999999999999993</v>
      </c>
      <c r="AF24" s="45">
        <v>8.1999999999999993</v>
      </c>
      <c r="AG24" s="50">
        <v>23.5</v>
      </c>
      <c r="AH24" s="47">
        <f t="shared" si="2"/>
        <v>8.1999999999999993</v>
      </c>
      <c r="AI24" s="48">
        <f t="shared" si="3"/>
        <v>7.5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9.4</v>
      </c>
      <c r="C28" s="45">
        <v>9.4</v>
      </c>
      <c r="D28" s="45">
        <v>9.4</v>
      </c>
      <c r="E28" s="45">
        <v>9.4</v>
      </c>
      <c r="F28" s="45">
        <v>9.4</v>
      </c>
      <c r="G28" s="45">
        <v>9.4</v>
      </c>
      <c r="H28" s="45">
        <v>9.4</v>
      </c>
      <c r="I28" s="45">
        <v>9.4</v>
      </c>
      <c r="J28" s="45">
        <v>9.4</v>
      </c>
      <c r="K28" s="45">
        <v>9.4</v>
      </c>
      <c r="L28" s="45">
        <v>9.4</v>
      </c>
      <c r="M28" s="45">
        <v>9.4</v>
      </c>
      <c r="N28" s="45">
        <v>9.4</v>
      </c>
      <c r="O28" s="45">
        <v>9.4</v>
      </c>
      <c r="P28" s="45">
        <v>9.4</v>
      </c>
      <c r="Q28" s="45">
        <v>9.4</v>
      </c>
      <c r="R28" s="45">
        <v>9.4</v>
      </c>
      <c r="S28" s="45">
        <v>9.4</v>
      </c>
      <c r="T28" s="45">
        <v>9.4</v>
      </c>
      <c r="U28" s="45">
        <v>9.4</v>
      </c>
      <c r="V28" s="45">
        <v>9.4</v>
      </c>
      <c r="W28" s="45">
        <v>9.4</v>
      </c>
      <c r="X28" s="45">
        <v>9.4</v>
      </c>
      <c r="Y28" s="45">
        <v>9.4</v>
      </c>
      <c r="Z28" s="45">
        <v>9.4</v>
      </c>
      <c r="AA28" s="45">
        <v>9.4</v>
      </c>
      <c r="AB28" s="45">
        <v>9.4</v>
      </c>
      <c r="AC28" s="45">
        <v>9.4</v>
      </c>
      <c r="AD28" s="45">
        <v>9.4</v>
      </c>
      <c r="AE28" s="45">
        <v>9.4</v>
      </c>
      <c r="AF28" s="45">
        <v>9.4</v>
      </c>
      <c r="AG28" s="50">
        <v>22</v>
      </c>
      <c r="AH28" s="47">
        <f t="shared" si="2"/>
        <v>9.4</v>
      </c>
      <c r="AI28" s="48">
        <f t="shared" si="3"/>
        <v>9.4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>
        <v>10</v>
      </c>
      <c r="L35" s="45">
        <v>10</v>
      </c>
      <c r="M35" s="45">
        <v>10</v>
      </c>
      <c r="N35" s="45">
        <v>10</v>
      </c>
      <c r="O35" s="45">
        <v>10</v>
      </c>
      <c r="P35" s="45">
        <v>10</v>
      </c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45">
        <v>10</v>
      </c>
      <c r="Z35" s="45">
        <v>10</v>
      </c>
      <c r="AA35" s="45">
        <v>10</v>
      </c>
      <c r="AB35" s="45">
        <v>10</v>
      </c>
      <c r="AC35" s="45">
        <v>10</v>
      </c>
      <c r="AD35" s="45">
        <v>10</v>
      </c>
      <c r="AE35" s="45">
        <v>10</v>
      </c>
      <c r="AF35" s="45">
        <v>10</v>
      </c>
      <c r="AG35" s="50">
        <v>12</v>
      </c>
      <c r="AH35" s="47">
        <f t="shared" si="2"/>
        <v>10</v>
      </c>
      <c r="AI35" s="48">
        <f t="shared" si="3"/>
        <v>10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0</v>
      </c>
      <c r="C38" s="45">
        <v>0</v>
      </c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0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1</v>
      </c>
      <c r="N41" s="45">
        <v>1</v>
      </c>
      <c r="O41" s="45">
        <v>1</v>
      </c>
      <c r="P41" s="45">
        <v>1</v>
      </c>
      <c r="Q41" s="45">
        <v>1</v>
      </c>
      <c r="R41" s="45">
        <v>1</v>
      </c>
      <c r="S41" s="45">
        <v>1</v>
      </c>
      <c r="T41" s="45">
        <v>1</v>
      </c>
      <c r="U41" s="45">
        <v>1</v>
      </c>
      <c r="V41" s="45">
        <v>1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1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120</v>
      </c>
      <c r="C42" s="56">
        <v>120</v>
      </c>
      <c r="D42" s="56">
        <v>120</v>
      </c>
      <c r="E42" s="56">
        <v>120</v>
      </c>
      <c r="F42" s="56">
        <v>120</v>
      </c>
      <c r="G42" s="56">
        <v>120</v>
      </c>
      <c r="H42" s="56">
        <v>120</v>
      </c>
      <c r="I42" s="56">
        <v>120</v>
      </c>
      <c r="J42" s="56">
        <v>120</v>
      </c>
      <c r="K42" s="56">
        <v>120</v>
      </c>
      <c r="L42" s="56">
        <v>120</v>
      </c>
      <c r="M42" s="56">
        <v>120</v>
      </c>
      <c r="N42" s="56">
        <v>120</v>
      </c>
      <c r="O42" s="56">
        <v>120</v>
      </c>
      <c r="P42" s="56">
        <v>120</v>
      </c>
      <c r="Q42" s="56">
        <v>120</v>
      </c>
      <c r="R42" s="56">
        <v>120</v>
      </c>
      <c r="S42" s="56">
        <v>120</v>
      </c>
      <c r="T42" s="56">
        <v>120</v>
      </c>
      <c r="U42" s="56">
        <v>120</v>
      </c>
      <c r="V42" s="56">
        <v>120</v>
      </c>
      <c r="W42" s="56">
        <v>120</v>
      </c>
      <c r="X42" s="56">
        <v>120</v>
      </c>
      <c r="Y42" s="56">
        <v>120</v>
      </c>
      <c r="Z42" s="56">
        <v>120</v>
      </c>
      <c r="AA42" s="56">
        <v>120</v>
      </c>
      <c r="AB42" s="56">
        <v>120</v>
      </c>
      <c r="AC42" s="56">
        <v>120</v>
      </c>
      <c r="AD42" s="56">
        <v>120</v>
      </c>
      <c r="AE42" s="56">
        <v>120</v>
      </c>
      <c r="AF42" s="56">
        <v>120</v>
      </c>
      <c r="AG42" s="54">
        <v>85</v>
      </c>
      <c r="AH42" s="47">
        <f t="shared" si="2"/>
        <v>120</v>
      </c>
      <c r="AI42" s="48">
        <f t="shared" si="3"/>
        <v>120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v>403.1</v>
      </c>
      <c r="C44" s="60">
        <f t="shared" ref="C44:AG44" si="4">SUM(C11:C42)</f>
        <v>397.90000000000003</v>
      </c>
      <c r="D44" s="60">
        <f t="shared" si="4"/>
        <v>397.7</v>
      </c>
      <c r="E44" s="60">
        <f t="shared" si="4"/>
        <v>397.7</v>
      </c>
      <c r="F44" s="60">
        <f t="shared" si="4"/>
        <v>397.7</v>
      </c>
      <c r="G44" s="60">
        <f t="shared" si="4"/>
        <v>397.7</v>
      </c>
      <c r="H44" s="60">
        <f t="shared" si="4"/>
        <v>397.7</v>
      </c>
      <c r="I44" s="60">
        <f t="shared" si="4"/>
        <v>396.40000000000003</v>
      </c>
      <c r="J44" s="60">
        <f t="shared" si="4"/>
        <v>395.5</v>
      </c>
      <c r="K44" s="60">
        <f t="shared" si="4"/>
        <v>395.5</v>
      </c>
      <c r="L44" s="60">
        <f t="shared" si="4"/>
        <v>397</v>
      </c>
      <c r="M44" s="60">
        <f t="shared" si="4"/>
        <v>398</v>
      </c>
      <c r="N44" s="60">
        <f t="shared" si="4"/>
        <v>398</v>
      </c>
      <c r="O44" s="60">
        <f t="shared" si="4"/>
        <v>398</v>
      </c>
      <c r="P44" s="60">
        <f t="shared" si="4"/>
        <v>398</v>
      </c>
      <c r="Q44" s="60">
        <f t="shared" si="4"/>
        <v>398</v>
      </c>
      <c r="R44" s="60">
        <f t="shared" si="4"/>
        <v>398</v>
      </c>
      <c r="S44" s="60">
        <f t="shared" si="4"/>
        <v>398</v>
      </c>
      <c r="T44" s="60">
        <f t="shared" si="4"/>
        <v>398</v>
      </c>
      <c r="U44" s="60">
        <f t="shared" si="4"/>
        <v>398</v>
      </c>
      <c r="V44" s="60">
        <f t="shared" si="4"/>
        <v>398</v>
      </c>
      <c r="W44" s="60">
        <f t="shared" si="4"/>
        <v>397</v>
      </c>
      <c r="X44" s="60">
        <f t="shared" si="4"/>
        <v>397</v>
      </c>
      <c r="Y44" s="60">
        <f t="shared" si="4"/>
        <v>402.3</v>
      </c>
      <c r="Z44" s="60">
        <f t="shared" si="4"/>
        <v>402.3</v>
      </c>
      <c r="AA44" s="60">
        <f t="shared" si="4"/>
        <v>402.3</v>
      </c>
      <c r="AB44" s="60">
        <f t="shared" si="4"/>
        <v>402.3</v>
      </c>
      <c r="AC44" s="60">
        <f t="shared" ref="AC44:AD44" si="5">SUM(AC11:AC42)</f>
        <v>402.3</v>
      </c>
      <c r="AD44" s="60">
        <f t="shared" si="5"/>
        <v>400.09999999999997</v>
      </c>
      <c r="AE44" s="60">
        <f t="shared" ref="AE44:AF44" si="6">SUM(AE11:AE42)</f>
        <v>402</v>
      </c>
      <c r="AF44" s="60">
        <f t="shared" si="6"/>
        <v>401.4</v>
      </c>
      <c r="AG44" s="61">
        <f t="shared" si="4"/>
        <v>814.78000000000009</v>
      </c>
      <c r="AH44" s="47">
        <f t="shared" si="2"/>
        <v>403.1</v>
      </c>
      <c r="AI44" s="48">
        <f t="shared" si="3"/>
        <v>395.5</v>
      </c>
      <c r="AK44" s="49"/>
    </row>
    <row r="45" spans="1:88" x14ac:dyDescent="0.25">
      <c r="A45" s="62" t="s">
        <v>53</v>
      </c>
      <c r="B45" s="45">
        <v>50</v>
      </c>
      <c r="C45" s="45">
        <v>50</v>
      </c>
      <c r="D45" s="45">
        <v>50</v>
      </c>
      <c r="E45" s="45">
        <v>76</v>
      </c>
      <c r="F45" s="45">
        <v>76</v>
      </c>
      <c r="G45" s="45">
        <v>76</v>
      </c>
      <c r="H45" s="45">
        <v>80</v>
      </c>
      <c r="I45" s="45">
        <v>100</v>
      </c>
      <c r="J45" s="45">
        <v>140</v>
      </c>
      <c r="K45" s="45">
        <v>120</v>
      </c>
      <c r="L45" s="45">
        <v>185</v>
      </c>
      <c r="M45" s="63">
        <v>190</v>
      </c>
      <c r="N45" s="63">
        <v>190</v>
      </c>
      <c r="O45" s="45">
        <v>120</v>
      </c>
      <c r="P45" s="45">
        <v>140</v>
      </c>
      <c r="Q45" s="45">
        <v>90</v>
      </c>
      <c r="R45" s="45">
        <v>70</v>
      </c>
      <c r="S45" s="45">
        <v>50</v>
      </c>
      <c r="T45" s="45">
        <v>60</v>
      </c>
      <c r="U45" s="45">
        <v>60</v>
      </c>
      <c r="V45" s="45">
        <v>80</v>
      </c>
      <c r="W45" s="45">
        <v>70</v>
      </c>
      <c r="X45" s="45">
        <v>120</v>
      </c>
      <c r="Y45" s="45">
        <v>180</v>
      </c>
      <c r="Z45" s="45">
        <v>260</v>
      </c>
      <c r="AA45" s="45">
        <v>260</v>
      </c>
      <c r="AB45" s="45">
        <v>160</v>
      </c>
      <c r="AC45" s="45">
        <v>110</v>
      </c>
      <c r="AD45" s="45">
        <v>85</v>
      </c>
      <c r="AE45" s="45">
        <v>85</v>
      </c>
      <c r="AF45" s="45">
        <v>40</v>
      </c>
      <c r="AG45" s="51">
        <v>456</v>
      </c>
      <c r="AH45" s="47">
        <f t="shared" si="2"/>
        <v>260</v>
      </c>
      <c r="AI45" s="48">
        <f t="shared" si="3"/>
        <v>40</v>
      </c>
      <c r="AK45" s="49"/>
    </row>
    <row r="46" spans="1:88" x14ac:dyDescent="0.25">
      <c r="A46" s="64" t="s">
        <v>54</v>
      </c>
      <c r="B46" s="65">
        <v>35</v>
      </c>
      <c r="C46" s="65">
        <v>35</v>
      </c>
      <c r="D46" s="65">
        <v>35</v>
      </c>
      <c r="E46" s="65">
        <v>35</v>
      </c>
      <c r="F46" s="65">
        <v>35</v>
      </c>
      <c r="G46" s="65">
        <v>35</v>
      </c>
      <c r="H46" s="65">
        <v>35</v>
      </c>
      <c r="I46" s="65">
        <v>35</v>
      </c>
      <c r="J46" s="65">
        <v>35</v>
      </c>
      <c r="K46" s="65">
        <v>35</v>
      </c>
      <c r="L46" s="65">
        <v>35</v>
      </c>
      <c r="M46" s="65">
        <v>35</v>
      </c>
      <c r="N46" s="65">
        <v>35</v>
      </c>
      <c r="O46" s="65">
        <v>35</v>
      </c>
      <c r="P46" s="65">
        <v>35</v>
      </c>
      <c r="Q46" s="65">
        <v>35</v>
      </c>
      <c r="R46" s="65">
        <v>35</v>
      </c>
      <c r="S46" s="65">
        <v>35</v>
      </c>
      <c r="T46" s="65">
        <v>35</v>
      </c>
      <c r="U46" s="65">
        <v>35</v>
      </c>
      <c r="V46" s="65">
        <v>35</v>
      </c>
      <c r="W46" s="65">
        <v>35</v>
      </c>
      <c r="X46" s="65">
        <v>35</v>
      </c>
      <c r="Y46" s="65">
        <v>35</v>
      </c>
      <c r="Z46" s="65">
        <v>35</v>
      </c>
      <c r="AA46" s="65">
        <v>35</v>
      </c>
      <c r="AB46" s="65">
        <v>35</v>
      </c>
      <c r="AC46" s="65">
        <v>35</v>
      </c>
      <c r="AD46" s="65">
        <v>35</v>
      </c>
      <c r="AE46" s="65">
        <v>35</v>
      </c>
      <c r="AF46" s="65">
        <v>35</v>
      </c>
      <c r="AG46" s="54">
        <v>60</v>
      </c>
      <c r="AH46" s="47">
        <f t="shared" si="2"/>
        <v>35</v>
      </c>
      <c r="AI46" s="48">
        <f t="shared" si="3"/>
        <v>35</v>
      </c>
      <c r="AK46" s="49"/>
    </row>
    <row r="47" spans="1:88" ht="15.75" thickBot="1" x14ac:dyDescent="0.3">
      <c r="A47" s="66" t="s">
        <v>55</v>
      </c>
      <c r="B47" s="67">
        <v>10.7</v>
      </c>
      <c r="C47" s="67">
        <v>10.7</v>
      </c>
      <c r="D47" s="67">
        <v>10.7</v>
      </c>
      <c r="E47" s="67">
        <v>10.8</v>
      </c>
      <c r="F47" s="67">
        <v>10.8</v>
      </c>
      <c r="G47" s="67">
        <v>10.8</v>
      </c>
      <c r="H47" s="67">
        <v>10.7</v>
      </c>
      <c r="I47" s="67">
        <v>10.6</v>
      </c>
      <c r="J47" s="67">
        <v>10.7</v>
      </c>
      <c r="K47" s="67">
        <v>10.3</v>
      </c>
      <c r="L47" s="67">
        <v>10.7</v>
      </c>
      <c r="M47" s="67">
        <v>10.7</v>
      </c>
      <c r="N47" s="67">
        <v>10.7</v>
      </c>
      <c r="O47" s="67">
        <v>10.7</v>
      </c>
      <c r="P47" s="67">
        <v>10.7</v>
      </c>
      <c r="Q47" s="67">
        <v>10.7</v>
      </c>
      <c r="R47" s="67">
        <v>10.7</v>
      </c>
      <c r="S47" s="67">
        <v>10.7</v>
      </c>
      <c r="T47" s="67">
        <v>10.7</v>
      </c>
      <c r="U47" s="67">
        <v>10.7</v>
      </c>
      <c r="V47" s="67">
        <v>10.7</v>
      </c>
      <c r="W47" s="67">
        <v>10.7</v>
      </c>
      <c r="X47" s="67">
        <v>10.7</v>
      </c>
      <c r="Y47" s="67">
        <v>18</v>
      </c>
      <c r="Z47" s="67">
        <v>18</v>
      </c>
      <c r="AA47" s="67">
        <v>18</v>
      </c>
      <c r="AB47" s="67">
        <v>11</v>
      </c>
      <c r="AC47" s="67">
        <v>11</v>
      </c>
      <c r="AD47" s="67">
        <v>10.6</v>
      </c>
      <c r="AE47" s="67">
        <v>10.6</v>
      </c>
      <c r="AF47" s="67">
        <v>10.6</v>
      </c>
      <c r="AG47" s="68">
        <v>22.1</v>
      </c>
      <c r="AH47" s="47">
        <f t="shared" si="2"/>
        <v>18</v>
      </c>
      <c r="AI47" s="48">
        <f t="shared" si="3"/>
        <v>10.3</v>
      </c>
      <c r="AK47" s="49"/>
    </row>
    <row r="48" spans="1:88" ht="15.75" thickBot="1" x14ac:dyDescent="0.3">
      <c r="A48" s="69" t="s">
        <v>56</v>
      </c>
      <c r="B48" s="60">
        <v>128</v>
      </c>
      <c r="C48" s="60">
        <f t="shared" ref="C48:AG48" si="7">SUM(C45:C47)</f>
        <v>95.7</v>
      </c>
      <c r="D48" s="60">
        <f t="shared" si="7"/>
        <v>95.7</v>
      </c>
      <c r="E48" s="60">
        <f t="shared" si="7"/>
        <v>121.8</v>
      </c>
      <c r="F48" s="60">
        <f t="shared" si="7"/>
        <v>121.8</v>
      </c>
      <c r="G48" s="60">
        <f t="shared" si="7"/>
        <v>121.8</v>
      </c>
      <c r="H48" s="60">
        <f t="shared" si="7"/>
        <v>125.7</v>
      </c>
      <c r="I48" s="60">
        <f t="shared" si="7"/>
        <v>145.6</v>
      </c>
      <c r="J48" s="60">
        <f t="shared" si="7"/>
        <v>185.7</v>
      </c>
      <c r="K48" s="60">
        <f t="shared" si="7"/>
        <v>165.3</v>
      </c>
      <c r="L48" s="60">
        <f t="shared" si="7"/>
        <v>230.7</v>
      </c>
      <c r="M48" s="60">
        <f t="shared" si="7"/>
        <v>235.7</v>
      </c>
      <c r="N48" s="60">
        <f t="shared" si="7"/>
        <v>235.7</v>
      </c>
      <c r="O48" s="60">
        <f t="shared" si="7"/>
        <v>165.7</v>
      </c>
      <c r="P48" s="60">
        <f t="shared" si="7"/>
        <v>185.7</v>
      </c>
      <c r="Q48" s="60">
        <f t="shared" si="7"/>
        <v>135.69999999999999</v>
      </c>
      <c r="R48" s="60">
        <f t="shared" si="7"/>
        <v>115.7</v>
      </c>
      <c r="S48" s="60">
        <f t="shared" si="7"/>
        <v>95.7</v>
      </c>
      <c r="T48" s="60">
        <f t="shared" si="7"/>
        <v>105.7</v>
      </c>
      <c r="U48" s="60">
        <f t="shared" si="7"/>
        <v>105.7</v>
      </c>
      <c r="V48" s="60">
        <f t="shared" si="7"/>
        <v>125.7</v>
      </c>
      <c r="W48" s="60">
        <f t="shared" si="7"/>
        <v>115.7</v>
      </c>
      <c r="X48" s="60">
        <f t="shared" si="7"/>
        <v>165.7</v>
      </c>
      <c r="Y48" s="60">
        <f t="shared" si="7"/>
        <v>233</v>
      </c>
      <c r="Z48" s="60">
        <f t="shared" si="7"/>
        <v>313</v>
      </c>
      <c r="AA48" s="60">
        <f t="shared" si="7"/>
        <v>313</v>
      </c>
      <c r="AB48" s="60">
        <f t="shared" si="7"/>
        <v>206</v>
      </c>
      <c r="AC48" s="60">
        <f t="shared" ref="AC48:AD48" si="8">SUM(AC45:AC47)</f>
        <v>156</v>
      </c>
      <c r="AD48" s="60">
        <f t="shared" si="8"/>
        <v>130.6</v>
      </c>
      <c r="AE48" s="60">
        <f t="shared" si="7"/>
        <v>130.6</v>
      </c>
      <c r="AF48" s="60">
        <f t="shared" ref="AF48" si="9">SUM(AF45:AF47)</f>
        <v>85.6</v>
      </c>
      <c r="AG48" s="61">
        <f t="shared" si="7"/>
        <v>538.1</v>
      </c>
      <c r="AH48" s="47">
        <f t="shared" si="2"/>
        <v>313</v>
      </c>
      <c r="AI48" s="48">
        <f t="shared" si="3"/>
        <v>85.6</v>
      </c>
      <c r="AK48" s="49"/>
    </row>
    <row r="49" spans="1:41" x14ac:dyDescent="0.25">
      <c r="A49" s="44" t="s">
        <v>57</v>
      </c>
      <c r="B49" s="45">
        <v>40</v>
      </c>
      <c r="C49" s="45">
        <v>32</v>
      </c>
      <c r="D49" s="45">
        <v>0</v>
      </c>
      <c r="E49" s="45">
        <v>0</v>
      </c>
      <c r="F49" s="45">
        <v>0</v>
      </c>
      <c r="G49" s="45">
        <v>0</v>
      </c>
      <c r="H49" s="45">
        <v>45.5</v>
      </c>
      <c r="I49" s="45">
        <v>60</v>
      </c>
      <c r="J49" s="45">
        <v>142</v>
      </c>
      <c r="K49" s="45">
        <v>132.30000000000001</v>
      </c>
      <c r="L49" s="45">
        <v>132.19999999999999</v>
      </c>
      <c r="M49" s="45">
        <v>132.19999999999999</v>
      </c>
      <c r="N49" s="45">
        <v>61.4</v>
      </c>
      <c r="O49" s="45">
        <v>61.3</v>
      </c>
      <c r="P49" s="45">
        <v>61.3</v>
      </c>
      <c r="Q49" s="45">
        <v>71.8</v>
      </c>
      <c r="R49" s="45">
        <v>59.2</v>
      </c>
      <c r="S49" s="45">
        <v>59.2</v>
      </c>
      <c r="T49" s="45">
        <v>71.400000000000006</v>
      </c>
      <c r="U49" s="45">
        <v>71.400000000000006</v>
      </c>
      <c r="V49" s="45">
        <v>30.8</v>
      </c>
      <c r="W49" s="45">
        <v>47</v>
      </c>
      <c r="X49" s="45">
        <v>80</v>
      </c>
      <c r="Y49" s="45">
        <v>104</v>
      </c>
      <c r="Z49" s="45">
        <v>114</v>
      </c>
      <c r="AA49" s="45">
        <v>114</v>
      </c>
      <c r="AB49" s="45">
        <v>105</v>
      </c>
      <c r="AC49" s="45">
        <v>61.4</v>
      </c>
      <c r="AD49" s="45">
        <v>61.1</v>
      </c>
      <c r="AE49" s="45">
        <v>35.299999999999997</v>
      </c>
      <c r="AF49" s="45">
        <v>0</v>
      </c>
      <c r="AG49" s="51">
        <v>144</v>
      </c>
      <c r="AH49" s="47">
        <f t="shared" si="2"/>
        <v>142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25.7</v>
      </c>
      <c r="I50" s="65">
        <v>34</v>
      </c>
      <c r="J50" s="65">
        <v>69.3</v>
      </c>
      <c r="K50" s="65">
        <v>60</v>
      </c>
      <c r="L50" s="65">
        <v>60.1</v>
      </c>
      <c r="M50" s="65">
        <v>60.1</v>
      </c>
      <c r="N50" s="65">
        <v>52</v>
      </c>
      <c r="O50" s="65">
        <v>46.3</v>
      </c>
      <c r="P50" s="65">
        <v>46.3</v>
      </c>
      <c r="Q50" s="65">
        <v>32.6</v>
      </c>
      <c r="R50" s="45">
        <v>36.5</v>
      </c>
      <c r="S50" s="45">
        <v>36</v>
      </c>
      <c r="T50" s="45">
        <v>36</v>
      </c>
      <c r="U50" s="45">
        <v>36</v>
      </c>
      <c r="V50" s="45">
        <v>22.2</v>
      </c>
      <c r="W50" s="45">
        <v>35</v>
      </c>
      <c r="X50" s="45">
        <v>36.5</v>
      </c>
      <c r="Y50" s="45">
        <v>36.5</v>
      </c>
      <c r="Z50" s="45">
        <v>36.5</v>
      </c>
      <c r="AA50" s="45">
        <v>36.5</v>
      </c>
      <c r="AB50" s="45">
        <v>36.5</v>
      </c>
      <c r="AC50" s="45">
        <v>35.700000000000003</v>
      </c>
      <c r="AD50" s="45">
        <v>34.799999999999997</v>
      </c>
      <c r="AE50" s="65">
        <v>35.4</v>
      </c>
      <c r="AF50" s="65">
        <v>36.200000000000003</v>
      </c>
      <c r="AG50" s="54">
        <v>70</v>
      </c>
      <c r="AH50" s="47">
        <f t="shared" si="2"/>
        <v>69.3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32</v>
      </c>
      <c r="C51" s="65">
        <v>32</v>
      </c>
      <c r="D51" s="65">
        <v>20</v>
      </c>
      <c r="E51" s="65">
        <v>22.6</v>
      </c>
      <c r="F51" s="65">
        <v>23</v>
      </c>
      <c r="G51" s="65">
        <v>23</v>
      </c>
      <c r="H51" s="65">
        <v>33.5</v>
      </c>
      <c r="I51" s="65">
        <v>33</v>
      </c>
      <c r="J51" s="65">
        <v>55</v>
      </c>
      <c r="K51" s="65">
        <v>59.9</v>
      </c>
      <c r="L51" s="65">
        <v>63.4</v>
      </c>
      <c r="M51" s="65">
        <v>63.4</v>
      </c>
      <c r="N51" s="65">
        <v>52.9</v>
      </c>
      <c r="O51" s="65">
        <v>16.899999999999999</v>
      </c>
      <c r="P51" s="65">
        <v>16.899999999999999</v>
      </c>
      <c r="Q51" s="65">
        <v>22.6</v>
      </c>
      <c r="R51" s="45">
        <v>23.1</v>
      </c>
      <c r="S51" s="45">
        <v>23.4</v>
      </c>
      <c r="T51" s="45">
        <v>23.4</v>
      </c>
      <c r="U51" s="45">
        <v>23.4</v>
      </c>
      <c r="V51" s="45">
        <v>15.7</v>
      </c>
      <c r="W51" s="45">
        <v>23</v>
      </c>
      <c r="X51" s="45">
        <v>48.5</v>
      </c>
      <c r="Y51" s="45">
        <v>68</v>
      </c>
      <c r="Z51" s="45">
        <v>64.3</v>
      </c>
      <c r="AA51" s="45">
        <v>60.5</v>
      </c>
      <c r="AB51" s="45">
        <v>49</v>
      </c>
      <c r="AC51" s="45">
        <v>49.3</v>
      </c>
      <c r="AD51" s="45">
        <v>49.3</v>
      </c>
      <c r="AE51" s="65">
        <v>31.4</v>
      </c>
      <c r="AF51" s="65">
        <v>23.2</v>
      </c>
      <c r="AG51" s="54">
        <v>69</v>
      </c>
      <c r="AH51" s="47">
        <f t="shared" si="2"/>
        <v>68</v>
      </c>
      <c r="AI51" s="48">
        <f t="shared" si="3"/>
        <v>15.7</v>
      </c>
      <c r="AK51" s="49"/>
    </row>
    <row r="52" spans="1:41" x14ac:dyDescent="0.25">
      <c r="A52" s="53" t="s">
        <v>60</v>
      </c>
      <c r="B52" s="56">
        <v>50.4</v>
      </c>
      <c r="C52" s="56">
        <v>50.4</v>
      </c>
      <c r="D52" s="56">
        <v>46.1</v>
      </c>
      <c r="E52" s="56">
        <v>46.2</v>
      </c>
      <c r="F52" s="56">
        <v>46</v>
      </c>
      <c r="G52" s="56">
        <v>46</v>
      </c>
      <c r="H52" s="56">
        <v>46</v>
      </c>
      <c r="I52" s="56">
        <v>47.1</v>
      </c>
      <c r="J52" s="56">
        <v>47.1</v>
      </c>
      <c r="K52" s="56">
        <v>47.6</v>
      </c>
      <c r="L52" s="56">
        <v>47.1</v>
      </c>
      <c r="M52" s="65">
        <v>47.1</v>
      </c>
      <c r="N52" s="65">
        <v>47.1</v>
      </c>
      <c r="O52" s="65">
        <v>47.1</v>
      </c>
      <c r="P52" s="65">
        <v>47.1</v>
      </c>
      <c r="Q52" s="65">
        <v>47.1</v>
      </c>
      <c r="R52" s="65">
        <v>47.1</v>
      </c>
      <c r="S52" s="65">
        <v>47.1</v>
      </c>
      <c r="T52" s="65">
        <v>47.1</v>
      </c>
      <c r="U52" s="65">
        <v>47.1</v>
      </c>
      <c r="V52" s="45">
        <v>43.6</v>
      </c>
      <c r="W52" s="65">
        <v>43.6</v>
      </c>
      <c r="X52" s="65">
        <v>43.6</v>
      </c>
      <c r="Y52" s="65">
        <v>44.3</v>
      </c>
      <c r="Z52" s="65">
        <v>44.3</v>
      </c>
      <c r="AA52" s="65">
        <v>44.3</v>
      </c>
      <c r="AB52" s="65">
        <v>44.3</v>
      </c>
      <c r="AC52" s="65">
        <v>44.3</v>
      </c>
      <c r="AD52" s="65">
        <v>46.1</v>
      </c>
      <c r="AE52" s="65">
        <v>51.4</v>
      </c>
      <c r="AF52" s="65">
        <v>45.1</v>
      </c>
      <c r="AG52" s="54">
        <v>60</v>
      </c>
      <c r="AH52" s="47">
        <f t="shared" si="2"/>
        <v>51.4</v>
      </c>
      <c r="AI52" s="48">
        <f t="shared" si="3"/>
        <v>43.6</v>
      </c>
      <c r="AK52" s="49"/>
    </row>
    <row r="53" spans="1:41" x14ac:dyDescent="0.25">
      <c r="A53" s="53" t="s">
        <v>61</v>
      </c>
      <c r="B53" s="56">
        <v>0</v>
      </c>
      <c r="C53" s="56">
        <v>0</v>
      </c>
      <c r="D53" s="56">
        <v>0</v>
      </c>
      <c r="E53" s="56">
        <v>0</v>
      </c>
      <c r="F53" s="56">
        <v>0</v>
      </c>
      <c r="G53" s="56">
        <v>0</v>
      </c>
      <c r="H53" s="56">
        <v>0</v>
      </c>
      <c r="I53" s="56">
        <v>10</v>
      </c>
      <c r="J53" s="56">
        <v>15</v>
      </c>
      <c r="K53" s="56">
        <v>15</v>
      </c>
      <c r="L53" s="56">
        <v>15</v>
      </c>
      <c r="M53" s="65">
        <v>15</v>
      </c>
      <c r="N53" s="65">
        <v>15</v>
      </c>
      <c r="O53" s="65">
        <v>20</v>
      </c>
      <c r="P53" s="65">
        <v>14.9</v>
      </c>
      <c r="Q53" s="65">
        <v>13.1</v>
      </c>
      <c r="R53" s="65">
        <v>13.1</v>
      </c>
      <c r="S53" s="65">
        <v>13.1</v>
      </c>
      <c r="T53" s="65">
        <v>13.1</v>
      </c>
      <c r="U53" s="65">
        <v>0</v>
      </c>
      <c r="V53" s="65">
        <v>0</v>
      </c>
      <c r="W53" s="65">
        <v>0</v>
      </c>
      <c r="X53" s="65">
        <v>13.3</v>
      </c>
      <c r="Y53" s="65">
        <v>20</v>
      </c>
      <c r="Z53" s="65">
        <v>29.3</v>
      </c>
      <c r="AA53" s="65">
        <v>29.3</v>
      </c>
      <c r="AB53" s="65">
        <v>25</v>
      </c>
      <c r="AC53" s="65">
        <v>20</v>
      </c>
      <c r="AD53" s="65">
        <v>14.6</v>
      </c>
      <c r="AE53" s="65">
        <v>0</v>
      </c>
      <c r="AF53" s="65">
        <v>0</v>
      </c>
      <c r="AG53" s="54">
        <v>30</v>
      </c>
      <c r="AH53" s="47">
        <f t="shared" si="2"/>
        <v>29.3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2</v>
      </c>
      <c r="O54" s="65">
        <v>6</v>
      </c>
      <c r="P54" s="65">
        <v>8</v>
      </c>
      <c r="Q54" s="65">
        <v>8</v>
      </c>
      <c r="R54" s="65">
        <v>8</v>
      </c>
      <c r="S54" s="65">
        <v>8</v>
      </c>
      <c r="T54" s="65">
        <v>8</v>
      </c>
      <c r="U54" s="65">
        <v>8</v>
      </c>
      <c r="V54" s="65">
        <v>8</v>
      </c>
      <c r="W54" s="45">
        <v>0</v>
      </c>
      <c r="X54" s="4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8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17</v>
      </c>
      <c r="C55" s="65">
        <v>17</v>
      </c>
      <c r="D55" s="65">
        <v>17</v>
      </c>
      <c r="E55" s="65">
        <v>17</v>
      </c>
      <c r="F55" s="65">
        <v>17</v>
      </c>
      <c r="G55" s="65">
        <v>17</v>
      </c>
      <c r="H55" s="65">
        <v>17</v>
      </c>
      <c r="I55" s="65">
        <v>17</v>
      </c>
      <c r="J55" s="65">
        <v>17</v>
      </c>
      <c r="K55" s="65">
        <v>17</v>
      </c>
      <c r="L55" s="65">
        <v>17</v>
      </c>
      <c r="M55" s="65">
        <v>17</v>
      </c>
      <c r="N55" s="65">
        <v>17</v>
      </c>
      <c r="O55" s="65">
        <v>17</v>
      </c>
      <c r="P55" s="65">
        <v>17</v>
      </c>
      <c r="Q55" s="65">
        <v>17</v>
      </c>
      <c r="R55" s="65">
        <v>17</v>
      </c>
      <c r="S55" s="65">
        <v>17</v>
      </c>
      <c r="T55" s="65">
        <v>17</v>
      </c>
      <c r="U55" s="65">
        <v>17</v>
      </c>
      <c r="V55" s="65">
        <v>17</v>
      </c>
      <c r="W55" s="65">
        <v>17</v>
      </c>
      <c r="X55" s="65">
        <v>17</v>
      </c>
      <c r="Y55" s="65">
        <v>17</v>
      </c>
      <c r="Z55" s="65">
        <v>17</v>
      </c>
      <c r="AA55" s="65">
        <v>17</v>
      </c>
      <c r="AB55" s="65">
        <v>17</v>
      </c>
      <c r="AC55" s="65">
        <v>17</v>
      </c>
      <c r="AD55" s="65">
        <v>17</v>
      </c>
      <c r="AE55" s="65">
        <v>17</v>
      </c>
      <c r="AF55" s="65">
        <v>17</v>
      </c>
      <c r="AG55" s="54">
        <v>24</v>
      </c>
      <c r="AH55" s="47">
        <f t="shared" si="2"/>
        <v>17</v>
      </c>
      <c r="AI55" s="48">
        <f t="shared" si="3"/>
        <v>17</v>
      </c>
      <c r="AK55" s="49"/>
    </row>
    <row r="56" spans="1:41" x14ac:dyDescent="0.25">
      <c r="A56" s="53" t="s">
        <v>64</v>
      </c>
      <c r="B56" s="65">
        <v>3.3</v>
      </c>
      <c r="C56" s="65">
        <v>3.3</v>
      </c>
      <c r="D56" s="65">
        <v>3.3</v>
      </c>
      <c r="E56" s="65">
        <v>3.3</v>
      </c>
      <c r="F56" s="65">
        <v>3.3</v>
      </c>
      <c r="G56" s="65">
        <v>3.3</v>
      </c>
      <c r="H56" s="65">
        <v>3.3</v>
      </c>
      <c r="I56" s="65">
        <v>3.3</v>
      </c>
      <c r="J56" s="65">
        <v>3.3</v>
      </c>
      <c r="K56" s="65">
        <v>3.3</v>
      </c>
      <c r="L56" s="65">
        <v>3.3</v>
      </c>
      <c r="M56" s="65">
        <v>3.3</v>
      </c>
      <c r="N56" s="65">
        <v>3.3</v>
      </c>
      <c r="O56" s="65">
        <v>3.3</v>
      </c>
      <c r="P56" s="65">
        <v>3.3</v>
      </c>
      <c r="Q56" s="65">
        <v>3.3</v>
      </c>
      <c r="R56" s="65">
        <v>3.3</v>
      </c>
      <c r="S56" s="65">
        <v>3.3</v>
      </c>
      <c r="T56" s="65">
        <v>3.3</v>
      </c>
      <c r="U56" s="65">
        <v>3.3</v>
      </c>
      <c r="V56" s="65">
        <v>3.3</v>
      </c>
      <c r="W56" s="65">
        <v>3.3</v>
      </c>
      <c r="X56" s="65">
        <v>3.3</v>
      </c>
      <c r="Y56" s="65">
        <v>3.3</v>
      </c>
      <c r="Z56" s="65">
        <v>3.3</v>
      </c>
      <c r="AA56" s="65">
        <v>3.3</v>
      </c>
      <c r="AB56" s="65">
        <v>3.3</v>
      </c>
      <c r="AC56" s="65">
        <v>3.3</v>
      </c>
      <c r="AD56" s="65">
        <v>3.3</v>
      </c>
      <c r="AE56" s="65">
        <v>3.3</v>
      </c>
      <c r="AF56" s="65">
        <v>3.3</v>
      </c>
      <c r="AG56" s="54">
        <v>15</v>
      </c>
      <c r="AH56" s="47">
        <f t="shared" si="2"/>
        <v>3.3</v>
      </c>
      <c r="AI56" s="48">
        <f t="shared" si="3"/>
        <v>3.3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13</v>
      </c>
      <c r="C57" s="65">
        <v>13</v>
      </c>
      <c r="D57" s="65">
        <v>13</v>
      </c>
      <c r="E57" s="65">
        <v>13</v>
      </c>
      <c r="F57" s="65">
        <v>13</v>
      </c>
      <c r="G57" s="65">
        <v>13</v>
      </c>
      <c r="H57" s="65">
        <v>13</v>
      </c>
      <c r="I57" s="65">
        <v>13</v>
      </c>
      <c r="J57" s="65">
        <v>13</v>
      </c>
      <c r="K57" s="65">
        <v>13</v>
      </c>
      <c r="L57" s="65">
        <v>13</v>
      </c>
      <c r="M57" s="65">
        <v>13</v>
      </c>
      <c r="N57" s="65">
        <v>13</v>
      </c>
      <c r="O57" s="65">
        <v>13</v>
      </c>
      <c r="P57" s="65">
        <v>13</v>
      </c>
      <c r="Q57" s="65">
        <v>13</v>
      </c>
      <c r="R57" s="65">
        <v>13</v>
      </c>
      <c r="S57" s="65">
        <v>13</v>
      </c>
      <c r="T57" s="65">
        <v>13</v>
      </c>
      <c r="U57" s="65">
        <v>13</v>
      </c>
      <c r="V57" s="65">
        <v>13</v>
      </c>
      <c r="W57" s="65">
        <v>13</v>
      </c>
      <c r="X57" s="65">
        <v>13</v>
      </c>
      <c r="Y57" s="65">
        <v>13</v>
      </c>
      <c r="Z57" s="65">
        <v>13</v>
      </c>
      <c r="AA57" s="65">
        <v>13</v>
      </c>
      <c r="AB57" s="65">
        <v>13</v>
      </c>
      <c r="AC57" s="65">
        <v>13</v>
      </c>
      <c r="AD57" s="65">
        <v>11</v>
      </c>
      <c r="AE57" s="65">
        <v>12.5</v>
      </c>
      <c r="AF57" s="65">
        <v>12.5</v>
      </c>
      <c r="AG57" s="54">
        <v>14.1</v>
      </c>
      <c r="AH57" s="47">
        <f t="shared" si="2"/>
        <v>13</v>
      </c>
      <c r="AI57" s="48">
        <f t="shared" si="3"/>
        <v>11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5</v>
      </c>
      <c r="C58" s="65">
        <v>5</v>
      </c>
      <c r="D58" s="65">
        <v>5</v>
      </c>
      <c r="E58" s="65">
        <v>5</v>
      </c>
      <c r="F58" s="65">
        <v>5</v>
      </c>
      <c r="G58" s="65">
        <v>5</v>
      </c>
      <c r="H58" s="65">
        <v>5</v>
      </c>
      <c r="I58" s="65">
        <v>5</v>
      </c>
      <c r="J58" s="65">
        <v>5</v>
      </c>
      <c r="K58" s="65">
        <v>5</v>
      </c>
      <c r="L58" s="65">
        <v>5</v>
      </c>
      <c r="M58" s="65">
        <v>5</v>
      </c>
      <c r="N58" s="65">
        <v>3</v>
      </c>
      <c r="O58" s="65">
        <v>3</v>
      </c>
      <c r="P58" s="65">
        <v>3</v>
      </c>
      <c r="Q58" s="65">
        <v>3</v>
      </c>
      <c r="R58" s="65">
        <v>3</v>
      </c>
      <c r="S58" s="65">
        <v>3</v>
      </c>
      <c r="T58" s="65">
        <v>3</v>
      </c>
      <c r="U58" s="65">
        <v>3</v>
      </c>
      <c r="V58" s="65">
        <v>3</v>
      </c>
      <c r="W58" s="65">
        <v>3</v>
      </c>
      <c r="X58" s="65">
        <v>3</v>
      </c>
      <c r="Y58" s="65">
        <v>5</v>
      </c>
      <c r="Z58" s="65">
        <v>5</v>
      </c>
      <c r="AA58" s="65">
        <v>5</v>
      </c>
      <c r="AB58" s="65">
        <v>5</v>
      </c>
      <c r="AC58" s="65">
        <v>5</v>
      </c>
      <c r="AD58" s="65">
        <v>5</v>
      </c>
      <c r="AE58" s="65">
        <v>5</v>
      </c>
      <c r="AF58" s="65">
        <v>5</v>
      </c>
      <c r="AG58" s="54">
        <v>14</v>
      </c>
      <c r="AH58" s="47">
        <f t="shared" si="2"/>
        <v>5</v>
      </c>
      <c r="AI58" s="48">
        <f t="shared" si="3"/>
        <v>3</v>
      </c>
      <c r="AK58" s="49"/>
    </row>
    <row r="59" spans="1:41" x14ac:dyDescent="0.25">
      <c r="A59" s="53" t="s">
        <v>67</v>
      </c>
      <c r="B59" s="65">
        <v>5.2</v>
      </c>
      <c r="C59" s="65">
        <v>5.2</v>
      </c>
      <c r="D59" s="65">
        <v>5.2</v>
      </c>
      <c r="E59" s="65">
        <v>5.2</v>
      </c>
      <c r="F59" s="65">
        <v>5.2</v>
      </c>
      <c r="G59" s="65">
        <v>5.2</v>
      </c>
      <c r="H59" s="65">
        <v>5.2</v>
      </c>
      <c r="I59" s="65">
        <v>5.2</v>
      </c>
      <c r="J59" s="65">
        <v>5.2</v>
      </c>
      <c r="K59" s="65">
        <v>5.2</v>
      </c>
      <c r="L59" s="65">
        <v>5.2</v>
      </c>
      <c r="M59" s="65">
        <v>5.2</v>
      </c>
      <c r="N59" s="65">
        <v>5.2</v>
      </c>
      <c r="O59" s="65">
        <v>5.2</v>
      </c>
      <c r="P59" s="65">
        <v>5.2</v>
      </c>
      <c r="Q59" s="65">
        <v>5.2</v>
      </c>
      <c r="R59" s="65">
        <v>5.2</v>
      </c>
      <c r="S59" s="65">
        <v>5.2</v>
      </c>
      <c r="T59" s="65">
        <v>5.2</v>
      </c>
      <c r="U59" s="65">
        <v>5.2</v>
      </c>
      <c r="V59" s="65">
        <v>5.2</v>
      </c>
      <c r="W59" s="65">
        <v>5.2</v>
      </c>
      <c r="X59" s="65">
        <v>5.2</v>
      </c>
      <c r="Y59" s="65">
        <v>5.2</v>
      </c>
      <c r="Z59" s="65">
        <v>5.2</v>
      </c>
      <c r="AA59" s="65">
        <v>5.2</v>
      </c>
      <c r="AB59" s="65">
        <v>5.2</v>
      </c>
      <c r="AC59" s="65">
        <v>5.2</v>
      </c>
      <c r="AD59" s="65">
        <v>5.2</v>
      </c>
      <c r="AE59" s="65">
        <v>5.2</v>
      </c>
      <c r="AF59" s="65">
        <v>5.2</v>
      </c>
      <c r="AG59" s="54">
        <v>10.050000000000001</v>
      </c>
      <c r="AH59" s="47">
        <f t="shared" si="2"/>
        <v>5.2</v>
      </c>
      <c r="AI59" s="48">
        <f t="shared" si="3"/>
        <v>5.2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v>197.64</v>
      </c>
      <c r="C62" s="60">
        <f t="shared" ref="C62:AG62" si="10">SUM(C49:C61)</f>
        <v>164.64</v>
      </c>
      <c r="D62" s="60">
        <f t="shared" si="10"/>
        <v>116.34</v>
      </c>
      <c r="E62" s="60">
        <f t="shared" si="10"/>
        <v>119.04000000000002</v>
      </c>
      <c r="F62" s="60">
        <f t="shared" si="10"/>
        <v>119.24000000000001</v>
      </c>
      <c r="G62" s="60">
        <f t="shared" si="10"/>
        <v>119.24000000000001</v>
      </c>
      <c r="H62" s="60">
        <f t="shared" si="10"/>
        <v>200.93999999999997</v>
      </c>
      <c r="I62" s="60">
        <f t="shared" si="10"/>
        <v>234.33999999999997</v>
      </c>
      <c r="J62" s="60">
        <f t="shared" si="10"/>
        <v>378.64000000000004</v>
      </c>
      <c r="K62" s="60">
        <f t="shared" si="10"/>
        <v>365.04</v>
      </c>
      <c r="L62" s="60">
        <f t="shared" si="10"/>
        <v>368.04</v>
      </c>
      <c r="M62" s="60">
        <f t="shared" si="10"/>
        <v>368.04</v>
      </c>
      <c r="N62" s="60">
        <f t="shared" si="10"/>
        <v>278.64000000000004</v>
      </c>
      <c r="O62" s="60">
        <f t="shared" si="10"/>
        <v>245.83999999999997</v>
      </c>
      <c r="P62" s="60">
        <f t="shared" si="10"/>
        <v>242.73999999999998</v>
      </c>
      <c r="Q62" s="60">
        <f t="shared" si="10"/>
        <v>243.43999999999997</v>
      </c>
      <c r="R62" s="60">
        <f t="shared" si="10"/>
        <v>235.23999999999998</v>
      </c>
      <c r="S62" s="60">
        <f t="shared" si="10"/>
        <v>235.03999999999996</v>
      </c>
      <c r="T62" s="60">
        <f t="shared" si="10"/>
        <v>247.23999999999998</v>
      </c>
      <c r="U62" s="60">
        <f t="shared" si="10"/>
        <v>234.14</v>
      </c>
      <c r="V62" s="60">
        <f t="shared" si="10"/>
        <v>168.54</v>
      </c>
      <c r="W62" s="60">
        <f t="shared" si="10"/>
        <v>196.83999999999997</v>
      </c>
      <c r="X62" s="60">
        <f t="shared" si="10"/>
        <v>270.14000000000004</v>
      </c>
      <c r="Y62" s="60">
        <f t="shared" si="10"/>
        <v>323.04000000000002</v>
      </c>
      <c r="Z62" s="60">
        <f t="shared" si="10"/>
        <v>338.64000000000004</v>
      </c>
      <c r="AA62" s="60">
        <f t="shared" si="10"/>
        <v>334.84000000000003</v>
      </c>
      <c r="AB62" s="60">
        <f t="shared" si="10"/>
        <v>310.04000000000002</v>
      </c>
      <c r="AC62" s="60">
        <f t="shared" ref="AC62:AD62" si="11">SUM(AC49:AC61)</f>
        <v>260.94</v>
      </c>
      <c r="AD62" s="60">
        <f t="shared" si="11"/>
        <v>254.13999999999996</v>
      </c>
      <c r="AE62" s="60">
        <f t="shared" si="10"/>
        <v>203.23999999999998</v>
      </c>
      <c r="AF62" s="60">
        <f t="shared" ref="AF62" si="12">SUM(AF49:AF61)</f>
        <v>154.23999999999998</v>
      </c>
      <c r="AG62" s="61">
        <f t="shared" si="10"/>
        <v>489.91</v>
      </c>
      <c r="AH62" s="47">
        <f t="shared" si="2"/>
        <v>378.64000000000004</v>
      </c>
      <c r="AI62" s="48">
        <f t="shared" si="3"/>
        <v>116.34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30</v>
      </c>
      <c r="H63" s="45">
        <v>14</v>
      </c>
      <c r="I63" s="45">
        <v>30</v>
      </c>
      <c r="J63" s="45">
        <v>14</v>
      </c>
      <c r="K63" s="45">
        <v>10</v>
      </c>
      <c r="L63" s="45">
        <v>10</v>
      </c>
      <c r="M63" s="45">
        <v>20</v>
      </c>
      <c r="N63" s="45">
        <v>10</v>
      </c>
      <c r="O63" s="45">
        <v>10</v>
      </c>
      <c r="P63" s="45">
        <v>10</v>
      </c>
      <c r="Q63" s="45">
        <v>10</v>
      </c>
      <c r="R63" s="45">
        <v>20</v>
      </c>
      <c r="S63" s="45">
        <v>30</v>
      </c>
      <c r="T63" s="45">
        <v>30</v>
      </c>
      <c r="U63" s="45">
        <v>30</v>
      </c>
      <c r="V63" s="45">
        <v>30</v>
      </c>
      <c r="W63" s="45">
        <v>30</v>
      </c>
      <c r="X63" s="45">
        <v>30</v>
      </c>
      <c r="Y63" s="45">
        <v>40</v>
      </c>
      <c r="Z63" s="45">
        <v>40</v>
      </c>
      <c r="AA63" s="45">
        <v>30</v>
      </c>
      <c r="AB63" s="45">
        <v>10</v>
      </c>
      <c r="AC63" s="45">
        <v>0</v>
      </c>
      <c r="AD63" s="45">
        <v>0</v>
      </c>
      <c r="AE63" s="45">
        <v>0</v>
      </c>
      <c r="AF63" s="45">
        <v>0</v>
      </c>
      <c r="AG63" s="51">
        <v>60</v>
      </c>
      <c r="AH63" s="47">
        <f t="shared" si="2"/>
        <v>40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8</v>
      </c>
      <c r="H64" s="65">
        <v>7</v>
      </c>
      <c r="I64" s="65">
        <v>14</v>
      </c>
      <c r="J64" s="65">
        <v>3.9</v>
      </c>
      <c r="K64" s="65">
        <v>3.9</v>
      </c>
      <c r="L64" s="65">
        <v>7.3</v>
      </c>
      <c r="M64" s="65">
        <v>9.1</v>
      </c>
      <c r="N64" s="65">
        <v>5.3</v>
      </c>
      <c r="O64" s="65">
        <v>8.6</v>
      </c>
      <c r="P64" s="65">
        <v>3.5</v>
      </c>
      <c r="Q64" s="45">
        <v>9</v>
      </c>
      <c r="R64" s="45">
        <v>8.8000000000000007</v>
      </c>
      <c r="S64" s="65">
        <v>10.199999999999999</v>
      </c>
      <c r="T64" s="65">
        <v>14</v>
      </c>
      <c r="U64" s="65">
        <v>14.4</v>
      </c>
      <c r="V64" s="65">
        <v>14.4</v>
      </c>
      <c r="W64" s="65">
        <v>14.4</v>
      </c>
      <c r="X64" s="65">
        <v>14.4</v>
      </c>
      <c r="Y64" s="65">
        <v>16.399999999999999</v>
      </c>
      <c r="Z64" s="65">
        <v>16.399999999999999</v>
      </c>
      <c r="AA64" s="65">
        <v>9.1999999999999993</v>
      </c>
      <c r="AB64" s="65">
        <v>4</v>
      </c>
      <c r="AC64" s="65">
        <v>0</v>
      </c>
      <c r="AD64" s="65">
        <v>0</v>
      </c>
      <c r="AE64" s="65">
        <v>0</v>
      </c>
      <c r="AF64" s="65">
        <v>0</v>
      </c>
      <c r="AG64" s="54">
        <v>32</v>
      </c>
      <c r="AH64" s="47">
        <f t="shared" si="2"/>
        <v>16.399999999999999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5.0999999999999996</v>
      </c>
      <c r="H65" s="67">
        <v>3.6</v>
      </c>
      <c r="I65" s="67">
        <v>5.0999999999999996</v>
      </c>
      <c r="J65" s="67">
        <v>1.4</v>
      </c>
      <c r="K65" s="67">
        <v>1.4</v>
      </c>
      <c r="L65" s="67">
        <v>2.9</v>
      </c>
      <c r="M65" s="67">
        <v>3.3</v>
      </c>
      <c r="N65" s="67">
        <v>1.9</v>
      </c>
      <c r="O65" s="67">
        <v>3.1</v>
      </c>
      <c r="P65" s="67">
        <v>1.3</v>
      </c>
      <c r="Q65" s="45">
        <v>3.3</v>
      </c>
      <c r="R65" s="45">
        <v>3.2</v>
      </c>
      <c r="S65" s="67">
        <v>3.7</v>
      </c>
      <c r="T65" s="67">
        <v>5.0999999999999996</v>
      </c>
      <c r="U65" s="67">
        <v>5.3</v>
      </c>
      <c r="V65" s="67">
        <v>5.3</v>
      </c>
      <c r="W65" s="67">
        <v>5.3</v>
      </c>
      <c r="X65" s="67">
        <v>5.3</v>
      </c>
      <c r="Y65" s="67">
        <v>6</v>
      </c>
      <c r="Z65" s="67">
        <v>6</v>
      </c>
      <c r="AA65" s="67">
        <v>3.3</v>
      </c>
      <c r="AB65" s="67">
        <v>1.5</v>
      </c>
      <c r="AC65" s="67">
        <v>0</v>
      </c>
      <c r="AD65" s="67">
        <v>0</v>
      </c>
      <c r="AE65" s="67">
        <v>0</v>
      </c>
      <c r="AF65" s="67">
        <v>0</v>
      </c>
      <c r="AG65" s="68">
        <v>14</v>
      </c>
      <c r="AH65" s="47">
        <f t="shared" si="2"/>
        <v>6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f t="shared" ref="B66:M66" si="13">B63+B64+B65</f>
        <v>0</v>
      </c>
      <c r="C66" s="60">
        <f t="shared" si="13"/>
        <v>0</v>
      </c>
      <c r="D66" s="60">
        <f t="shared" si="13"/>
        <v>0</v>
      </c>
      <c r="E66" s="60">
        <f t="shared" si="13"/>
        <v>0</v>
      </c>
      <c r="F66" s="60">
        <f t="shared" si="13"/>
        <v>0</v>
      </c>
      <c r="G66" s="60">
        <f t="shared" si="13"/>
        <v>43.1</v>
      </c>
      <c r="H66" s="60">
        <f t="shared" si="13"/>
        <v>24.6</v>
      </c>
      <c r="I66" s="60">
        <f t="shared" si="13"/>
        <v>49.1</v>
      </c>
      <c r="J66" s="60">
        <f t="shared" si="13"/>
        <v>19.299999999999997</v>
      </c>
      <c r="K66" s="60">
        <f t="shared" si="13"/>
        <v>15.3</v>
      </c>
      <c r="L66" s="60">
        <f t="shared" si="13"/>
        <v>20.2</v>
      </c>
      <c r="M66" s="60">
        <f t="shared" si="13"/>
        <v>32.4</v>
      </c>
      <c r="N66" s="60">
        <f t="shared" ref="N66:AE66" si="14">N63+N64+N65</f>
        <v>17.2</v>
      </c>
      <c r="O66" s="60">
        <f t="shared" si="14"/>
        <v>21.700000000000003</v>
      </c>
      <c r="P66" s="60">
        <f t="shared" si="14"/>
        <v>14.8</v>
      </c>
      <c r="Q66" s="60">
        <f t="shared" si="14"/>
        <v>22.3</v>
      </c>
      <c r="R66" s="60">
        <f t="shared" si="14"/>
        <v>32</v>
      </c>
      <c r="S66" s="60">
        <f t="shared" si="14"/>
        <v>43.900000000000006</v>
      </c>
      <c r="T66" s="60">
        <f t="shared" si="14"/>
        <v>49.1</v>
      </c>
      <c r="U66" s="60">
        <f t="shared" si="14"/>
        <v>49.699999999999996</v>
      </c>
      <c r="V66" s="60">
        <f t="shared" si="14"/>
        <v>49.699999999999996</v>
      </c>
      <c r="W66" s="60">
        <f t="shared" si="14"/>
        <v>49.699999999999996</v>
      </c>
      <c r="X66" s="60">
        <f t="shared" si="14"/>
        <v>49.699999999999996</v>
      </c>
      <c r="Y66" s="60">
        <f t="shared" si="14"/>
        <v>62.4</v>
      </c>
      <c r="Z66" s="60">
        <f t="shared" si="14"/>
        <v>62.4</v>
      </c>
      <c r="AA66" s="60">
        <f t="shared" si="14"/>
        <v>42.5</v>
      </c>
      <c r="AB66" s="60">
        <f t="shared" si="14"/>
        <v>15.5</v>
      </c>
      <c r="AC66" s="60">
        <f t="shared" ref="AC66" si="15">AC63+AC64+AC65</f>
        <v>0</v>
      </c>
      <c r="AD66" s="60">
        <f t="shared" si="14"/>
        <v>0</v>
      </c>
      <c r="AE66" s="60">
        <f t="shared" si="14"/>
        <v>0</v>
      </c>
      <c r="AF66" s="60">
        <f t="shared" ref="AF66" si="16">AF63+AF64+AF65</f>
        <v>0</v>
      </c>
      <c r="AG66" s="61">
        <f>SUM(AG63:AG65)</f>
        <v>106</v>
      </c>
      <c r="AH66" s="47">
        <f t="shared" si="2"/>
        <v>62.4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52</v>
      </c>
      <c r="C67" s="45">
        <v>40</v>
      </c>
      <c r="D67" s="45">
        <v>54</v>
      </c>
      <c r="E67" s="45">
        <v>58</v>
      </c>
      <c r="F67" s="45">
        <v>57.4</v>
      </c>
      <c r="G67" s="45">
        <v>58</v>
      </c>
      <c r="H67" s="45">
        <v>70</v>
      </c>
      <c r="I67" s="45">
        <v>62</v>
      </c>
      <c r="J67" s="45">
        <v>66</v>
      </c>
      <c r="K67" s="45">
        <v>60</v>
      </c>
      <c r="L67" s="45">
        <v>65</v>
      </c>
      <c r="M67" s="45">
        <v>66.78</v>
      </c>
      <c r="N67" s="45">
        <v>64.92</v>
      </c>
      <c r="O67" s="45">
        <v>57</v>
      </c>
      <c r="P67" s="45">
        <v>63.6</v>
      </c>
      <c r="Q67" s="45">
        <v>54.8</v>
      </c>
      <c r="R67" s="45">
        <v>61.8</v>
      </c>
      <c r="S67" s="45">
        <v>54</v>
      </c>
      <c r="T67" s="45">
        <v>53.7</v>
      </c>
      <c r="U67" s="45">
        <v>53</v>
      </c>
      <c r="V67" s="45">
        <v>58.5</v>
      </c>
      <c r="W67" s="45">
        <v>63</v>
      </c>
      <c r="X67" s="45">
        <v>53.1</v>
      </c>
      <c r="Y67" s="45">
        <v>73</v>
      </c>
      <c r="Z67" s="45">
        <v>43.6</v>
      </c>
      <c r="AA67" s="45">
        <v>39.6</v>
      </c>
      <c r="AB67" s="45">
        <v>51</v>
      </c>
      <c r="AC67" s="45">
        <v>54.4</v>
      </c>
      <c r="AD67" s="45">
        <v>54.9</v>
      </c>
      <c r="AE67" s="45">
        <v>58.3</v>
      </c>
      <c r="AF67" s="45">
        <v>58.3</v>
      </c>
      <c r="AG67" s="51"/>
      <c r="AH67" s="47">
        <f t="shared" si="2"/>
        <v>73</v>
      </c>
      <c r="AI67" s="48">
        <f t="shared" si="3"/>
        <v>39.6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310</v>
      </c>
      <c r="C69" s="65">
        <v>290</v>
      </c>
      <c r="D69" s="65">
        <v>300</v>
      </c>
      <c r="E69" s="65">
        <v>306</v>
      </c>
      <c r="F69" s="65">
        <v>310</v>
      </c>
      <c r="G69" s="65">
        <v>310</v>
      </c>
      <c r="H69" s="65">
        <v>332</v>
      </c>
      <c r="I69" s="65">
        <v>341</v>
      </c>
      <c r="J69" s="65">
        <v>300</v>
      </c>
      <c r="K69" s="65">
        <v>306</v>
      </c>
      <c r="L69" s="65">
        <v>278</v>
      </c>
      <c r="M69" s="65">
        <v>272.2</v>
      </c>
      <c r="N69" s="65">
        <v>268</v>
      </c>
      <c r="O69" s="65">
        <v>299.7</v>
      </c>
      <c r="P69" s="65">
        <v>327.8</v>
      </c>
      <c r="Q69" s="65">
        <v>327.8</v>
      </c>
      <c r="R69" s="65">
        <v>325.5</v>
      </c>
      <c r="S69" s="65">
        <v>340</v>
      </c>
      <c r="T69" s="65">
        <v>333</v>
      </c>
      <c r="U69" s="65">
        <v>337</v>
      </c>
      <c r="V69" s="65">
        <v>307</v>
      </c>
      <c r="W69" s="65">
        <v>317</v>
      </c>
      <c r="X69" s="65">
        <v>320</v>
      </c>
      <c r="Y69" s="65">
        <v>283</v>
      </c>
      <c r="Z69" s="65">
        <v>182</v>
      </c>
      <c r="AA69" s="65">
        <v>148</v>
      </c>
      <c r="AB69" s="65">
        <v>231</v>
      </c>
      <c r="AC69" s="65">
        <v>290</v>
      </c>
      <c r="AD69" s="65">
        <v>289</v>
      </c>
      <c r="AE69" s="65">
        <v>303</v>
      </c>
      <c r="AF69" s="65">
        <v>303</v>
      </c>
      <c r="AG69" s="75"/>
      <c r="AH69" s="47">
        <f t="shared" si="2"/>
        <v>341</v>
      </c>
      <c r="AI69" s="48">
        <f t="shared" si="3"/>
        <v>148</v>
      </c>
      <c r="AK69" s="49"/>
    </row>
    <row r="70" spans="1:40" x14ac:dyDescent="0.25">
      <c r="A70" s="53" t="s">
        <v>78</v>
      </c>
      <c r="B70" s="76">
        <v>0</v>
      </c>
      <c r="C70" s="76">
        <v>0</v>
      </c>
      <c r="D70" s="76">
        <v>0</v>
      </c>
      <c r="E70" s="76">
        <v>0</v>
      </c>
      <c r="F70" s="76">
        <v>0</v>
      </c>
      <c r="G70" s="76">
        <v>0</v>
      </c>
      <c r="H70" s="76">
        <v>0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17</v>
      </c>
      <c r="V70" s="76">
        <v>46.5</v>
      </c>
      <c r="W70" s="76">
        <v>44</v>
      </c>
      <c r="X70" s="76">
        <v>49.1</v>
      </c>
      <c r="Y70" s="65">
        <v>0</v>
      </c>
      <c r="Z70" s="65">
        <v>0</v>
      </c>
      <c r="AA70" s="65">
        <v>0</v>
      </c>
      <c r="AB70" s="65">
        <v>51.2</v>
      </c>
      <c r="AC70" s="65">
        <v>55.2</v>
      </c>
      <c r="AD70" s="65">
        <v>56.7</v>
      </c>
      <c r="AE70" s="65">
        <v>52.6</v>
      </c>
      <c r="AF70" s="65">
        <v>55.1</v>
      </c>
      <c r="AG70" s="75"/>
      <c r="AH70" s="47">
        <f t="shared" si="2"/>
        <v>56.7</v>
      </c>
      <c r="AI70" s="48">
        <f t="shared" si="3"/>
        <v>0</v>
      </c>
      <c r="AK70" s="49"/>
    </row>
    <row r="71" spans="1:40" x14ac:dyDescent="0.25">
      <c r="A71" s="53" t="s">
        <v>79</v>
      </c>
      <c r="B71" s="45">
        <v>23</v>
      </c>
      <c r="C71" s="45">
        <v>24</v>
      </c>
      <c r="D71" s="45">
        <v>24</v>
      </c>
      <c r="E71" s="45">
        <v>24</v>
      </c>
      <c r="F71" s="45">
        <v>24</v>
      </c>
      <c r="G71" s="45">
        <v>25</v>
      </c>
      <c r="H71" s="45">
        <v>24</v>
      </c>
      <c r="I71" s="45">
        <v>25</v>
      </c>
      <c r="J71" s="45">
        <v>23</v>
      </c>
      <c r="K71" s="45">
        <v>22</v>
      </c>
      <c r="L71" s="45">
        <v>22</v>
      </c>
      <c r="M71" s="45">
        <v>22</v>
      </c>
      <c r="N71" s="45">
        <v>45</v>
      </c>
      <c r="O71" s="45">
        <v>50</v>
      </c>
      <c r="P71" s="45">
        <v>50</v>
      </c>
      <c r="Q71" s="45">
        <v>70</v>
      </c>
      <c r="R71" s="45">
        <v>80</v>
      </c>
      <c r="S71" s="45">
        <v>75</v>
      </c>
      <c r="T71" s="45">
        <v>75</v>
      </c>
      <c r="U71" s="45">
        <v>75</v>
      </c>
      <c r="V71" s="45">
        <v>53</v>
      </c>
      <c r="W71" s="45">
        <v>54</v>
      </c>
      <c r="X71" s="45">
        <v>54</v>
      </c>
      <c r="Y71" s="45">
        <v>53</v>
      </c>
      <c r="Z71" s="45">
        <v>53</v>
      </c>
      <c r="AA71" s="45">
        <v>53.3</v>
      </c>
      <c r="AB71" s="45">
        <v>86</v>
      </c>
      <c r="AC71" s="45">
        <v>50</v>
      </c>
      <c r="AD71" s="45">
        <v>22</v>
      </c>
      <c r="AE71" s="45">
        <v>25</v>
      </c>
      <c r="AF71" s="45">
        <v>25</v>
      </c>
      <c r="AG71" s="75"/>
      <c r="AH71" s="47">
        <f t="shared" si="2"/>
        <v>86</v>
      </c>
      <c r="AI71" s="48">
        <f t="shared" si="3"/>
        <v>22</v>
      </c>
      <c r="AK71" s="49"/>
    </row>
    <row r="72" spans="1:40" x14ac:dyDescent="0.25">
      <c r="A72" s="53" t="s">
        <v>80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0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17">MAX(B75:AF75)</f>
        <v>0</v>
      </c>
      <c r="AI75" s="48">
        <f t="shared" ref="AI75:AI113" si="18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17"/>
        <v>0</v>
      </c>
      <c r="AI76" s="48">
        <f t="shared" si="18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17"/>
        <v>0</v>
      </c>
      <c r="AI77" s="48">
        <f t="shared" si="18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v>417</v>
      </c>
      <c r="C78" s="60">
        <f t="shared" ref="C78:AE78" si="19">SUMIF(C67:C77,"&gt;0")</f>
        <v>354</v>
      </c>
      <c r="D78" s="60">
        <f t="shared" si="19"/>
        <v>378</v>
      </c>
      <c r="E78" s="60">
        <f t="shared" si="19"/>
        <v>388</v>
      </c>
      <c r="F78" s="60">
        <f t="shared" si="19"/>
        <v>391.4</v>
      </c>
      <c r="G78" s="60">
        <f t="shared" si="19"/>
        <v>393</v>
      </c>
      <c r="H78" s="60">
        <f t="shared" si="19"/>
        <v>426</v>
      </c>
      <c r="I78" s="60">
        <f t="shared" si="19"/>
        <v>428</v>
      </c>
      <c r="J78" s="60">
        <f t="shared" si="19"/>
        <v>389</v>
      </c>
      <c r="K78" s="60">
        <f t="shared" si="19"/>
        <v>388</v>
      </c>
      <c r="L78" s="60">
        <f t="shared" si="19"/>
        <v>365</v>
      </c>
      <c r="M78" s="60">
        <f t="shared" si="19"/>
        <v>360.98</v>
      </c>
      <c r="N78" s="60">
        <f t="shared" si="19"/>
        <v>377.92</v>
      </c>
      <c r="O78" s="60">
        <f t="shared" si="19"/>
        <v>411.7</v>
      </c>
      <c r="P78" s="60">
        <f t="shared" si="19"/>
        <v>446.40000000000003</v>
      </c>
      <c r="Q78" s="60">
        <f t="shared" si="19"/>
        <v>457.6</v>
      </c>
      <c r="R78" s="60">
        <f t="shared" si="19"/>
        <v>472.3</v>
      </c>
      <c r="S78" s="60">
        <f t="shared" si="19"/>
        <v>474</v>
      </c>
      <c r="T78" s="60">
        <f t="shared" si="19"/>
        <v>466.7</v>
      </c>
      <c r="U78" s="60">
        <f t="shared" si="19"/>
        <v>487</v>
      </c>
      <c r="V78" s="60">
        <f t="shared" si="19"/>
        <v>470</v>
      </c>
      <c r="W78" s="60">
        <f t="shared" si="19"/>
        <v>483</v>
      </c>
      <c r="X78" s="60">
        <f t="shared" si="19"/>
        <v>481.20000000000005</v>
      </c>
      <c r="Y78" s="60">
        <f t="shared" si="19"/>
        <v>414</v>
      </c>
      <c r="Z78" s="60">
        <f t="shared" si="19"/>
        <v>283.60000000000002</v>
      </c>
      <c r="AA78" s="60">
        <f t="shared" si="19"/>
        <v>245.89999999999998</v>
      </c>
      <c r="AB78" s="60">
        <f t="shared" si="19"/>
        <v>424.2</v>
      </c>
      <c r="AC78" s="60">
        <f t="shared" ref="AC78" si="20">SUMIF(AC67:AC77,"&gt;0")</f>
        <v>454.59999999999997</v>
      </c>
      <c r="AD78" s="60">
        <f t="shared" si="19"/>
        <v>427.59999999999997</v>
      </c>
      <c r="AE78" s="60">
        <f t="shared" si="19"/>
        <v>443.90000000000003</v>
      </c>
      <c r="AF78" s="60">
        <f t="shared" ref="AF78" si="21">SUMIF(AF67:AF77,"&gt;0")</f>
        <v>446.40000000000003</v>
      </c>
      <c r="AG78" s="88">
        <f>SUM(AG67:AG77)</f>
        <v>0</v>
      </c>
      <c r="AH78" s="47">
        <f t="shared" si="17"/>
        <v>487</v>
      </c>
      <c r="AI78" s="48">
        <f t="shared" si="18"/>
        <v>245.89999999999998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17"/>
        <v>0</v>
      </c>
      <c r="AI79" s="48">
        <f t="shared" si="18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17"/>
        <v>0</v>
      </c>
      <c r="AI80" s="48">
        <f t="shared" si="18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17"/>
        <v>0</v>
      </c>
      <c r="AI81" s="48">
        <f t="shared" si="18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17"/>
        <v>0</v>
      </c>
      <c r="AI82" s="48">
        <f t="shared" si="18"/>
        <v>0</v>
      </c>
    </row>
    <row r="83" spans="1:37" ht="15.75" thickBot="1" x14ac:dyDescent="0.3">
      <c r="A83" s="74" t="s">
        <v>94</v>
      </c>
      <c r="B83" s="95">
        <v>1145.74</v>
      </c>
      <c r="C83" s="95">
        <f t="shared" ref="C83:AG83" si="22">C44+C48+C66+C62+C78+C82</f>
        <v>1012.24</v>
      </c>
      <c r="D83" s="95">
        <f t="shared" si="22"/>
        <v>987.74</v>
      </c>
      <c r="E83" s="95">
        <f t="shared" si="22"/>
        <v>1026.54</v>
      </c>
      <c r="F83" s="95">
        <f t="shared" si="22"/>
        <v>1030.1399999999999</v>
      </c>
      <c r="G83" s="95">
        <f t="shared" si="22"/>
        <v>1074.8400000000001</v>
      </c>
      <c r="H83" s="95">
        <f t="shared" si="22"/>
        <v>1174.94</v>
      </c>
      <c r="I83" s="95">
        <f t="shared" si="22"/>
        <v>1253.44</v>
      </c>
      <c r="J83" s="95">
        <f t="shared" si="22"/>
        <v>1368.14</v>
      </c>
      <c r="K83" s="95">
        <f t="shared" si="22"/>
        <v>1329.1399999999999</v>
      </c>
      <c r="L83" s="95">
        <f t="shared" si="22"/>
        <v>1380.94</v>
      </c>
      <c r="M83" s="95">
        <f t="shared" si="22"/>
        <v>1395.1200000000001</v>
      </c>
      <c r="N83" s="95">
        <f t="shared" si="22"/>
        <v>1307.4600000000003</v>
      </c>
      <c r="O83" s="95">
        <f t="shared" si="22"/>
        <v>1242.94</v>
      </c>
      <c r="P83" s="95">
        <f t="shared" si="22"/>
        <v>1287.6400000000001</v>
      </c>
      <c r="Q83" s="95">
        <f t="shared" si="22"/>
        <v>1257.04</v>
      </c>
      <c r="R83" s="95">
        <f t="shared" si="22"/>
        <v>1253.24</v>
      </c>
      <c r="S83" s="95">
        <f t="shared" si="22"/>
        <v>1246.6399999999999</v>
      </c>
      <c r="T83" s="95">
        <f t="shared" si="22"/>
        <v>1266.74</v>
      </c>
      <c r="U83" s="95">
        <f t="shared" si="22"/>
        <v>1274.54</v>
      </c>
      <c r="V83" s="95">
        <f t="shared" si="22"/>
        <v>1211.94</v>
      </c>
      <c r="W83" s="95">
        <f t="shared" si="22"/>
        <v>1242.24</v>
      </c>
      <c r="X83" s="95">
        <f t="shared" si="22"/>
        <v>1363.7400000000002</v>
      </c>
      <c r="Y83" s="95">
        <f t="shared" si="22"/>
        <v>1434.74</v>
      </c>
      <c r="Z83" s="95">
        <f t="shared" si="22"/>
        <v>1399.94</v>
      </c>
      <c r="AA83" s="95">
        <f t="shared" si="22"/>
        <v>1338.54</v>
      </c>
      <c r="AB83" s="95">
        <f t="shared" si="22"/>
        <v>1358.04</v>
      </c>
      <c r="AC83" s="95">
        <f t="shared" ref="AC83" si="23">AC44+AC48+AC66+AC62+AC78+AC82</f>
        <v>1273.8399999999999</v>
      </c>
      <c r="AD83" s="95">
        <f t="shared" si="22"/>
        <v>1212.4399999999998</v>
      </c>
      <c r="AE83" s="95">
        <f t="shared" si="22"/>
        <v>1179.74</v>
      </c>
      <c r="AF83" s="95">
        <f t="shared" ref="AF83" si="24">AF44+AF48+AF66+AF62+AF78+AF82</f>
        <v>1087.6400000000001</v>
      </c>
      <c r="AG83" s="61">
        <f t="shared" si="22"/>
        <v>2004.1900000000003</v>
      </c>
      <c r="AH83" s="47">
        <f>MAX(B83:AF83)</f>
        <v>1434.74</v>
      </c>
      <c r="AI83" s="48">
        <f>MIN(B83:AF83)</f>
        <v>987.74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>
        <v>100</v>
      </c>
      <c r="L84" s="97">
        <v>150</v>
      </c>
      <c r="M84" s="97">
        <v>150</v>
      </c>
      <c r="N84" s="97">
        <v>140</v>
      </c>
      <c r="O84" s="97">
        <v>140</v>
      </c>
      <c r="P84" s="97">
        <v>60</v>
      </c>
      <c r="Q84" s="97">
        <v>50</v>
      </c>
      <c r="R84" s="97">
        <v>50</v>
      </c>
      <c r="S84" s="97">
        <v>50</v>
      </c>
      <c r="T84" s="97">
        <v>50</v>
      </c>
      <c r="U84" s="97">
        <v>50</v>
      </c>
      <c r="V84" s="97">
        <v>50</v>
      </c>
      <c r="W84" s="97">
        <v>50</v>
      </c>
      <c r="X84" s="97">
        <v>170</v>
      </c>
      <c r="Y84" s="97">
        <v>170</v>
      </c>
      <c r="Z84" s="97">
        <v>170</v>
      </c>
      <c r="AA84" s="97">
        <v>170</v>
      </c>
      <c r="AB84" s="97">
        <v>170</v>
      </c>
      <c r="AC84" s="97">
        <v>130</v>
      </c>
      <c r="AD84" s="97">
        <v>100</v>
      </c>
      <c r="AE84" s="97"/>
      <c r="AF84" s="97"/>
      <c r="AG84" s="88"/>
      <c r="AH84" s="47">
        <f t="shared" si="17"/>
        <v>170</v>
      </c>
      <c r="AI84" s="48">
        <f t="shared" si="18"/>
        <v>50</v>
      </c>
    </row>
    <row r="85" spans="1:37" ht="15.75" thickBot="1" x14ac:dyDescent="0.3">
      <c r="A85" s="74" t="s">
        <v>96</v>
      </c>
      <c r="B85" s="95">
        <v>1145.74</v>
      </c>
      <c r="C85" s="95">
        <f t="shared" ref="C85:AE85" si="25">C83+C84</f>
        <v>1012.24</v>
      </c>
      <c r="D85" s="95">
        <f t="shared" si="25"/>
        <v>987.74</v>
      </c>
      <c r="E85" s="95">
        <f t="shared" si="25"/>
        <v>1026.54</v>
      </c>
      <c r="F85" s="95">
        <f t="shared" si="25"/>
        <v>1030.1399999999999</v>
      </c>
      <c r="G85" s="95">
        <f t="shared" si="25"/>
        <v>1074.8400000000001</v>
      </c>
      <c r="H85" s="95">
        <f t="shared" si="25"/>
        <v>1174.94</v>
      </c>
      <c r="I85" s="95">
        <f t="shared" si="25"/>
        <v>1253.44</v>
      </c>
      <c r="J85" s="95">
        <f t="shared" si="25"/>
        <v>1368.14</v>
      </c>
      <c r="K85" s="95">
        <f t="shared" si="25"/>
        <v>1429.1399999999999</v>
      </c>
      <c r="L85" s="95">
        <f t="shared" si="25"/>
        <v>1530.94</v>
      </c>
      <c r="M85" s="95">
        <f t="shared" si="25"/>
        <v>1545.1200000000001</v>
      </c>
      <c r="N85" s="95">
        <f t="shared" si="25"/>
        <v>1447.4600000000003</v>
      </c>
      <c r="O85" s="95">
        <f t="shared" si="25"/>
        <v>1382.94</v>
      </c>
      <c r="P85" s="95">
        <f t="shared" si="25"/>
        <v>1347.64</v>
      </c>
      <c r="Q85" s="95">
        <f t="shared" si="25"/>
        <v>1307.04</v>
      </c>
      <c r="R85" s="95">
        <f t="shared" si="25"/>
        <v>1303.24</v>
      </c>
      <c r="S85" s="95">
        <f t="shared" si="25"/>
        <v>1296.6399999999999</v>
      </c>
      <c r="T85" s="95">
        <f t="shared" si="25"/>
        <v>1316.74</v>
      </c>
      <c r="U85" s="95">
        <f t="shared" si="25"/>
        <v>1324.54</v>
      </c>
      <c r="V85" s="95">
        <f t="shared" si="25"/>
        <v>1261.94</v>
      </c>
      <c r="W85" s="95">
        <f t="shared" si="25"/>
        <v>1292.24</v>
      </c>
      <c r="X85" s="95">
        <f t="shared" si="25"/>
        <v>1533.7400000000002</v>
      </c>
      <c r="Y85" s="95">
        <f t="shared" si="25"/>
        <v>1604.74</v>
      </c>
      <c r="Z85" s="95">
        <f t="shared" si="25"/>
        <v>1569.94</v>
      </c>
      <c r="AA85" s="95">
        <f t="shared" si="25"/>
        <v>1508.54</v>
      </c>
      <c r="AB85" s="95">
        <f t="shared" si="25"/>
        <v>1528.04</v>
      </c>
      <c r="AC85" s="95">
        <f t="shared" si="25"/>
        <v>1403.84</v>
      </c>
      <c r="AD85" s="95">
        <f t="shared" si="25"/>
        <v>1312.4399999999998</v>
      </c>
      <c r="AE85" s="95">
        <f t="shared" si="25"/>
        <v>1179.74</v>
      </c>
      <c r="AF85" s="95">
        <f t="shared" ref="AF85" si="26">AF83+AF84</f>
        <v>1087.6400000000001</v>
      </c>
      <c r="AG85" s="88">
        <f>AG82+AG78+AG66+AG62+AG44+AG84</f>
        <v>1466.0900000000001</v>
      </c>
      <c r="AH85" s="47">
        <f t="shared" si="17"/>
        <v>1604.74</v>
      </c>
      <c r="AI85" s="48">
        <f t="shared" si="18"/>
        <v>987.74</v>
      </c>
    </row>
    <row r="86" spans="1:37" ht="15.75" thickBot="1" x14ac:dyDescent="0.3">
      <c r="A86" s="74" t="s">
        <v>97</v>
      </c>
      <c r="B86" s="95">
        <v>1145.74</v>
      </c>
      <c r="C86" s="95">
        <f t="shared" ref="C86:AE86" si="27">C85-C93</f>
        <v>1012.24</v>
      </c>
      <c r="D86" s="95">
        <f t="shared" si="27"/>
        <v>987.74</v>
      </c>
      <c r="E86" s="95">
        <f t="shared" si="27"/>
        <v>1026.54</v>
      </c>
      <c r="F86" s="95">
        <f t="shared" si="27"/>
        <v>1030.1399999999999</v>
      </c>
      <c r="G86" s="95">
        <f t="shared" si="27"/>
        <v>1074.8400000000001</v>
      </c>
      <c r="H86" s="95">
        <f t="shared" si="27"/>
        <v>1174.94</v>
      </c>
      <c r="I86" s="95">
        <f t="shared" si="27"/>
        <v>1253.44</v>
      </c>
      <c r="J86" s="95">
        <f t="shared" si="27"/>
        <v>1368.14</v>
      </c>
      <c r="K86" s="95">
        <f t="shared" si="27"/>
        <v>1429.1399999999999</v>
      </c>
      <c r="L86" s="95">
        <f t="shared" si="27"/>
        <v>1530.94</v>
      </c>
      <c r="M86" s="95">
        <f t="shared" si="27"/>
        <v>1545.1200000000001</v>
      </c>
      <c r="N86" s="95">
        <f t="shared" si="27"/>
        <v>1447.4600000000003</v>
      </c>
      <c r="O86" s="95">
        <f t="shared" si="27"/>
        <v>1382.94</v>
      </c>
      <c r="P86" s="95">
        <f t="shared" si="27"/>
        <v>1347.64</v>
      </c>
      <c r="Q86" s="95">
        <f t="shared" si="27"/>
        <v>1307.04</v>
      </c>
      <c r="R86" s="95">
        <f t="shared" si="27"/>
        <v>1303.24</v>
      </c>
      <c r="S86" s="95">
        <f t="shared" si="27"/>
        <v>1296.6399999999999</v>
      </c>
      <c r="T86" s="95">
        <f t="shared" si="27"/>
        <v>1316.74</v>
      </c>
      <c r="U86" s="95">
        <f t="shared" si="27"/>
        <v>1324.54</v>
      </c>
      <c r="V86" s="95">
        <f t="shared" si="27"/>
        <v>1261.94</v>
      </c>
      <c r="W86" s="95">
        <f t="shared" si="27"/>
        <v>1292.24</v>
      </c>
      <c r="X86" s="95">
        <f t="shared" si="27"/>
        <v>1533.7400000000002</v>
      </c>
      <c r="Y86" s="95">
        <f t="shared" si="27"/>
        <v>1604.74</v>
      </c>
      <c r="Z86" s="95">
        <f t="shared" si="27"/>
        <v>1569.94</v>
      </c>
      <c r="AA86" s="95">
        <f t="shared" si="27"/>
        <v>1508.54</v>
      </c>
      <c r="AB86" s="95">
        <f t="shared" si="27"/>
        <v>1528.04</v>
      </c>
      <c r="AC86" s="95">
        <f t="shared" si="27"/>
        <v>1403.84</v>
      </c>
      <c r="AD86" s="95">
        <f t="shared" si="27"/>
        <v>1312.4399999999998</v>
      </c>
      <c r="AE86" s="95">
        <f t="shared" si="27"/>
        <v>1179.74</v>
      </c>
      <c r="AF86" s="95">
        <f t="shared" ref="AF86" si="28">AF85-AF93</f>
        <v>1087.6400000000001</v>
      </c>
      <c r="AG86" s="88"/>
      <c r="AH86" s="47">
        <f t="shared" si="17"/>
        <v>1604.74</v>
      </c>
      <c r="AI86" s="48">
        <f t="shared" si="18"/>
        <v>987.74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17"/>
        <v>0</v>
      </c>
      <c r="AI87" s="48">
        <f t="shared" si="18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17"/>
        <v>0</v>
      </c>
      <c r="AI88" s="48">
        <f t="shared" si="18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17"/>
        <v>0</v>
      </c>
      <c r="AI89" s="48">
        <f t="shared" si="18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17"/>
        <v>0</v>
      </c>
      <c r="AI90" s="48">
        <f t="shared" si="18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17"/>
        <v>0</v>
      </c>
      <c r="AI91" s="48">
        <f t="shared" si="18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17"/>
        <v>0</v>
      </c>
      <c r="AI92" s="48">
        <f t="shared" si="18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88"/>
      <c r="AH93" s="47">
        <f t="shared" si="17"/>
        <v>0</v>
      </c>
      <c r="AI93" s="48">
        <f t="shared" si="18"/>
        <v>0</v>
      </c>
      <c r="AK93" s="49"/>
    </row>
    <row r="94" spans="1:37" ht="15.75" thickBot="1" x14ac:dyDescent="0.3">
      <c r="A94" s="74" t="s">
        <v>102</v>
      </c>
      <c r="B94" s="60">
        <v>417</v>
      </c>
      <c r="C94" s="60">
        <f t="shared" ref="C94:AF94" si="29">C78-C93</f>
        <v>354</v>
      </c>
      <c r="D94" s="60">
        <f t="shared" si="29"/>
        <v>378</v>
      </c>
      <c r="E94" s="60">
        <f t="shared" si="29"/>
        <v>388</v>
      </c>
      <c r="F94" s="60">
        <f t="shared" si="29"/>
        <v>391.4</v>
      </c>
      <c r="G94" s="60">
        <f t="shared" si="29"/>
        <v>393</v>
      </c>
      <c r="H94" s="60">
        <f t="shared" si="29"/>
        <v>426</v>
      </c>
      <c r="I94" s="60">
        <f t="shared" si="29"/>
        <v>428</v>
      </c>
      <c r="J94" s="60">
        <f t="shared" si="29"/>
        <v>389</v>
      </c>
      <c r="K94" s="60">
        <f t="shared" si="29"/>
        <v>388</v>
      </c>
      <c r="L94" s="60">
        <f t="shared" si="29"/>
        <v>365</v>
      </c>
      <c r="M94" s="60">
        <f t="shared" si="29"/>
        <v>360.98</v>
      </c>
      <c r="N94" s="60">
        <f t="shared" si="29"/>
        <v>377.92</v>
      </c>
      <c r="O94" s="60">
        <f t="shared" si="29"/>
        <v>411.7</v>
      </c>
      <c r="P94" s="60">
        <f t="shared" si="29"/>
        <v>446.40000000000003</v>
      </c>
      <c r="Q94" s="60">
        <f t="shared" si="29"/>
        <v>457.6</v>
      </c>
      <c r="R94" s="60">
        <f t="shared" si="29"/>
        <v>472.3</v>
      </c>
      <c r="S94" s="60">
        <f t="shared" si="29"/>
        <v>474</v>
      </c>
      <c r="T94" s="60">
        <f t="shared" si="29"/>
        <v>466.7</v>
      </c>
      <c r="U94" s="60">
        <f t="shared" si="29"/>
        <v>487</v>
      </c>
      <c r="V94" s="60">
        <f t="shared" si="29"/>
        <v>470</v>
      </c>
      <c r="W94" s="60">
        <f t="shared" si="29"/>
        <v>483</v>
      </c>
      <c r="X94" s="60">
        <f t="shared" si="29"/>
        <v>481.20000000000005</v>
      </c>
      <c r="Y94" s="60">
        <f t="shared" si="29"/>
        <v>414</v>
      </c>
      <c r="Z94" s="60">
        <f t="shared" si="29"/>
        <v>283.60000000000002</v>
      </c>
      <c r="AA94" s="60">
        <f t="shared" si="29"/>
        <v>245.89999999999998</v>
      </c>
      <c r="AB94" s="60">
        <f t="shared" si="29"/>
        <v>424.2</v>
      </c>
      <c r="AC94" s="60">
        <f t="shared" si="29"/>
        <v>454.59999999999997</v>
      </c>
      <c r="AD94" s="60">
        <f t="shared" si="29"/>
        <v>427.59999999999997</v>
      </c>
      <c r="AE94" s="60">
        <f t="shared" si="29"/>
        <v>443.90000000000003</v>
      </c>
      <c r="AF94" s="60">
        <f t="shared" si="29"/>
        <v>446.40000000000003</v>
      </c>
      <c r="AG94" s="88"/>
      <c r="AH94" s="47">
        <f t="shared" si="17"/>
        <v>487</v>
      </c>
      <c r="AI94" s="48">
        <f t="shared" si="18"/>
        <v>245.89999999999998</v>
      </c>
    </row>
    <row r="95" spans="1:37" x14ac:dyDescent="0.25">
      <c r="A95" s="100" t="s">
        <v>103</v>
      </c>
      <c r="B95" s="101">
        <v>49.96</v>
      </c>
      <c r="C95" s="101">
        <v>49.96</v>
      </c>
      <c r="D95" s="101">
        <v>50.030999999999999</v>
      </c>
      <c r="E95" s="101">
        <v>50.052999999999997</v>
      </c>
      <c r="F95" s="101">
        <v>49.981999999999999</v>
      </c>
      <c r="G95" s="101">
        <v>49.994999999999997</v>
      </c>
      <c r="H95" s="101">
        <v>50.048000000000002</v>
      </c>
      <c r="I95" s="101">
        <v>50.027000000000001</v>
      </c>
      <c r="J95" s="101">
        <v>50.173000000000002</v>
      </c>
      <c r="K95" s="101">
        <v>49.877000000000002</v>
      </c>
      <c r="L95" s="101">
        <v>50.05</v>
      </c>
      <c r="M95" s="101">
        <v>50.024000000000001</v>
      </c>
      <c r="N95" s="101">
        <v>49.93</v>
      </c>
      <c r="O95" s="101">
        <v>49.994999999999997</v>
      </c>
      <c r="P95" s="101">
        <v>50.078000000000003</v>
      </c>
      <c r="Q95" s="101">
        <v>50.253</v>
      </c>
      <c r="R95" s="101">
        <v>49.863</v>
      </c>
      <c r="S95" s="101">
        <v>49.905999999999999</v>
      </c>
      <c r="T95" s="101">
        <v>49.981999999999999</v>
      </c>
      <c r="U95" s="101">
        <v>49.981999999999999</v>
      </c>
      <c r="V95" s="101">
        <v>49.954000000000001</v>
      </c>
      <c r="W95" s="101">
        <v>49.954000000000001</v>
      </c>
      <c r="X95" s="101">
        <v>49.968000000000004</v>
      </c>
      <c r="Y95" s="101">
        <v>49.972999999999999</v>
      </c>
      <c r="Z95" s="101">
        <v>49.823999999999998</v>
      </c>
      <c r="AA95" s="101">
        <v>49.887</v>
      </c>
      <c r="AB95" s="101">
        <v>49.887</v>
      </c>
      <c r="AC95" s="101">
        <v>50.04</v>
      </c>
      <c r="AD95" s="101">
        <v>50.069000000000003</v>
      </c>
      <c r="AE95" s="101">
        <v>50.04</v>
      </c>
      <c r="AF95" s="101">
        <v>50.01</v>
      </c>
      <c r="AG95" s="102"/>
      <c r="AH95" s="47">
        <f t="shared" si="17"/>
        <v>50.253</v>
      </c>
      <c r="AI95" s="48">
        <f t="shared" si="18"/>
        <v>49.823999999999998</v>
      </c>
    </row>
    <row r="96" spans="1:37" x14ac:dyDescent="0.25">
      <c r="A96" s="103" t="s">
        <v>104</v>
      </c>
      <c r="B96" s="65">
        <v>126.5</v>
      </c>
      <c r="C96" s="65">
        <v>126.5</v>
      </c>
      <c r="D96" s="65">
        <v>126.2</v>
      </c>
      <c r="E96" s="65">
        <v>126.2</v>
      </c>
      <c r="F96" s="65">
        <v>127.1</v>
      </c>
      <c r="G96" s="65">
        <v>127.2</v>
      </c>
      <c r="H96" s="65">
        <v>128.19999999999999</v>
      </c>
      <c r="I96" s="65">
        <v>127.4</v>
      </c>
      <c r="J96" s="65">
        <v>127.8</v>
      </c>
      <c r="K96" s="65">
        <v>127.5</v>
      </c>
      <c r="L96" s="65">
        <v>127.1</v>
      </c>
      <c r="M96" s="65">
        <v>125.6</v>
      </c>
      <c r="N96" s="65">
        <v>125.6</v>
      </c>
      <c r="O96" s="65">
        <v>128.9</v>
      </c>
      <c r="P96" s="65">
        <v>126.5</v>
      </c>
      <c r="Q96" s="65">
        <v>127.1</v>
      </c>
      <c r="R96" s="65">
        <v>126.6</v>
      </c>
      <c r="S96" s="65">
        <v>127.1</v>
      </c>
      <c r="T96" s="65">
        <v>127</v>
      </c>
      <c r="U96" s="65">
        <v>127</v>
      </c>
      <c r="V96" s="65">
        <v>129.6</v>
      </c>
      <c r="W96" s="65">
        <v>129.6</v>
      </c>
      <c r="X96" s="65">
        <v>127.2</v>
      </c>
      <c r="Y96" s="65">
        <v>128</v>
      </c>
      <c r="Z96" s="65">
        <v>127.7</v>
      </c>
      <c r="AA96" s="65">
        <v>128.30000000000001</v>
      </c>
      <c r="AB96" s="65">
        <v>128.30000000000001</v>
      </c>
      <c r="AC96" s="65">
        <v>129.6</v>
      </c>
      <c r="AD96" s="65">
        <v>130.5</v>
      </c>
      <c r="AE96" s="65">
        <v>127.9</v>
      </c>
      <c r="AF96" s="65">
        <v>127.9</v>
      </c>
      <c r="AG96" s="104"/>
      <c r="AH96" s="47">
        <f t="shared" si="17"/>
        <v>130.5</v>
      </c>
      <c r="AI96" s="48">
        <f t="shared" si="18"/>
        <v>125.6</v>
      </c>
    </row>
    <row r="97" spans="1:35" x14ac:dyDescent="0.25">
      <c r="A97" s="103" t="s">
        <v>105</v>
      </c>
      <c r="B97" s="65">
        <v>131.1</v>
      </c>
      <c r="C97" s="65">
        <v>131.1</v>
      </c>
      <c r="D97" s="65">
        <v>131</v>
      </c>
      <c r="E97" s="65">
        <v>131</v>
      </c>
      <c r="F97" s="65">
        <v>131.30000000000001</v>
      </c>
      <c r="G97" s="65">
        <v>131</v>
      </c>
      <c r="H97" s="65">
        <v>131.6</v>
      </c>
      <c r="I97" s="65">
        <v>130.69999999999999</v>
      </c>
      <c r="J97" s="65">
        <v>130.30000000000001</v>
      </c>
      <c r="K97" s="65">
        <v>128.30000000000001</v>
      </c>
      <c r="L97" s="65">
        <v>129.30000000000001</v>
      </c>
      <c r="M97" s="65">
        <v>127.7</v>
      </c>
      <c r="N97" s="65">
        <v>127.7</v>
      </c>
      <c r="O97" s="65">
        <v>130.9</v>
      </c>
      <c r="P97" s="65">
        <v>128.9</v>
      </c>
      <c r="Q97" s="65">
        <v>129.80000000000001</v>
      </c>
      <c r="R97" s="65">
        <v>129.5</v>
      </c>
      <c r="S97" s="65">
        <v>129.9</v>
      </c>
      <c r="T97" s="65">
        <v>130</v>
      </c>
      <c r="U97" s="65">
        <v>130</v>
      </c>
      <c r="V97" s="65">
        <v>131.80000000000001</v>
      </c>
      <c r="W97" s="65">
        <v>131.80000000000001</v>
      </c>
      <c r="X97" s="65">
        <v>129</v>
      </c>
      <c r="Y97" s="65">
        <v>129.4</v>
      </c>
      <c r="Z97" s="65">
        <v>129.19999999999999</v>
      </c>
      <c r="AA97" s="65">
        <v>130</v>
      </c>
      <c r="AB97" s="65">
        <v>130</v>
      </c>
      <c r="AC97" s="65">
        <v>129.6</v>
      </c>
      <c r="AD97" s="65">
        <v>132.4</v>
      </c>
      <c r="AE97" s="65">
        <v>131.4</v>
      </c>
      <c r="AF97" s="65">
        <v>131.30000000000001</v>
      </c>
      <c r="AG97" s="104"/>
      <c r="AH97" s="47">
        <f t="shared" si="17"/>
        <v>132.4</v>
      </c>
      <c r="AI97" s="48">
        <f t="shared" si="18"/>
        <v>127.7</v>
      </c>
    </row>
    <row r="98" spans="1:35" x14ac:dyDescent="0.25">
      <c r="A98" s="103" t="s">
        <v>106</v>
      </c>
      <c r="B98" s="65">
        <v>126.7</v>
      </c>
      <c r="C98" s="65">
        <v>126.7</v>
      </c>
      <c r="D98" s="65">
        <v>129.30000000000001</v>
      </c>
      <c r="E98" s="65">
        <v>129.30000000000001</v>
      </c>
      <c r="F98" s="65">
        <v>128.6</v>
      </c>
      <c r="G98" s="65">
        <v>127.1</v>
      </c>
      <c r="H98" s="65">
        <v>127.2</v>
      </c>
      <c r="I98" s="65">
        <v>127</v>
      </c>
      <c r="J98" s="65">
        <v>128.9</v>
      </c>
      <c r="K98" s="65">
        <v>126.3</v>
      </c>
      <c r="L98" s="65">
        <v>125.2</v>
      </c>
      <c r="M98" s="65">
        <v>129.5</v>
      </c>
      <c r="N98" s="65">
        <v>129.5</v>
      </c>
      <c r="O98" s="65">
        <v>125.6</v>
      </c>
      <c r="P98" s="65">
        <v>128.4</v>
      </c>
      <c r="Q98" s="65">
        <v>130.30000000000001</v>
      </c>
      <c r="R98" s="65">
        <v>126.5</v>
      </c>
      <c r="S98" s="65">
        <v>129.4</v>
      </c>
      <c r="T98" s="65">
        <v>129</v>
      </c>
      <c r="U98" s="65">
        <v>129</v>
      </c>
      <c r="V98" s="65">
        <v>130.5</v>
      </c>
      <c r="W98" s="65">
        <v>130.5</v>
      </c>
      <c r="X98" s="65">
        <v>128.19999999999999</v>
      </c>
      <c r="Y98" s="65">
        <v>127.8</v>
      </c>
      <c r="Z98" s="65">
        <v>129.5</v>
      </c>
      <c r="AA98" s="65">
        <v>132</v>
      </c>
      <c r="AB98" s="65">
        <v>132</v>
      </c>
      <c r="AC98" s="65">
        <v>129.4</v>
      </c>
      <c r="AD98" s="65">
        <v>129.6</v>
      </c>
      <c r="AE98" s="65">
        <v>130.5</v>
      </c>
      <c r="AF98" s="65">
        <v>130.19999999999999</v>
      </c>
      <c r="AG98" s="104"/>
      <c r="AH98" s="47">
        <f t="shared" si="17"/>
        <v>132</v>
      </c>
      <c r="AI98" s="48">
        <f t="shared" si="18"/>
        <v>125.2</v>
      </c>
    </row>
    <row r="99" spans="1:35" x14ac:dyDescent="0.25">
      <c r="A99" s="105" t="s">
        <v>107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104"/>
      <c r="AH99" s="47">
        <f t="shared" si="17"/>
        <v>0</v>
      </c>
      <c r="AI99" s="48">
        <f t="shared" si="18"/>
        <v>0</v>
      </c>
    </row>
    <row r="100" spans="1:35" x14ac:dyDescent="0.25">
      <c r="A100" s="105" t="s">
        <v>108</v>
      </c>
      <c r="B100" s="106">
        <v>131.4</v>
      </c>
      <c r="C100" s="106">
        <v>131.4</v>
      </c>
      <c r="D100" s="106">
        <v>129</v>
      </c>
      <c r="E100" s="106">
        <v>129</v>
      </c>
      <c r="F100" s="106">
        <v>131.1</v>
      </c>
      <c r="G100" s="106">
        <v>128.33000000000001</v>
      </c>
      <c r="H100" s="106">
        <v>133.4</v>
      </c>
      <c r="I100" s="106">
        <v>133.19999999999999</v>
      </c>
      <c r="J100" s="106">
        <v>135</v>
      </c>
      <c r="K100" s="106">
        <v>135.19999999999999</v>
      </c>
      <c r="L100" s="106">
        <v>135.9</v>
      </c>
      <c r="M100" s="106">
        <v>131.69999999999999</v>
      </c>
      <c r="N100" s="106">
        <v>131.69999999999999</v>
      </c>
      <c r="O100" s="106">
        <v>134.1</v>
      </c>
      <c r="P100" s="106">
        <v>132.9</v>
      </c>
      <c r="Q100" s="106">
        <v>132.9</v>
      </c>
      <c r="R100" s="106">
        <v>131.4</v>
      </c>
      <c r="S100" s="106">
        <v>132.19999999999999</v>
      </c>
      <c r="T100" s="106">
        <v>132.4</v>
      </c>
      <c r="U100" s="106">
        <v>132.4</v>
      </c>
      <c r="V100" s="106">
        <v>136.1</v>
      </c>
      <c r="W100" s="106">
        <v>136.1</v>
      </c>
      <c r="X100" s="106">
        <v>136</v>
      </c>
      <c r="Y100" s="106">
        <v>131.69999999999999</v>
      </c>
      <c r="Z100" s="106">
        <v>134.69999999999999</v>
      </c>
      <c r="AA100" s="106">
        <v>134</v>
      </c>
      <c r="AB100" s="106">
        <v>134</v>
      </c>
      <c r="AC100" s="106">
        <v>134.80000000000001</v>
      </c>
      <c r="AD100" s="106">
        <v>135.30000000000001</v>
      </c>
      <c r="AE100" s="106">
        <v>134.80000000000001</v>
      </c>
      <c r="AF100" s="106">
        <v>132.80000000000001</v>
      </c>
      <c r="AG100" s="107"/>
      <c r="AH100" s="47">
        <f t="shared" si="17"/>
        <v>136.1</v>
      </c>
      <c r="AI100" s="48">
        <f t="shared" si="18"/>
        <v>128.33000000000001</v>
      </c>
    </row>
    <row r="101" spans="1:35" x14ac:dyDescent="0.25">
      <c r="A101" s="103" t="s">
        <v>109</v>
      </c>
      <c r="B101" s="65"/>
      <c r="C101" s="65"/>
      <c r="D101" s="65">
        <v>137</v>
      </c>
      <c r="E101" s="65">
        <v>137</v>
      </c>
      <c r="F101" s="65">
        <v>135.6</v>
      </c>
      <c r="G101" s="65">
        <v>136</v>
      </c>
      <c r="H101" s="65">
        <v>134</v>
      </c>
      <c r="I101" s="65">
        <v>133.1</v>
      </c>
      <c r="J101" s="65">
        <v>129.34</v>
      </c>
      <c r="K101" s="65">
        <v>131.5</v>
      </c>
      <c r="L101" s="65">
        <v>129</v>
      </c>
      <c r="M101" s="65">
        <v>128.80000000000001</v>
      </c>
      <c r="N101" s="65">
        <v>128.80000000000001</v>
      </c>
      <c r="O101" s="65">
        <v>127.1</v>
      </c>
      <c r="P101" s="65"/>
      <c r="Q101" s="65">
        <v>131.6</v>
      </c>
      <c r="R101" s="65">
        <v>133.1</v>
      </c>
      <c r="S101" s="65">
        <v>132.6</v>
      </c>
      <c r="T101" s="65">
        <v>130.30000000000001</v>
      </c>
      <c r="U101" s="65">
        <v>130.30000000000001</v>
      </c>
      <c r="V101" s="65">
        <v>129</v>
      </c>
      <c r="W101" s="65">
        <v>129</v>
      </c>
      <c r="X101" s="65">
        <v>133.19999999999999</v>
      </c>
      <c r="Y101" s="65"/>
      <c r="Z101" s="65"/>
      <c r="AA101" s="65"/>
      <c r="AB101" s="65"/>
      <c r="AC101" s="65"/>
      <c r="AD101" s="65"/>
      <c r="AE101" s="65"/>
      <c r="AF101" s="65">
        <v>133.80000000000001</v>
      </c>
      <c r="AG101" s="104"/>
      <c r="AH101" s="47">
        <f t="shared" si="17"/>
        <v>137</v>
      </c>
      <c r="AI101" s="48">
        <f t="shared" si="18"/>
        <v>127.1</v>
      </c>
    </row>
    <row r="102" spans="1:35" ht="15.75" thickBot="1" x14ac:dyDescent="0.3">
      <c r="A102" s="103" t="s">
        <v>110</v>
      </c>
      <c r="B102" s="92">
        <v>65.8</v>
      </c>
      <c r="C102" s="92">
        <v>65.8</v>
      </c>
      <c r="D102" s="92">
        <v>65.599999999999994</v>
      </c>
      <c r="E102" s="92">
        <v>65.599999999999994</v>
      </c>
      <c r="F102" s="92">
        <v>66</v>
      </c>
      <c r="G102" s="92">
        <v>65.599999999999994</v>
      </c>
      <c r="H102" s="92">
        <v>66</v>
      </c>
      <c r="I102" s="92">
        <v>65.599999999999994</v>
      </c>
      <c r="J102" s="92">
        <v>65.099999999999994</v>
      </c>
      <c r="K102" s="92">
        <v>64.400000000000006</v>
      </c>
      <c r="L102" s="92">
        <v>64.5</v>
      </c>
      <c r="M102" s="92">
        <v>64</v>
      </c>
      <c r="N102" s="92">
        <v>64</v>
      </c>
      <c r="O102" s="92">
        <v>65.3</v>
      </c>
      <c r="P102" s="92">
        <v>64.599999999999994</v>
      </c>
      <c r="Q102" s="92">
        <v>64.5</v>
      </c>
      <c r="R102" s="92">
        <v>64.7</v>
      </c>
      <c r="S102" s="92">
        <v>64.900000000000006</v>
      </c>
      <c r="T102" s="92">
        <v>64.599999999999994</v>
      </c>
      <c r="U102" s="92">
        <v>64.599999999999994</v>
      </c>
      <c r="V102" s="92">
        <v>65.7</v>
      </c>
      <c r="W102" s="92">
        <v>65.7</v>
      </c>
      <c r="X102" s="92">
        <v>64.2</v>
      </c>
      <c r="Y102" s="92">
        <v>64.900000000000006</v>
      </c>
      <c r="Z102" s="92">
        <v>64.400000000000006</v>
      </c>
      <c r="AA102" s="92">
        <v>65</v>
      </c>
      <c r="AB102" s="92">
        <v>65</v>
      </c>
      <c r="AC102" s="92">
        <v>65.7</v>
      </c>
      <c r="AD102" s="92">
        <v>66.3</v>
      </c>
      <c r="AE102" s="92">
        <v>65.599999999999994</v>
      </c>
      <c r="AF102" s="92">
        <v>65.8</v>
      </c>
      <c r="AG102" s="108"/>
      <c r="AH102" s="47">
        <f t="shared" si="17"/>
        <v>66.3</v>
      </c>
      <c r="AI102" s="48">
        <f t="shared" si="18"/>
        <v>64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17"/>
        <v>0</v>
      </c>
      <c r="AI103" s="48">
        <f t="shared" si="18"/>
        <v>0</v>
      </c>
    </row>
    <row r="104" spans="1:35" ht="15.75" thickBot="1" x14ac:dyDescent="0.3">
      <c r="A104" s="110" t="s">
        <v>112</v>
      </c>
      <c r="B104" s="111">
        <v>171.5</v>
      </c>
      <c r="C104" s="111">
        <f t="shared" ref="C104:AF104" si="30">SUM(C16,C22,C25:C26,C52,C54:C55,C57,C59,C105:C109,C131,C137,C143,C152,C154,C166,C173,C176:C177,C184,C186,C188,C192:C194,C196:C198,C203,C209:C210,C212:C214,C222,C227)</f>
        <v>168.44</v>
      </c>
      <c r="D104" s="111">
        <f t="shared" si="30"/>
        <v>133.63999999999999</v>
      </c>
      <c r="E104" s="111">
        <f>SUM(E16,E22,E25:E26,E52,E54:E55,E57,E59,E105:E109,E131,E137,E143,E152,E154,E166,E173,E176:E177,E184,E186,E188,E192:E194,E196:E198,E203,E209:E210,E212:E214,E222,E227)</f>
        <v>123.03999999999998</v>
      </c>
      <c r="F104" s="111">
        <f t="shared" si="30"/>
        <v>133.74</v>
      </c>
      <c r="G104" s="111">
        <f t="shared" si="30"/>
        <v>145.94</v>
      </c>
      <c r="H104" s="111">
        <f t="shared" si="30"/>
        <v>181.94</v>
      </c>
      <c r="I104" s="111">
        <f t="shared" si="30"/>
        <v>205.24</v>
      </c>
      <c r="J104" s="111">
        <f t="shared" si="30"/>
        <v>292.03999999999996</v>
      </c>
      <c r="K104" s="111">
        <f t="shared" si="30"/>
        <v>332.14</v>
      </c>
      <c r="L104" s="111">
        <f t="shared" si="30"/>
        <v>374.64000000000004</v>
      </c>
      <c r="M104" s="111">
        <f t="shared" si="30"/>
        <v>376.14000000000004</v>
      </c>
      <c r="N104" s="111">
        <f t="shared" si="30"/>
        <v>349.94</v>
      </c>
      <c r="O104" s="111">
        <f t="shared" si="30"/>
        <v>353.94</v>
      </c>
      <c r="P104" s="111">
        <v>42</v>
      </c>
      <c r="Q104" s="111">
        <f t="shared" si="30"/>
        <v>320.5</v>
      </c>
      <c r="R104" s="111">
        <f t="shared" si="30"/>
        <v>302.2</v>
      </c>
      <c r="S104" s="111">
        <f t="shared" si="30"/>
        <v>297.3</v>
      </c>
      <c r="T104" s="111">
        <f t="shared" si="30"/>
        <v>318.5</v>
      </c>
      <c r="U104" s="111">
        <f t="shared" si="30"/>
        <v>318.5</v>
      </c>
      <c r="V104" s="111">
        <f t="shared" si="30"/>
        <v>343</v>
      </c>
      <c r="W104" s="111">
        <f t="shared" si="30"/>
        <v>401.7</v>
      </c>
      <c r="X104" s="111">
        <f t="shared" si="30"/>
        <v>401.7</v>
      </c>
      <c r="Y104" s="111">
        <f t="shared" si="30"/>
        <v>417.9</v>
      </c>
      <c r="Z104" s="111">
        <f t="shared" si="30"/>
        <v>421.79999999999995</v>
      </c>
      <c r="AA104" s="111">
        <f t="shared" si="30"/>
        <v>400.9</v>
      </c>
      <c r="AB104" s="111">
        <f t="shared" si="30"/>
        <v>400.9</v>
      </c>
      <c r="AC104" s="111">
        <f t="shared" si="30"/>
        <v>353.2</v>
      </c>
      <c r="AD104" s="111">
        <f t="shared" si="30"/>
        <v>338.8</v>
      </c>
      <c r="AE104" s="111">
        <f t="shared" si="30"/>
        <v>232</v>
      </c>
      <c r="AF104" s="111">
        <f t="shared" si="30"/>
        <v>177.8</v>
      </c>
      <c r="AG104" s="112"/>
      <c r="AH104" s="47">
        <f t="shared" si="17"/>
        <v>421.79999999999995</v>
      </c>
      <c r="AI104" s="48">
        <f t="shared" si="18"/>
        <v>42</v>
      </c>
    </row>
    <row r="105" spans="1:35" x14ac:dyDescent="0.25">
      <c r="A105" s="100" t="s">
        <v>113</v>
      </c>
      <c r="B105" s="113">
        <v>-9.3000000000000007</v>
      </c>
      <c r="C105" s="113">
        <v>-9.3000000000000007</v>
      </c>
      <c r="D105" s="113">
        <v>-20</v>
      </c>
      <c r="E105" s="113">
        <v>-21.7</v>
      </c>
      <c r="F105" s="113">
        <v>-20.6</v>
      </c>
      <c r="G105" s="113">
        <v>-25.2</v>
      </c>
      <c r="H105" s="113">
        <v>-11.1</v>
      </c>
      <c r="I105" s="113">
        <v>-4.2</v>
      </c>
      <c r="J105" s="113">
        <v>27.6</v>
      </c>
      <c r="K105" s="113">
        <v>22.9</v>
      </c>
      <c r="L105" s="113">
        <v>29.2</v>
      </c>
      <c r="M105" s="113">
        <v>28.7</v>
      </c>
      <c r="N105" s="113">
        <v>14.3</v>
      </c>
      <c r="O105" s="113">
        <v>13.9</v>
      </c>
      <c r="P105" s="113">
        <v>9.6</v>
      </c>
      <c r="Q105" s="113">
        <v>6.3</v>
      </c>
      <c r="R105" s="113">
        <v>3.1</v>
      </c>
      <c r="S105" s="113">
        <v>2.2999999999999998</v>
      </c>
      <c r="T105" s="113">
        <v>1</v>
      </c>
      <c r="U105" s="113">
        <v>1</v>
      </c>
      <c r="V105" s="113">
        <v>4.5999999999999996</v>
      </c>
      <c r="W105" s="113">
        <v>30.1</v>
      </c>
      <c r="X105" s="113">
        <v>30.1</v>
      </c>
      <c r="Y105" s="113">
        <v>27.3</v>
      </c>
      <c r="Z105" s="113">
        <v>29.4</v>
      </c>
      <c r="AA105" s="113">
        <v>34</v>
      </c>
      <c r="AB105" s="113">
        <v>34</v>
      </c>
      <c r="AC105" s="113">
        <v>24</v>
      </c>
      <c r="AD105" s="113">
        <v>25.9</v>
      </c>
      <c r="AE105" s="113">
        <v>10.6</v>
      </c>
      <c r="AF105" s="113">
        <v>-5.9</v>
      </c>
      <c r="AG105" s="114">
        <v>75</v>
      </c>
      <c r="AH105" s="47">
        <f t="shared" si="17"/>
        <v>34</v>
      </c>
      <c r="AI105" s="48">
        <f t="shared" si="18"/>
        <v>-25.2</v>
      </c>
    </row>
    <row r="106" spans="1:35" x14ac:dyDescent="0.25">
      <c r="A106" s="103" t="s">
        <v>114</v>
      </c>
      <c r="B106" s="115">
        <v>-12.5</v>
      </c>
      <c r="C106" s="115">
        <v>-12.5</v>
      </c>
      <c r="D106" s="115">
        <v>-26.5</v>
      </c>
      <c r="E106" s="115">
        <v>-28.7</v>
      </c>
      <c r="F106" s="115">
        <v>-27.1</v>
      </c>
      <c r="G106" s="115">
        <v>-32.9</v>
      </c>
      <c r="H106" s="115">
        <v>-15.9</v>
      </c>
      <c r="I106" s="115">
        <v>-5.6</v>
      </c>
      <c r="J106" s="115">
        <v>38.700000000000003</v>
      </c>
      <c r="K106" s="115">
        <v>27.2</v>
      </c>
      <c r="L106" s="115">
        <v>34.9</v>
      </c>
      <c r="M106" s="115">
        <v>35.4</v>
      </c>
      <c r="N106" s="115">
        <v>14.5</v>
      </c>
      <c r="O106" s="115">
        <v>17</v>
      </c>
      <c r="P106" s="115">
        <v>9.8000000000000007</v>
      </c>
      <c r="Q106" s="115">
        <v>7.9</v>
      </c>
      <c r="R106" s="115">
        <v>3.7</v>
      </c>
      <c r="S106" s="115">
        <v>2.5</v>
      </c>
      <c r="T106" s="115">
        <v>1.2</v>
      </c>
      <c r="U106" s="115">
        <v>1.2</v>
      </c>
      <c r="V106" s="115">
        <v>1.4</v>
      </c>
      <c r="W106" s="115">
        <v>34</v>
      </c>
      <c r="X106" s="115">
        <v>34</v>
      </c>
      <c r="Y106" s="115">
        <v>31.7</v>
      </c>
      <c r="Z106" s="115">
        <v>31.5</v>
      </c>
      <c r="AA106" s="115">
        <v>40</v>
      </c>
      <c r="AB106" s="115">
        <v>40</v>
      </c>
      <c r="AC106" s="115">
        <v>26.4</v>
      </c>
      <c r="AD106" s="115">
        <v>29.9</v>
      </c>
      <c r="AE106" s="115">
        <v>13.6</v>
      </c>
      <c r="AF106" s="115">
        <v>-6.2</v>
      </c>
      <c r="AG106" s="114">
        <v>240</v>
      </c>
      <c r="AH106" s="47">
        <f t="shared" si="17"/>
        <v>40</v>
      </c>
      <c r="AI106" s="48">
        <f t="shared" si="18"/>
        <v>-32.9</v>
      </c>
    </row>
    <row r="107" spans="1:35" x14ac:dyDescent="0.25">
      <c r="A107" s="103" t="s">
        <v>115</v>
      </c>
      <c r="B107" s="115">
        <v>-25.5</v>
      </c>
      <c r="C107" s="115">
        <v>-25.5</v>
      </c>
      <c r="D107" s="115">
        <v>-39.6</v>
      </c>
      <c r="E107" s="115">
        <v>-33.200000000000003</v>
      </c>
      <c r="F107" s="115">
        <v>-28.3</v>
      </c>
      <c r="G107" s="115">
        <v>-37</v>
      </c>
      <c r="H107" s="115">
        <v>-34.1</v>
      </c>
      <c r="I107" s="115">
        <v>-30.6</v>
      </c>
      <c r="J107" s="115">
        <v>-10.3</v>
      </c>
      <c r="K107" s="115">
        <v>23</v>
      </c>
      <c r="L107" s="115">
        <v>52</v>
      </c>
      <c r="M107" s="115">
        <v>45</v>
      </c>
      <c r="N107" s="115">
        <v>63</v>
      </c>
      <c r="O107" s="115">
        <f>31.9+31.6</f>
        <v>63.5</v>
      </c>
      <c r="P107" s="115">
        <v>60</v>
      </c>
      <c r="Q107" s="115">
        <v>43</v>
      </c>
      <c r="R107" s="115">
        <v>41</v>
      </c>
      <c r="S107" s="115">
        <v>36.299999999999997</v>
      </c>
      <c r="T107" s="115">
        <v>60</v>
      </c>
      <c r="U107" s="115">
        <v>60</v>
      </c>
      <c r="V107" s="115">
        <v>60</v>
      </c>
      <c r="W107" s="115">
        <v>80</v>
      </c>
      <c r="X107" s="115">
        <v>80</v>
      </c>
      <c r="Y107" s="115">
        <v>82</v>
      </c>
      <c r="Z107" s="115">
        <v>83</v>
      </c>
      <c r="AA107" s="115">
        <v>73</v>
      </c>
      <c r="AB107" s="115">
        <v>73</v>
      </c>
      <c r="AC107" s="115">
        <f>21.5+28.9</f>
        <v>50.4</v>
      </c>
      <c r="AD107" s="115">
        <f>21.7+22.7</f>
        <v>44.4</v>
      </c>
      <c r="AE107" s="115">
        <f>-9.5-10.6</f>
        <v>-20.100000000000001</v>
      </c>
      <c r="AF107" s="115">
        <f>-11.9-12.9</f>
        <v>-24.8</v>
      </c>
      <c r="AG107" s="114">
        <v>240</v>
      </c>
      <c r="AH107" s="47">
        <f t="shared" si="17"/>
        <v>83</v>
      </c>
      <c r="AI107" s="48">
        <f t="shared" si="18"/>
        <v>-39.6</v>
      </c>
    </row>
    <row r="108" spans="1:35" x14ac:dyDescent="0.25">
      <c r="A108" s="103" t="s">
        <v>116</v>
      </c>
      <c r="B108" s="115">
        <v>-4.2</v>
      </c>
      <c r="C108" s="115">
        <v>-4.2</v>
      </c>
      <c r="D108" s="115">
        <v>-0.9</v>
      </c>
      <c r="E108" s="115">
        <v>-1.2</v>
      </c>
      <c r="F108" s="115">
        <v>-2.4</v>
      </c>
      <c r="G108" s="115">
        <v>17.5</v>
      </c>
      <c r="H108" s="115">
        <v>20.5</v>
      </c>
      <c r="I108" s="115">
        <v>23</v>
      </c>
      <c r="J108" s="115">
        <v>17.7</v>
      </c>
      <c r="K108" s="115">
        <v>25.9</v>
      </c>
      <c r="L108" s="115">
        <v>31.8</v>
      </c>
      <c r="M108" s="115">
        <v>38.299999999999997</v>
      </c>
      <c r="N108" s="115">
        <v>29.7</v>
      </c>
      <c r="O108" s="115">
        <v>26.6</v>
      </c>
      <c r="P108" s="115">
        <v>26.4</v>
      </c>
      <c r="Q108" s="115">
        <v>31.6</v>
      </c>
      <c r="R108" s="115">
        <v>32.5</v>
      </c>
      <c r="S108" s="115">
        <v>33.6</v>
      </c>
      <c r="T108" s="115">
        <v>34.299999999999997</v>
      </c>
      <c r="U108" s="115">
        <v>34.299999999999997</v>
      </c>
      <c r="V108" s="115">
        <v>40.700000000000003</v>
      </c>
      <c r="W108" s="115">
        <v>50.2</v>
      </c>
      <c r="X108" s="115">
        <v>50.2</v>
      </c>
      <c r="Y108" s="115">
        <v>60</v>
      </c>
      <c r="Z108" s="115">
        <v>58</v>
      </c>
      <c r="AA108" s="115">
        <v>44</v>
      </c>
      <c r="AB108" s="115">
        <v>44</v>
      </c>
      <c r="AC108" s="115">
        <v>23.6</v>
      </c>
      <c r="AD108" s="115">
        <v>20.7</v>
      </c>
      <c r="AE108" s="115">
        <v>7</v>
      </c>
      <c r="AF108" s="115">
        <v>2.4</v>
      </c>
      <c r="AG108" s="114">
        <v>60</v>
      </c>
      <c r="AH108" s="47">
        <f t="shared" si="17"/>
        <v>60</v>
      </c>
      <c r="AI108" s="48">
        <f t="shared" si="18"/>
        <v>-4.2</v>
      </c>
    </row>
    <row r="109" spans="1:35" x14ac:dyDescent="0.25">
      <c r="A109" s="116" t="s">
        <v>117</v>
      </c>
      <c r="B109" s="117">
        <v>104</v>
      </c>
      <c r="C109" s="117">
        <v>100</v>
      </c>
      <c r="D109" s="117">
        <v>105</v>
      </c>
      <c r="E109" s="117">
        <v>92.1</v>
      </c>
      <c r="F109" s="117">
        <v>96.6</v>
      </c>
      <c r="G109" s="117">
        <v>108</v>
      </c>
      <c r="H109" s="117">
        <v>107</v>
      </c>
      <c r="I109" s="117">
        <v>106</v>
      </c>
      <c r="J109" s="117">
        <v>101.7</v>
      </c>
      <c r="K109" s="117">
        <v>116</v>
      </c>
      <c r="L109" s="117">
        <v>110.1</v>
      </c>
      <c r="M109" s="117">
        <v>112.1</v>
      </c>
      <c r="N109" s="117">
        <v>109.8</v>
      </c>
      <c r="O109" s="117">
        <v>110.3</v>
      </c>
      <c r="P109" s="117">
        <v>107.1</v>
      </c>
      <c r="Q109" s="117">
        <v>108</v>
      </c>
      <c r="R109" s="117">
        <v>98.2</v>
      </c>
      <c r="S109" s="117">
        <v>98.9</v>
      </c>
      <c r="T109" s="117">
        <v>98.3</v>
      </c>
      <c r="U109" s="117">
        <v>98.3</v>
      </c>
      <c r="V109" s="117">
        <v>116.1</v>
      </c>
      <c r="W109" s="117">
        <v>95.2</v>
      </c>
      <c r="X109" s="117">
        <v>95.2</v>
      </c>
      <c r="Y109" s="117">
        <v>104</v>
      </c>
      <c r="Z109" s="117">
        <v>107</v>
      </c>
      <c r="AA109" s="117">
        <v>97</v>
      </c>
      <c r="AB109" s="117">
        <v>97</v>
      </c>
      <c r="AC109" s="117">
        <v>115.9</v>
      </c>
      <c r="AD109" s="117">
        <v>104.8</v>
      </c>
      <c r="AE109" s="117">
        <v>100.9</v>
      </c>
      <c r="AF109" s="117">
        <v>99</v>
      </c>
      <c r="AG109" s="118">
        <v>120</v>
      </c>
      <c r="AH109" s="47">
        <f t="shared" si="17"/>
        <v>116.1</v>
      </c>
      <c r="AI109" s="48">
        <f t="shared" si="18"/>
        <v>92.1</v>
      </c>
    </row>
    <row r="110" spans="1:35" x14ac:dyDescent="0.25">
      <c r="A110" s="116" t="s">
        <v>118</v>
      </c>
      <c r="B110" s="117">
        <v>101</v>
      </c>
      <c r="C110" s="117">
        <v>98</v>
      </c>
      <c r="D110" s="117">
        <v>101</v>
      </c>
      <c r="E110" s="117">
        <v>95.6</v>
      </c>
      <c r="F110" s="117">
        <v>99.9</v>
      </c>
      <c r="G110" s="117">
        <v>107</v>
      </c>
      <c r="H110" s="117">
        <v>104</v>
      </c>
      <c r="I110" s="117">
        <v>102</v>
      </c>
      <c r="J110" s="117">
        <v>89.9</v>
      </c>
      <c r="K110" s="117">
        <v>100</v>
      </c>
      <c r="L110" s="117">
        <v>100.1</v>
      </c>
      <c r="M110" s="117">
        <v>92.7</v>
      </c>
      <c r="N110" s="117">
        <v>96</v>
      </c>
      <c r="O110" s="117">
        <v>79</v>
      </c>
      <c r="P110" s="117">
        <v>88.4</v>
      </c>
      <c r="Q110" s="117">
        <v>100.6</v>
      </c>
      <c r="R110" s="117">
        <v>98.9</v>
      </c>
      <c r="S110" s="117">
        <v>94.4</v>
      </c>
      <c r="T110" s="117">
        <v>100</v>
      </c>
      <c r="U110" s="117">
        <v>100</v>
      </c>
      <c r="V110" s="117">
        <v>87</v>
      </c>
      <c r="W110" s="117">
        <v>95.1</v>
      </c>
      <c r="X110" s="117">
        <v>95.1</v>
      </c>
      <c r="Y110" s="117">
        <v>82.3</v>
      </c>
      <c r="Z110" s="117">
        <v>93</v>
      </c>
      <c r="AA110" s="117">
        <v>88</v>
      </c>
      <c r="AB110" s="117">
        <v>88</v>
      </c>
      <c r="AC110" s="117">
        <v>85.9</v>
      </c>
      <c r="AD110" s="117">
        <v>78</v>
      </c>
      <c r="AE110" s="117">
        <v>96.6</v>
      </c>
      <c r="AF110" s="117">
        <v>98.9</v>
      </c>
      <c r="AG110" s="118"/>
      <c r="AH110" s="47">
        <f t="shared" si="17"/>
        <v>107</v>
      </c>
      <c r="AI110" s="48">
        <f t="shared" si="18"/>
        <v>78</v>
      </c>
    </row>
    <row r="111" spans="1:35" x14ac:dyDescent="0.25">
      <c r="A111" s="116" t="s">
        <v>119</v>
      </c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>
        <v>24.1</v>
      </c>
      <c r="N111" s="117">
        <v>43.1</v>
      </c>
      <c r="O111" s="117">
        <v>26.9</v>
      </c>
      <c r="P111" s="117">
        <v>32.799999999999997</v>
      </c>
      <c r="Q111" s="117">
        <v>38.200000000000003</v>
      </c>
      <c r="R111" s="117">
        <v>42.4</v>
      </c>
      <c r="S111" s="117">
        <v>43.7</v>
      </c>
      <c r="T111" s="117">
        <v>44</v>
      </c>
      <c r="U111" s="117">
        <v>44</v>
      </c>
      <c r="V111" s="117">
        <v>25.4</v>
      </c>
      <c r="W111" s="117">
        <v>15</v>
      </c>
      <c r="X111" s="117">
        <v>15</v>
      </c>
      <c r="Y111" s="117">
        <v>24</v>
      </c>
      <c r="Z111" s="117">
        <v>15.4</v>
      </c>
      <c r="AA111" s="117">
        <v>11</v>
      </c>
      <c r="AB111" s="117">
        <v>11</v>
      </c>
      <c r="AC111" s="117">
        <v>21</v>
      </c>
      <c r="AD111" s="117">
        <v>19.5</v>
      </c>
      <c r="AE111" s="117">
        <v>26.6</v>
      </c>
      <c r="AF111" s="117">
        <v>43.6</v>
      </c>
      <c r="AG111" s="119"/>
      <c r="AH111" s="47">
        <f t="shared" si="17"/>
        <v>44</v>
      </c>
      <c r="AI111" s="48">
        <f t="shared" si="18"/>
        <v>11</v>
      </c>
    </row>
    <row r="112" spans="1:35" x14ac:dyDescent="0.25">
      <c r="A112" s="120" t="s">
        <v>120</v>
      </c>
      <c r="B112" s="106">
        <v>-16.600000000000001</v>
      </c>
      <c r="C112" s="106">
        <v>-21.1</v>
      </c>
      <c r="D112" s="106">
        <v>24</v>
      </c>
      <c r="E112" s="106">
        <v>24.8</v>
      </c>
      <c r="F112" s="106">
        <v>25.8</v>
      </c>
      <c r="G112" s="106">
        <v>21</v>
      </c>
      <c r="H112" s="106">
        <v>8.1</v>
      </c>
      <c r="I112" s="106">
        <v>0</v>
      </c>
      <c r="J112" s="106">
        <v>-24</v>
      </c>
      <c r="K112" s="106">
        <v>-16.399999999999999</v>
      </c>
      <c r="L112" s="106">
        <v>-20.100000000000001</v>
      </c>
      <c r="M112" s="106">
        <v>-43.2</v>
      </c>
      <c r="N112" s="106">
        <v>-25.4</v>
      </c>
      <c r="O112" s="106">
        <v>-58.3</v>
      </c>
      <c r="P112" s="106">
        <v>-30.2</v>
      </c>
      <c r="Q112" s="106">
        <v>-3.4</v>
      </c>
      <c r="R112" s="106">
        <v>8.6999999999999993</v>
      </c>
      <c r="S112" s="106">
        <v>3.7</v>
      </c>
      <c r="T112" s="106">
        <v>-11</v>
      </c>
      <c r="U112" s="106">
        <v>-11</v>
      </c>
      <c r="V112" s="106">
        <v>-13</v>
      </c>
      <c r="W112" s="106">
        <v>-56</v>
      </c>
      <c r="X112" s="106">
        <v>-56</v>
      </c>
      <c r="Y112" s="106">
        <v>-46</v>
      </c>
      <c r="Z112" s="106">
        <v>-40</v>
      </c>
      <c r="AA112" s="106">
        <v>-29</v>
      </c>
      <c r="AB112" s="106">
        <v>-29</v>
      </c>
      <c r="AC112" s="106">
        <v>-8.1</v>
      </c>
      <c r="AD112" s="106">
        <v>1.8</v>
      </c>
      <c r="AE112" s="106">
        <v>14.7</v>
      </c>
      <c r="AF112" s="106">
        <v>19.8</v>
      </c>
      <c r="AG112" s="119"/>
      <c r="AH112" s="47">
        <f t="shared" si="17"/>
        <v>25.8</v>
      </c>
      <c r="AI112" s="48">
        <f t="shared" si="18"/>
        <v>-58.3</v>
      </c>
    </row>
    <row r="113" spans="1:37" ht="15.75" thickBot="1" x14ac:dyDescent="0.3">
      <c r="A113" s="120" t="s">
        <v>121</v>
      </c>
      <c r="B113" s="106">
        <v>11</v>
      </c>
      <c r="C113" s="106">
        <v>10</v>
      </c>
      <c r="D113" s="106">
        <v>6.3</v>
      </c>
      <c r="E113" s="106">
        <v>0</v>
      </c>
      <c r="F113" s="106">
        <v>0</v>
      </c>
      <c r="G113" s="106">
        <v>2.9</v>
      </c>
      <c r="H113" s="106">
        <v>4.2</v>
      </c>
      <c r="I113" s="106">
        <v>6.9</v>
      </c>
      <c r="J113" s="106">
        <v>0</v>
      </c>
      <c r="K113" s="106">
        <v>-25.3</v>
      </c>
      <c r="L113" s="106">
        <v>-41.6</v>
      </c>
      <c r="M113" s="106">
        <v>-34.799999999999997</v>
      </c>
      <c r="N113" s="106">
        <v>-61.6</v>
      </c>
      <c r="O113" s="106">
        <v>-47.3</v>
      </c>
      <c r="P113" s="106">
        <v>-50.7</v>
      </c>
      <c r="Q113" s="106">
        <v>-44.3</v>
      </c>
      <c r="R113" s="106">
        <v>-41.7</v>
      </c>
      <c r="S113" s="106">
        <v>-39.6</v>
      </c>
      <c r="T113" s="106">
        <v>42.4</v>
      </c>
      <c r="U113" s="106">
        <v>42.4</v>
      </c>
      <c r="V113" s="106">
        <v>-40.5</v>
      </c>
      <c r="W113" s="106">
        <v>-43</v>
      </c>
      <c r="X113" s="106">
        <v>-43</v>
      </c>
      <c r="Y113" s="106">
        <v>-44</v>
      </c>
      <c r="Z113" s="106">
        <v>-43</v>
      </c>
      <c r="AA113" s="106">
        <v>-42</v>
      </c>
      <c r="AB113" s="106">
        <v>-42</v>
      </c>
      <c r="AC113" s="106">
        <v>-42.3</v>
      </c>
      <c r="AD113" s="106">
        <v>-34.9</v>
      </c>
      <c r="AE113" s="106">
        <v>7.6</v>
      </c>
      <c r="AF113" s="106">
        <v>3.1</v>
      </c>
      <c r="AG113" s="119"/>
      <c r="AH113" s="47">
        <f t="shared" si="17"/>
        <v>42.4</v>
      </c>
      <c r="AI113" s="48">
        <f t="shared" si="18"/>
        <v>-61.6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31">SUM(B115:B219)</f>
        <v>0</v>
      </c>
      <c r="C220" s="136">
        <f t="shared" si="31"/>
        <v>0</v>
      </c>
      <c r="D220" s="136">
        <f t="shared" si="31"/>
        <v>0</v>
      </c>
      <c r="E220" s="136">
        <f t="shared" si="31"/>
        <v>0</v>
      </c>
      <c r="F220" s="136">
        <f t="shared" si="31"/>
        <v>0</v>
      </c>
      <c r="G220" s="136">
        <f t="shared" si="31"/>
        <v>0</v>
      </c>
      <c r="H220" s="136">
        <f t="shared" si="31"/>
        <v>0</v>
      </c>
      <c r="I220" s="136">
        <f t="shared" si="31"/>
        <v>0</v>
      </c>
      <c r="J220" s="136">
        <f t="shared" si="31"/>
        <v>0</v>
      </c>
      <c r="K220" s="136">
        <f t="shared" si="31"/>
        <v>0</v>
      </c>
      <c r="L220" s="136">
        <f t="shared" si="31"/>
        <v>0</v>
      </c>
      <c r="M220" s="136">
        <f t="shared" si="31"/>
        <v>0</v>
      </c>
      <c r="N220" s="136">
        <f t="shared" si="31"/>
        <v>0</v>
      </c>
      <c r="O220" s="136">
        <f t="shared" si="31"/>
        <v>0</v>
      </c>
      <c r="P220" s="136">
        <f t="shared" si="31"/>
        <v>0</v>
      </c>
      <c r="Q220" s="136">
        <f t="shared" si="31"/>
        <v>0</v>
      </c>
      <c r="R220" s="136">
        <f t="shared" si="31"/>
        <v>0</v>
      </c>
      <c r="S220" s="136">
        <f t="shared" si="31"/>
        <v>0</v>
      </c>
      <c r="T220" s="136">
        <f t="shared" si="31"/>
        <v>0</v>
      </c>
      <c r="U220" s="136">
        <f t="shared" si="31"/>
        <v>0</v>
      </c>
      <c r="V220" s="136">
        <f t="shared" si="31"/>
        <v>0</v>
      </c>
      <c r="W220" s="136">
        <f t="shared" si="31"/>
        <v>0</v>
      </c>
      <c r="X220" s="136">
        <f t="shared" si="31"/>
        <v>0</v>
      </c>
      <c r="Y220" s="136">
        <f t="shared" si="31"/>
        <v>0</v>
      </c>
      <c r="Z220" s="136">
        <f t="shared" si="31"/>
        <v>0</v>
      </c>
      <c r="AA220" s="136">
        <f t="shared" si="31"/>
        <v>0</v>
      </c>
      <c r="AB220" s="136">
        <f t="shared" si="31"/>
        <v>0</v>
      </c>
      <c r="AC220" s="136">
        <f t="shared" si="31"/>
        <v>0</v>
      </c>
      <c r="AD220" s="136">
        <f t="shared" si="31"/>
        <v>0</v>
      </c>
      <c r="AE220" s="136">
        <f t="shared" si="31"/>
        <v>0</v>
      </c>
      <c r="AF220" s="137">
        <f t="shared" si="31"/>
        <v>0</v>
      </c>
      <c r="AG220" s="138">
        <f t="shared" si="31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32">AF222</f>
        <v>0</v>
      </c>
      <c r="C222" s="140">
        <v>0.3</v>
      </c>
      <c r="D222" s="140">
        <f t="shared" ref="D222:P227" si="33">C222</f>
        <v>0.3</v>
      </c>
      <c r="E222" s="140">
        <f t="shared" si="33"/>
        <v>0.3</v>
      </c>
      <c r="F222" s="140">
        <f t="shared" si="33"/>
        <v>0.3</v>
      </c>
      <c r="G222" s="140">
        <f t="shared" si="33"/>
        <v>0.3</v>
      </c>
      <c r="H222" s="140">
        <f t="shared" si="33"/>
        <v>0.3</v>
      </c>
      <c r="I222" s="140">
        <f t="shared" si="33"/>
        <v>0.3</v>
      </c>
      <c r="J222" s="140">
        <f t="shared" si="33"/>
        <v>0.3</v>
      </c>
      <c r="K222" s="140">
        <f t="shared" si="33"/>
        <v>0.3</v>
      </c>
      <c r="L222" s="140">
        <f t="shared" si="33"/>
        <v>0.3</v>
      </c>
      <c r="M222" s="140">
        <f t="shared" si="33"/>
        <v>0.3</v>
      </c>
      <c r="N222" s="140">
        <f t="shared" si="33"/>
        <v>0.3</v>
      </c>
      <c r="O222" s="140">
        <f t="shared" si="33"/>
        <v>0.3</v>
      </c>
      <c r="P222" s="140">
        <f t="shared" si="33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32"/>
        <v>0</v>
      </c>
      <c r="C223" s="128">
        <v>0.4</v>
      </c>
      <c r="D223" s="128">
        <f t="shared" si="33"/>
        <v>0.4</v>
      </c>
      <c r="E223" s="128">
        <f t="shared" si="33"/>
        <v>0.4</v>
      </c>
      <c r="F223" s="128">
        <f t="shared" si="33"/>
        <v>0.4</v>
      </c>
      <c r="G223" s="128">
        <f t="shared" si="33"/>
        <v>0.4</v>
      </c>
      <c r="H223" s="128">
        <f t="shared" si="33"/>
        <v>0.4</v>
      </c>
      <c r="I223" s="128">
        <f t="shared" si="33"/>
        <v>0.4</v>
      </c>
      <c r="J223" s="128">
        <f t="shared" si="33"/>
        <v>0.4</v>
      </c>
      <c r="K223" s="128">
        <f t="shared" si="33"/>
        <v>0.4</v>
      </c>
      <c r="L223" s="128">
        <f t="shared" si="33"/>
        <v>0.4</v>
      </c>
      <c r="M223" s="128">
        <f t="shared" si="33"/>
        <v>0.4</v>
      </c>
      <c r="N223" s="128">
        <f t="shared" si="33"/>
        <v>0.4</v>
      </c>
      <c r="O223" s="128">
        <f t="shared" si="33"/>
        <v>0.4</v>
      </c>
      <c r="P223" s="128">
        <f t="shared" si="33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32"/>
        <v>0</v>
      </c>
      <c r="C224" s="128">
        <v>1.5</v>
      </c>
      <c r="D224" s="128">
        <f t="shared" si="33"/>
        <v>1.5</v>
      </c>
      <c r="E224" s="128">
        <f t="shared" si="33"/>
        <v>1.5</v>
      </c>
      <c r="F224" s="128">
        <f t="shared" si="33"/>
        <v>1.5</v>
      </c>
      <c r="G224" s="128">
        <f t="shared" si="33"/>
        <v>1.5</v>
      </c>
      <c r="H224" s="128">
        <f t="shared" si="33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33"/>
        <v>1.5</v>
      </c>
      <c r="K224" s="128">
        <f t="shared" ca="1" si="33"/>
        <v>1.5</v>
      </c>
      <c r="L224" s="128">
        <f t="shared" ca="1" si="33"/>
        <v>1.5</v>
      </c>
      <c r="M224" s="128">
        <f t="shared" ca="1" si="33"/>
        <v>1.5</v>
      </c>
      <c r="N224" s="128">
        <f t="shared" ca="1" si="33"/>
        <v>1.5</v>
      </c>
      <c r="O224" s="128">
        <f t="shared" ca="1" si="33"/>
        <v>1.5</v>
      </c>
      <c r="P224" s="128">
        <f t="shared" ca="1" si="33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32"/>
        <v>0</v>
      </c>
      <c r="C225" s="128">
        <v>0.3</v>
      </c>
      <c r="D225" s="128">
        <f t="shared" si="33"/>
        <v>0.3</v>
      </c>
      <c r="E225" s="128">
        <f t="shared" si="33"/>
        <v>0.3</v>
      </c>
      <c r="F225" s="128">
        <f t="shared" si="33"/>
        <v>0.3</v>
      </c>
      <c r="G225" s="128">
        <f t="shared" si="33"/>
        <v>0.3</v>
      </c>
      <c r="H225" s="128">
        <f t="shared" si="33"/>
        <v>0.3</v>
      </c>
      <c r="I225" s="128">
        <f t="shared" si="33"/>
        <v>0.3</v>
      </c>
      <c r="J225" s="128">
        <f t="shared" si="33"/>
        <v>0.3</v>
      </c>
      <c r="K225" s="128">
        <f t="shared" si="33"/>
        <v>0.3</v>
      </c>
      <c r="L225" s="128">
        <f t="shared" si="33"/>
        <v>0.3</v>
      </c>
      <c r="M225" s="128">
        <f t="shared" si="33"/>
        <v>0.3</v>
      </c>
      <c r="N225" s="128">
        <f t="shared" si="33"/>
        <v>0.3</v>
      </c>
      <c r="O225" s="128">
        <f t="shared" si="33"/>
        <v>0.3</v>
      </c>
      <c r="P225" s="128">
        <f t="shared" si="33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32"/>
        <v>0</v>
      </c>
      <c r="C226" s="128">
        <v>0.4</v>
      </c>
      <c r="D226" s="128">
        <f t="shared" si="33"/>
        <v>0.4</v>
      </c>
      <c r="E226" s="128">
        <f t="shared" si="33"/>
        <v>0.4</v>
      </c>
      <c r="F226" s="128">
        <f t="shared" si="33"/>
        <v>0.4</v>
      </c>
      <c r="G226" s="128">
        <f t="shared" si="33"/>
        <v>0.4</v>
      </c>
      <c r="H226" s="128">
        <f t="shared" si="33"/>
        <v>0.4</v>
      </c>
      <c r="I226" s="128">
        <f t="shared" si="33"/>
        <v>0.4</v>
      </c>
      <c r="J226" s="128">
        <f t="shared" si="33"/>
        <v>0.4</v>
      </c>
      <c r="K226" s="128">
        <f t="shared" si="33"/>
        <v>0.4</v>
      </c>
      <c r="L226" s="128">
        <f t="shared" si="33"/>
        <v>0.4</v>
      </c>
      <c r="M226" s="128">
        <f t="shared" si="33"/>
        <v>0.4</v>
      </c>
      <c r="N226" s="128">
        <f t="shared" si="33"/>
        <v>0.4</v>
      </c>
      <c r="O226" s="128">
        <f t="shared" si="33"/>
        <v>0.4</v>
      </c>
      <c r="P226" s="128">
        <f t="shared" si="33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32"/>
        <v>0</v>
      </c>
      <c r="C227" s="132">
        <v>0.64</v>
      </c>
      <c r="D227" s="132">
        <f t="shared" si="33"/>
        <v>0.64</v>
      </c>
      <c r="E227" s="132">
        <f t="shared" si="33"/>
        <v>0.64</v>
      </c>
      <c r="F227" s="132">
        <f t="shared" si="33"/>
        <v>0.64</v>
      </c>
      <c r="G227" s="132">
        <f t="shared" si="33"/>
        <v>0.64</v>
      </c>
      <c r="H227" s="132">
        <f t="shared" si="33"/>
        <v>0.64</v>
      </c>
      <c r="I227" s="132">
        <f t="shared" si="33"/>
        <v>0.64</v>
      </c>
      <c r="J227" s="132">
        <f t="shared" si="33"/>
        <v>0.64</v>
      </c>
      <c r="K227" s="132">
        <f t="shared" si="33"/>
        <v>0.64</v>
      </c>
      <c r="L227" s="132">
        <f t="shared" si="33"/>
        <v>0.64</v>
      </c>
      <c r="M227" s="132">
        <f t="shared" si="33"/>
        <v>0.64</v>
      </c>
      <c r="N227" s="132">
        <f t="shared" si="33"/>
        <v>0.64</v>
      </c>
      <c r="O227" s="132">
        <f t="shared" si="33"/>
        <v>0.64</v>
      </c>
      <c r="P227" s="132">
        <f t="shared" si="33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34">SUM(B222:B227)</f>
        <v>0</v>
      </c>
      <c r="C228" s="136">
        <f t="shared" si="34"/>
        <v>3.54</v>
      </c>
      <c r="D228" s="136">
        <f t="shared" si="34"/>
        <v>3.54</v>
      </c>
      <c r="E228" s="136">
        <f t="shared" si="34"/>
        <v>3.54</v>
      </c>
      <c r="F228" s="136">
        <f t="shared" si="34"/>
        <v>3.54</v>
      </c>
      <c r="G228" s="136">
        <f t="shared" si="34"/>
        <v>3.54</v>
      </c>
      <c r="H228" s="136">
        <f t="shared" si="34"/>
        <v>3.54</v>
      </c>
      <c r="I228" s="136">
        <f t="shared" ca="1" si="34"/>
        <v>3.54</v>
      </c>
      <c r="J228" s="136">
        <f t="shared" ca="1" si="34"/>
        <v>3.54</v>
      </c>
      <c r="K228" s="136">
        <f t="shared" ca="1" si="34"/>
        <v>3.54</v>
      </c>
      <c r="L228" s="136">
        <f t="shared" ca="1" si="34"/>
        <v>3.54</v>
      </c>
      <c r="M228" s="136">
        <f t="shared" ca="1" si="34"/>
        <v>3.54</v>
      </c>
      <c r="N228" s="136">
        <f t="shared" ca="1" si="34"/>
        <v>3.54</v>
      </c>
      <c r="O228" s="136">
        <f t="shared" ca="1" si="34"/>
        <v>3.54</v>
      </c>
      <c r="P228" s="136">
        <f t="shared" ca="1" si="34"/>
        <v>3.54</v>
      </c>
      <c r="Q228" s="136">
        <f t="shared" si="34"/>
        <v>0</v>
      </c>
      <c r="R228" s="136">
        <f t="shared" si="34"/>
        <v>0</v>
      </c>
      <c r="S228" s="136">
        <f t="shared" si="34"/>
        <v>0</v>
      </c>
      <c r="T228" s="136">
        <f t="shared" si="34"/>
        <v>0</v>
      </c>
      <c r="U228" s="136">
        <f t="shared" si="34"/>
        <v>0</v>
      </c>
      <c r="V228" s="136">
        <f t="shared" si="34"/>
        <v>0</v>
      </c>
      <c r="W228" s="136">
        <f t="shared" si="34"/>
        <v>0</v>
      </c>
      <c r="X228" s="136">
        <f t="shared" si="34"/>
        <v>0</v>
      </c>
      <c r="Y228" s="136">
        <f t="shared" si="34"/>
        <v>0</v>
      </c>
      <c r="Z228" s="136">
        <f t="shared" si="34"/>
        <v>0</v>
      </c>
      <c r="AA228" s="136">
        <f t="shared" si="34"/>
        <v>0</v>
      </c>
      <c r="AB228" s="136">
        <f t="shared" si="34"/>
        <v>0</v>
      </c>
      <c r="AC228" s="136">
        <f t="shared" si="34"/>
        <v>0</v>
      </c>
      <c r="AD228" s="136">
        <f t="shared" si="34"/>
        <v>0</v>
      </c>
      <c r="AE228" s="136">
        <f t="shared" si="34"/>
        <v>0</v>
      </c>
      <c r="AF228" s="136">
        <f t="shared" si="34"/>
        <v>0</v>
      </c>
      <c r="AG228" s="145">
        <f t="shared" si="34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1545.1200000000001</v>
      </c>
      <c r="C237" s="161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16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str">
        <f ca="1">"Pie Chart of Daily Peak Demand(Inclusive of Export) of Nepal ("&amp;A4&amp;" "&amp;B4&amp;")"</f>
        <v>Pie Chart of Daily Peak Demand(Inclusive of Export) of Nepal (Nepali Date: 2079/09/16)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2079/09/16)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35">B85</f>
        <v>1145.74</v>
      </c>
      <c r="U242" s="170">
        <f t="shared" si="35"/>
        <v>1012.24</v>
      </c>
      <c r="V242" s="170">
        <f t="shared" si="35"/>
        <v>987.74</v>
      </c>
      <c r="W242" s="170">
        <f t="shared" si="35"/>
        <v>1026.54</v>
      </c>
      <c r="X242" s="170">
        <f t="shared" si="35"/>
        <v>1030.1399999999999</v>
      </c>
      <c r="Y242" s="170">
        <f t="shared" si="35"/>
        <v>1074.8400000000001</v>
      </c>
      <c r="Z242" s="170">
        <f t="shared" si="35"/>
        <v>1174.94</v>
      </c>
      <c r="AA242" s="170">
        <f t="shared" si="35"/>
        <v>1253.44</v>
      </c>
      <c r="AB242" s="170">
        <f t="shared" si="35"/>
        <v>1368.14</v>
      </c>
      <c r="AC242" s="170">
        <f t="shared" si="35"/>
        <v>1429.1399999999999</v>
      </c>
      <c r="AD242" s="170">
        <f t="shared" si="35"/>
        <v>1530.94</v>
      </c>
      <c r="AE242" s="170">
        <f t="shared" si="35"/>
        <v>1545.1200000000001</v>
      </c>
      <c r="AF242" s="170">
        <f t="shared" si="35"/>
        <v>1447.4600000000003</v>
      </c>
      <c r="AG242" s="170">
        <f t="shared" si="35"/>
        <v>1382.94</v>
      </c>
      <c r="AH242" s="170">
        <f t="shared" si="35"/>
        <v>1347.64</v>
      </c>
      <c r="AI242" s="170">
        <f t="shared" si="35"/>
        <v>1307.04</v>
      </c>
      <c r="AJ242" s="170">
        <f t="shared" si="35"/>
        <v>1303.24</v>
      </c>
      <c r="AK242" s="170">
        <f t="shared" si="35"/>
        <v>1296.6399999999999</v>
      </c>
      <c r="AL242" s="170">
        <f t="shared" si="35"/>
        <v>1316.74</v>
      </c>
      <c r="AM242" s="170">
        <f t="shared" si="35"/>
        <v>1324.54</v>
      </c>
      <c r="AN242" s="170">
        <f t="shared" si="35"/>
        <v>1261.94</v>
      </c>
      <c r="AO242" s="170">
        <f t="shared" si="35"/>
        <v>1292.24</v>
      </c>
      <c r="AP242" s="170">
        <f t="shared" si="35"/>
        <v>1533.7400000000002</v>
      </c>
      <c r="AQ242" s="170">
        <f t="shared" si="35"/>
        <v>1604.74</v>
      </c>
      <c r="AR242" s="170">
        <f t="shared" si="35"/>
        <v>1569.94</v>
      </c>
      <c r="AS242" s="170">
        <f t="shared" si="35"/>
        <v>1508.54</v>
      </c>
      <c r="AT242" s="170">
        <f t="shared" si="35"/>
        <v>1528.04</v>
      </c>
      <c r="AU242" s="170">
        <f t="shared" si="35"/>
        <v>1403.84</v>
      </c>
      <c r="AV242" s="170">
        <f t="shared" si="35"/>
        <v>1312.4399999999998</v>
      </c>
      <c r="AW242" s="170">
        <f t="shared" si="35"/>
        <v>1179.74</v>
      </c>
      <c r="AX242" s="170">
        <f t="shared" si="35"/>
        <v>1087.6400000000001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36">C227</f>
        <v>0.64</v>
      </c>
      <c r="C263" s="173">
        <f t="shared" si="36"/>
        <v>0.64</v>
      </c>
      <c r="D263" s="173">
        <f t="shared" si="36"/>
        <v>0.64</v>
      </c>
      <c r="E263" s="173">
        <f t="shared" si="36"/>
        <v>0.64</v>
      </c>
      <c r="F263" s="173">
        <f t="shared" si="36"/>
        <v>0.64</v>
      </c>
      <c r="G263" s="173">
        <f t="shared" si="36"/>
        <v>0.64</v>
      </c>
      <c r="H263" s="173">
        <f t="shared" si="36"/>
        <v>0.64</v>
      </c>
      <c r="I263" s="173">
        <f t="shared" si="36"/>
        <v>0.64</v>
      </c>
      <c r="J263" s="173">
        <f t="shared" si="36"/>
        <v>0.64</v>
      </c>
      <c r="K263" s="173">
        <f t="shared" si="36"/>
        <v>0.64</v>
      </c>
      <c r="L263" s="173">
        <f t="shared" si="36"/>
        <v>0.64</v>
      </c>
      <c r="M263" s="173">
        <f t="shared" si="36"/>
        <v>0.64</v>
      </c>
      <c r="N263" s="173">
        <f t="shared" si="36"/>
        <v>0.64</v>
      </c>
      <c r="O263" s="173">
        <f t="shared" si="36"/>
        <v>0.64</v>
      </c>
      <c r="P263" s="173">
        <f t="shared" si="36"/>
        <v>0</v>
      </c>
      <c r="Q263" s="173">
        <f t="shared" si="36"/>
        <v>0</v>
      </c>
      <c r="R263" s="173">
        <f t="shared" si="36"/>
        <v>0</v>
      </c>
      <c r="S263" s="173">
        <f t="shared" si="36"/>
        <v>0</v>
      </c>
      <c r="T263" s="173">
        <f t="shared" si="36"/>
        <v>0</v>
      </c>
      <c r="U263" s="173">
        <f t="shared" si="36"/>
        <v>0</v>
      </c>
      <c r="V263" s="173">
        <f t="shared" si="36"/>
        <v>0</v>
      </c>
      <c r="W263" s="173">
        <f t="shared" si="36"/>
        <v>0</v>
      </c>
      <c r="X263" s="173">
        <f t="shared" si="36"/>
        <v>0</v>
      </c>
      <c r="Y263" s="173">
        <f t="shared" si="36"/>
        <v>0</v>
      </c>
      <c r="Z263" s="173">
        <f t="shared" si="36"/>
        <v>0</v>
      </c>
      <c r="AA263" s="173">
        <f t="shared" si="36"/>
        <v>0</v>
      </c>
      <c r="AB263" s="173">
        <f t="shared" si="36"/>
        <v>0</v>
      </c>
      <c r="AC263" s="173">
        <f t="shared" si="36"/>
        <v>0</v>
      </c>
      <c r="AD263" s="173">
        <f t="shared" si="36"/>
        <v>0</v>
      </c>
      <c r="AE263" s="173">
        <f t="shared" si="36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37">IF(B231&lt;100,"",B231-520)</f>
        <v/>
      </c>
      <c r="C264" s="174" t="str">
        <f t="shared" si="37"/>
        <v/>
      </c>
      <c r="D264" s="174" t="str">
        <f t="shared" si="37"/>
        <v/>
      </c>
      <c r="E264" s="174" t="str">
        <f t="shared" si="37"/>
        <v/>
      </c>
      <c r="F264" s="174" t="str">
        <f t="shared" si="37"/>
        <v/>
      </c>
      <c r="G264" s="174" t="str">
        <f t="shared" si="37"/>
        <v/>
      </c>
      <c r="H264" s="174" t="str">
        <f t="shared" si="37"/>
        <v/>
      </c>
      <c r="I264" s="174" t="str">
        <f t="shared" si="37"/>
        <v/>
      </c>
      <c r="J264" s="174" t="str">
        <f t="shared" si="37"/>
        <v/>
      </c>
      <c r="K264" s="174" t="str">
        <f t="shared" si="37"/>
        <v/>
      </c>
      <c r="L264" s="174" t="str">
        <f t="shared" si="37"/>
        <v/>
      </c>
      <c r="M264" s="174" t="str">
        <f t="shared" si="37"/>
        <v/>
      </c>
      <c r="N264" s="174" t="str">
        <f t="shared" si="37"/>
        <v/>
      </c>
      <c r="O264" s="174" t="str">
        <f t="shared" si="37"/>
        <v/>
      </c>
      <c r="P264" s="174" t="str">
        <f t="shared" si="37"/>
        <v/>
      </c>
      <c r="Q264" s="174" t="str">
        <f t="shared" si="37"/>
        <v/>
      </c>
      <c r="R264" s="174" t="str">
        <f t="shared" si="37"/>
        <v/>
      </c>
      <c r="S264" s="174" t="str">
        <f t="shared" si="37"/>
        <v/>
      </c>
      <c r="T264" s="174" t="str">
        <f t="shared" si="37"/>
        <v/>
      </c>
      <c r="U264" s="174" t="str">
        <f t="shared" si="37"/>
        <v/>
      </c>
      <c r="V264" s="174" t="str">
        <f t="shared" si="37"/>
        <v/>
      </c>
      <c r="W264" s="174" t="str">
        <f t="shared" si="37"/>
        <v/>
      </c>
      <c r="X264" s="174" t="str">
        <f t="shared" si="37"/>
        <v/>
      </c>
      <c r="Y264" s="174" t="str">
        <f t="shared" si="37"/>
        <v/>
      </c>
      <c r="Z264" s="174" t="str">
        <f t="shared" si="37"/>
        <v/>
      </c>
      <c r="AA264" s="174" t="str">
        <f t="shared" si="37"/>
        <v/>
      </c>
      <c r="AB264" s="174" t="str">
        <f t="shared" si="37"/>
        <v/>
      </c>
      <c r="AC264" s="174" t="str">
        <f t="shared" si="37"/>
        <v/>
      </c>
      <c r="AD264" s="174" t="str">
        <f t="shared" si="37"/>
        <v/>
      </c>
      <c r="AE264" s="174" t="str">
        <f t="shared" si="37"/>
        <v/>
      </c>
      <c r="AF264" s="174" t="str">
        <f t="shared" si="37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38">IF(B232&lt;100,"",B232-620)</f>
        <v/>
      </c>
      <c r="C265" s="174" t="str">
        <f t="shared" si="38"/>
        <v/>
      </c>
      <c r="D265" s="174" t="str">
        <f t="shared" si="38"/>
        <v/>
      </c>
      <c r="E265" s="174" t="str">
        <f t="shared" si="38"/>
        <v/>
      </c>
      <c r="F265" s="174" t="str">
        <f t="shared" si="38"/>
        <v/>
      </c>
      <c r="G265" s="174" t="str">
        <f t="shared" si="38"/>
        <v/>
      </c>
      <c r="H265" s="174" t="str">
        <f t="shared" si="38"/>
        <v/>
      </c>
      <c r="I265" s="174" t="str">
        <f t="shared" si="38"/>
        <v/>
      </c>
      <c r="J265" s="174" t="str">
        <f t="shared" si="38"/>
        <v/>
      </c>
      <c r="K265" s="174" t="str">
        <f t="shared" si="38"/>
        <v/>
      </c>
      <c r="L265" s="174" t="str">
        <f t="shared" si="38"/>
        <v/>
      </c>
      <c r="M265" s="174" t="str">
        <f t="shared" si="38"/>
        <v/>
      </c>
      <c r="N265" s="174" t="str">
        <f t="shared" si="38"/>
        <v/>
      </c>
      <c r="O265" s="174" t="str">
        <f t="shared" si="38"/>
        <v/>
      </c>
      <c r="P265" s="174" t="str">
        <f t="shared" si="38"/>
        <v/>
      </c>
      <c r="Q265" s="174" t="str">
        <f t="shared" si="38"/>
        <v/>
      </c>
      <c r="R265" s="174" t="str">
        <f t="shared" si="38"/>
        <v/>
      </c>
      <c r="S265" s="174" t="str">
        <f t="shared" si="38"/>
        <v/>
      </c>
      <c r="T265" s="174" t="str">
        <f t="shared" si="38"/>
        <v/>
      </c>
      <c r="U265" s="174" t="str">
        <f t="shared" si="38"/>
        <v/>
      </c>
      <c r="V265" s="174" t="str">
        <f t="shared" si="38"/>
        <v/>
      </c>
      <c r="W265" s="174" t="str">
        <f t="shared" si="38"/>
        <v/>
      </c>
      <c r="X265" s="174" t="str">
        <f t="shared" si="38"/>
        <v/>
      </c>
      <c r="Y265" s="174" t="str">
        <f t="shared" si="38"/>
        <v/>
      </c>
      <c r="Z265" s="174" t="str">
        <f t="shared" si="38"/>
        <v/>
      </c>
      <c r="AA265" s="174" t="str">
        <f t="shared" si="38"/>
        <v/>
      </c>
      <c r="AB265" s="174" t="str">
        <f t="shared" si="38"/>
        <v/>
      </c>
      <c r="AC265" s="174" t="str">
        <f t="shared" si="38"/>
        <v/>
      </c>
      <c r="AD265" s="174" t="str">
        <f t="shared" si="38"/>
        <v/>
      </c>
      <c r="AE265" s="174" t="str">
        <f t="shared" si="38"/>
        <v/>
      </c>
      <c r="AF265" s="174" t="str">
        <f t="shared" si="38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39">IF(B233&lt;100,"",B233-330)</f>
        <v/>
      </c>
      <c r="C266" s="174" t="str">
        <f t="shared" si="39"/>
        <v/>
      </c>
      <c r="D266" s="174" t="str">
        <f t="shared" si="39"/>
        <v/>
      </c>
      <c r="E266" s="174" t="str">
        <f t="shared" si="39"/>
        <v/>
      </c>
      <c r="F266" s="174" t="str">
        <f t="shared" si="39"/>
        <v/>
      </c>
      <c r="G266" s="174" t="str">
        <f t="shared" si="39"/>
        <v/>
      </c>
      <c r="H266" s="174" t="str">
        <f t="shared" si="39"/>
        <v/>
      </c>
      <c r="I266" s="174" t="str">
        <f t="shared" si="39"/>
        <v/>
      </c>
      <c r="J266" s="174" t="str">
        <f t="shared" si="39"/>
        <v/>
      </c>
      <c r="K266" s="174" t="str">
        <f t="shared" si="39"/>
        <v/>
      </c>
      <c r="L266" s="174" t="str">
        <f t="shared" si="39"/>
        <v/>
      </c>
      <c r="M266" s="174" t="str">
        <f t="shared" si="39"/>
        <v/>
      </c>
      <c r="N266" s="174" t="str">
        <f t="shared" si="39"/>
        <v/>
      </c>
      <c r="O266" s="174" t="str">
        <f t="shared" si="39"/>
        <v/>
      </c>
      <c r="P266" s="174" t="str">
        <f t="shared" si="39"/>
        <v/>
      </c>
      <c r="Q266" s="174" t="str">
        <f t="shared" si="39"/>
        <v/>
      </c>
      <c r="R266" s="174" t="str">
        <f t="shared" si="39"/>
        <v/>
      </c>
      <c r="S266" s="174" t="str">
        <f t="shared" si="39"/>
        <v/>
      </c>
      <c r="T266" s="174" t="str">
        <f t="shared" si="39"/>
        <v/>
      </c>
      <c r="U266" s="174" t="str">
        <f t="shared" si="39"/>
        <v/>
      </c>
      <c r="V266" s="174" t="str">
        <f t="shared" si="39"/>
        <v/>
      </c>
      <c r="W266" s="174" t="str">
        <f t="shared" si="39"/>
        <v/>
      </c>
      <c r="X266" s="174" t="str">
        <f t="shared" si="39"/>
        <v/>
      </c>
      <c r="Y266" s="174" t="str">
        <f t="shared" si="39"/>
        <v/>
      </c>
      <c r="Z266" s="174" t="str">
        <f t="shared" si="39"/>
        <v/>
      </c>
      <c r="AA266" s="174" t="str">
        <f t="shared" si="39"/>
        <v/>
      </c>
      <c r="AB266" s="174" t="str">
        <f t="shared" si="39"/>
        <v/>
      </c>
      <c r="AC266" s="174" t="str">
        <f t="shared" si="39"/>
        <v/>
      </c>
      <c r="AD266" s="174" t="str">
        <f t="shared" si="39"/>
        <v/>
      </c>
      <c r="AE266" s="174" t="str">
        <f t="shared" si="39"/>
        <v/>
      </c>
      <c r="AF266" s="174" t="str">
        <f t="shared" si="39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40">IF(B234&lt;100,"",B234-1500)</f>
        <v/>
      </c>
      <c r="C267" s="174" t="str">
        <f t="shared" si="40"/>
        <v/>
      </c>
      <c r="D267" s="174" t="str">
        <f t="shared" si="40"/>
        <v/>
      </c>
      <c r="E267" s="174" t="str">
        <f t="shared" si="40"/>
        <v/>
      </c>
      <c r="F267" s="174" t="str">
        <f t="shared" si="40"/>
        <v/>
      </c>
      <c r="G267" s="174" t="str">
        <f t="shared" si="40"/>
        <v/>
      </c>
      <c r="H267" s="174" t="str">
        <f t="shared" si="40"/>
        <v/>
      </c>
      <c r="I267" s="174" t="str">
        <f t="shared" si="40"/>
        <v/>
      </c>
      <c r="J267" s="174" t="str">
        <f t="shared" si="40"/>
        <v/>
      </c>
      <c r="K267" s="174" t="str">
        <f t="shared" si="40"/>
        <v/>
      </c>
      <c r="L267" s="174" t="str">
        <f t="shared" si="40"/>
        <v/>
      </c>
      <c r="M267" s="174" t="str">
        <f t="shared" si="40"/>
        <v/>
      </c>
      <c r="N267" s="174" t="str">
        <f t="shared" si="40"/>
        <v/>
      </c>
      <c r="O267" s="174" t="str">
        <f t="shared" si="40"/>
        <v/>
      </c>
      <c r="P267" s="174" t="str">
        <f t="shared" si="40"/>
        <v/>
      </c>
      <c r="Q267" s="174" t="str">
        <f t="shared" si="40"/>
        <v/>
      </c>
      <c r="R267" s="174" t="str">
        <f t="shared" si="40"/>
        <v/>
      </c>
      <c r="S267" s="174" t="str">
        <f t="shared" si="40"/>
        <v/>
      </c>
      <c r="T267" s="174" t="str">
        <f t="shared" si="40"/>
        <v/>
      </c>
      <c r="U267" s="174" t="str">
        <f t="shared" si="40"/>
        <v/>
      </c>
      <c r="V267" s="174" t="str">
        <f t="shared" si="40"/>
        <v/>
      </c>
      <c r="W267" s="174" t="str">
        <f t="shared" si="40"/>
        <v/>
      </c>
      <c r="X267" s="174" t="str">
        <f t="shared" si="40"/>
        <v/>
      </c>
      <c r="Y267" s="174" t="str">
        <f t="shared" si="40"/>
        <v/>
      </c>
      <c r="Z267" s="174" t="str">
        <f t="shared" si="40"/>
        <v/>
      </c>
      <c r="AA267" s="174" t="str">
        <f t="shared" si="40"/>
        <v/>
      </c>
      <c r="AB267" s="174" t="str">
        <f t="shared" si="40"/>
        <v/>
      </c>
      <c r="AC267" s="174" t="str">
        <f t="shared" si="40"/>
        <v/>
      </c>
      <c r="AD267" s="174" t="str">
        <f t="shared" si="40"/>
        <v/>
      </c>
      <c r="AE267" s="174" t="str">
        <f t="shared" si="40"/>
        <v/>
      </c>
      <c r="AF267" s="174" t="str">
        <f t="shared" si="40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7:AF112 D105:AF105 Y11:AF41">
    <cfRule type="expression" dxfId="5415" priority="239">
      <formula>B$9&gt;=20/24</formula>
    </cfRule>
    <cfRule type="expression" dxfId="5414" priority="240">
      <formula>AND(B$9&gt;=14/24,B$9&lt;20/24)</formula>
    </cfRule>
    <cfRule type="expression" dxfId="5413" priority="241">
      <formula>AND(B$9&gt;=8/24,B$9&lt;14/24)</formula>
    </cfRule>
    <cfRule type="expression" dxfId="5412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AG61 Y11:AF41">
    <cfRule type="expression" dxfId="5411" priority="237">
      <formula>Y11&gt;$AG11</formula>
    </cfRule>
  </conditionalFormatting>
  <conditionalFormatting sqref="A95:A105 A55:A82 A91:A93 A198:A228 A42:A53 A114:A185 A38:A39 A87:A89 A84:A85 A107:A109 A35:A36 A17:A18 A11:A15 A20:A33">
    <cfRule type="expression" dxfId="5410" priority="236">
      <formula>$AH11=0</formula>
    </cfRule>
  </conditionalFormatting>
  <conditionalFormatting sqref="A110">
    <cfRule type="expression" dxfId="5409" priority="235">
      <formula>$AH110=0</formula>
    </cfRule>
  </conditionalFormatting>
  <conditionalFormatting sqref="AL39">
    <cfRule type="iconSet" priority="234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5408" priority="233">
      <formula>$AH41=0</formula>
    </cfRule>
  </conditionalFormatting>
  <conditionalFormatting sqref="A94">
    <cfRule type="expression" dxfId="5407" priority="232">
      <formula>$AH94=0</formula>
    </cfRule>
  </conditionalFormatting>
  <conditionalFormatting sqref="A16">
    <cfRule type="expression" dxfId="5406" priority="231">
      <formula>$AH16=0</formula>
    </cfRule>
  </conditionalFormatting>
  <conditionalFormatting sqref="A192:A197">
    <cfRule type="expression" dxfId="5405" priority="230">
      <formula>$AH192=0</formula>
    </cfRule>
  </conditionalFormatting>
  <conditionalFormatting sqref="A186:A191">
    <cfRule type="expression" dxfId="5404" priority="229">
      <formula>$AH186=0</formula>
    </cfRule>
  </conditionalFormatting>
  <conditionalFormatting sqref="A54">
    <cfRule type="expression" dxfId="5403" priority="228">
      <formula>$AH54=0</formula>
    </cfRule>
  </conditionalFormatting>
  <conditionalFormatting sqref="A90">
    <cfRule type="expression" dxfId="5402" priority="227">
      <formula>$AH90=0</formula>
    </cfRule>
  </conditionalFormatting>
  <conditionalFormatting sqref="AD95:AF95 E95:X95">
    <cfRule type="expression" dxfId="5401" priority="223">
      <formula>E$9&gt;=20/24</formula>
    </cfRule>
    <cfRule type="expression" dxfId="5400" priority="224">
      <formula>AND(E$9&gt;=14/24,E$9&lt;20/24)</formula>
    </cfRule>
    <cfRule type="expression" dxfId="5399" priority="225">
      <formula>AND(E$9&gt;=8/24,E$9&lt;14/24)</formula>
    </cfRule>
    <cfRule type="expression" dxfId="5398" priority="226">
      <formula>E$9&lt;8/24</formula>
    </cfRule>
  </conditionalFormatting>
  <conditionalFormatting sqref="AL40">
    <cfRule type="iconSet" priority="2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397" priority="245">
      <formula>C$9&gt;=20/24</formula>
    </cfRule>
    <cfRule type="expression" dxfId="5396" priority="246">
      <formula>AND(C$9&gt;=14/24,C$9&lt;20/24)</formula>
    </cfRule>
    <cfRule type="expression" dxfId="5395" priority="247">
      <formula>AND(C$9&gt;=8/24,C$9&lt;14/24)</formula>
    </cfRule>
    <cfRule type="expression" dxfId="5394" priority="248">
      <formula>C$9&lt;8/24</formula>
    </cfRule>
  </conditionalFormatting>
  <conditionalFormatting sqref="A229">
    <cfRule type="expression" dxfId="5393" priority="249">
      <formula>$AH229=0</formula>
    </cfRule>
  </conditionalFormatting>
  <conditionalFormatting sqref="AG241">
    <cfRule type="expression" dxfId="5392" priority="250">
      <formula>B$9&gt;=20/24</formula>
    </cfRule>
    <cfRule type="expression" dxfId="5391" priority="251">
      <formula>AND(B$9&gt;=14/24,B$9&lt;20/24)</formula>
    </cfRule>
    <cfRule type="expression" dxfId="5390" priority="252">
      <formula>AND(B$9&gt;=8/24,B$9&lt;14/24)</formula>
    </cfRule>
    <cfRule type="expression" dxfId="5389" priority="253">
      <formula>B$9&lt;8/24</formula>
    </cfRule>
  </conditionalFormatting>
  <conditionalFormatting sqref="S8">
    <cfRule type="expression" dxfId="5388" priority="218">
      <formula>U$9&gt;=20/24</formula>
    </cfRule>
    <cfRule type="expression" dxfId="5387" priority="219">
      <formula>AND(U$9&gt;=14/24,U$9&lt;20/24)</formula>
    </cfRule>
    <cfRule type="expression" dxfId="5386" priority="220">
      <formula>AND(U$9&gt;=8/24,U$9&lt;14/24)</formula>
    </cfRule>
    <cfRule type="expression" dxfId="5385" priority="221">
      <formula>U$9&lt;8/24</formula>
    </cfRule>
  </conditionalFormatting>
  <conditionalFormatting sqref="AB8">
    <cfRule type="expression" dxfId="5384" priority="214">
      <formula>AD$9&gt;=20/24</formula>
    </cfRule>
    <cfRule type="expression" dxfId="5383" priority="215">
      <formula>AND(AD$9&gt;=14/24,AD$9&lt;20/24)</formula>
    </cfRule>
    <cfRule type="expression" dxfId="5382" priority="216">
      <formula>AND(AD$9&gt;=8/24,AD$9&lt;14/24)</formula>
    </cfRule>
    <cfRule type="expression" dxfId="5381" priority="217">
      <formula>AD$9&lt;8/24</formula>
    </cfRule>
  </conditionalFormatting>
  <conditionalFormatting sqref="AH241:AX241">
    <cfRule type="expression" dxfId="5380" priority="254">
      <formula>AG$9&gt;=20/24</formula>
    </cfRule>
    <cfRule type="expression" dxfId="5379" priority="255">
      <formula>AND(AG$9&gt;=14/24,AG$9&lt;20/24)</formula>
    </cfRule>
    <cfRule type="expression" dxfId="5378" priority="256">
      <formula>AND(AG$9&gt;=8/24,AG$9&lt;14/24)</formula>
    </cfRule>
    <cfRule type="expression" dxfId="5377" priority="257">
      <formula>AG$9&lt;8/24</formula>
    </cfRule>
  </conditionalFormatting>
  <conditionalFormatting sqref="T241">
    <cfRule type="expression" dxfId="5376" priority="258">
      <formula>AX$9&gt;=20/24</formula>
    </cfRule>
    <cfRule type="expression" dxfId="5375" priority="259">
      <formula>AND(AX$9&gt;=14/24,AX$9&lt;20/24)</formula>
    </cfRule>
    <cfRule type="expression" dxfId="5374" priority="260">
      <formula>AND(AX$9&gt;=8/24,AX$9&lt;14/24)</formula>
    </cfRule>
    <cfRule type="expression" dxfId="5373" priority="261">
      <formula>AX$9&lt;8/24</formula>
    </cfRule>
  </conditionalFormatting>
  <conditionalFormatting sqref="A111:A112">
    <cfRule type="expression" dxfId="5372" priority="213">
      <formula>$AH111=0</formula>
    </cfRule>
  </conditionalFormatting>
  <conditionalFormatting sqref="O50:Q54 R52:U54 V53:V54 W52:AD53 AE50:AF53 E67:AF67">
    <cfRule type="expression" dxfId="5371" priority="209">
      <formula>E$9&gt;=20/24</formula>
    </cfRule>
    <cfRule type="expression" dxfId="5370" priority="210">
      <formula>AND(E$9&gt;=14/24,E$9&lt;20/24)</formula>
    </cfRule>
    <cfRule type="expression" dxfId="5369" priority="211">
      <formula>AND(E$9&gt;=8/24,E$9&lt;14/24)</formula>
    </cfRule>
    <cfRule type="expression" dxfId="5368" priority="212">
      <formula>E$9&lt;8/24</formula>
    </cfRule>
  </conditionalFormatting>
  <conditionalFormatting sqref="O49:Q49 AE49:AF49">
    <cfRule type="expression" dxfId="5367" priority="205">
      <formula>O$9&gt;=20/24</formula>
    </cfRule>
    <cfRule type="expression" dxfId="5366" priority="206">
      <formula>AND(O$9&gt;=14/24,O$9&lt;20/24)</formula>
    </cfRule>
    <cfRule type="expression" dxfId="5365" priority="207">
      <formula>AND(O$9&gt;=8/24,O$9&lt;14/24)</formula>
    </cfRule>
    <cfRule type="expression" dxfId="5364" priority="208">
      <formula>O$9&lt;8/24</formula>
    </cfRule>
  </conditionalFormatting>
  <conditionalFormatting sqref="O49:Q54 R52:U54 V53:V54 W52:AD53 AE49:AF53">
    <cfRule type="expression" dxfId="5363" priority="204">
      <formula>O49&gt;$AG49</formula>
    </cfRule>
  </conditionalFormatting>
  <conditionalFormatting sqref="AD96:AF102 M96:X102 E68:AA69 Y70:AA70 X92:AF92 D82:AF82 AB68:AF70 Y63:AF65 X43:AF43">
    <cfRule type="expression" dxfId="5362" priority="200">
      <formula>D$9&gt;=20/24</formula>
    </cfRule>
    <cfRule type="expression" dxfId="5361" priority="201">
      <formula>AND(D$9&gt;=14/24,D$9&lt;20/24)</formula>
    </cfRule>
    <cfRule type="expression" dxfId="5360" priority="202">
      <formula>AND(D$9&gt;=8/24,D$9&lt;14/24)</formula>
    </cfRule>
    <cfRule type="expression" dxfId="5359" priority="203">
      <formula>D$9&lt;8/24</formula>
    </cfRule>
  </conditionalFormatting>
  <conditionalFormatting sqref="Y63:AF65 X43:AF43">
    <cfRule type="expression" dxfId="5358" priority="199">
      <formula>X43&gt;$AG43</formula>
    </cfRule>
  </conditionalFormatting>
  <conditionalFormatting sqref="V52 R49:AD51">
    <cfRule type="expression" dxfId="5357" priority="195">
      <formula>R$9&gt;=20/24</formula>
    </cfRule>
    <cfRule type="expression" dxfId="5356" priority="196">
      <formula>AND(R$9&gt;=14/24,R$9&lt;20/24)</formula>
    </cfRule>
    <cfRule type="expression" dxfId="5355" priority="197">
      <formula>AND(R$9&gt;=8/24,R$9&lt;14/24)</formula>
    </cfRule>
    <cfRule type="expression" dxfId="5354" priority="198">
      <formula>R$9&lt;8/24</formula>
    </cfRule>
  </conditionalFormatting>
  <conditionalFormatting sqref="V52 R49:AD51">
    <cfRule type="expression" dxfId="5353" priority="194">
      <formula>R49&gt;$AG49</formula>
    </cfRule>
  </conditionalFormatting>
  <conditionalFormatting sqref="C93:AF93 C84:AF84">
    <cfRule type="expression" dxfId="5352" priority="190">
      <formula>C$9&gt;=20/24</formula>
    </cfRule>
    <cfRule type="expression" dxfId="5351" priority="191">
      <formula>AND(C$9&gt;=14/24,C$9&lt;20/24)</formula>
    </cfRule>
    <cfRule type="expression" dxfId="5350" priority="192">
      <formula>AND(C$9&gt;=8/24,C$9&lt;14/24)</formula>
    </cfRule>
    <cfRule type="expression" dxfId="5349" priority="193">
      <formula>C$9&lt;8/24</formula>
    </cfRule>
  </conditionalFormatting>
  <conditionalFormatting sqref="T43:W43">
    <cfRule type="expression" dxfId="5348" priority="186">
      <formula>T$9&gt;=20/24</formula>
    </cfRule>
    <cfRule type="expression" dxfId="5347" priority="187">
      <formula>AND(T$9&gt;=14/24,T$9&lt;20/24)</formula>
    </cfRule>
    <cfRule type="expression" dxfId="5346" priority="188">
      <formula>AND(T$9&gt;=8/24,T$9&lt;14/24)</formula>
    </cfRule>
    <cfRule type="expression" dxfId="5345" priority="189">
      <formula>T$9&lt;8/24</formula>
    </cfRule>
  </conditionalFormatting>
  <conditionalFormatting sqref="T43:W43">
    <cfRule type="expression" dxfId="5344" priority="185">
      <formula>T43&gt;$AG43</formula>
    </cfRule>
  </conditionalFormatting>
  <conditionalFormatting sqref="E50:N51 Y42:AF42">
    <cfRule type="expression" dxfId="5343" priority="181">
      <formula>E$9&gt;=20/24</formula>
    </cfRule>
    <cfRule type="expression" dxfId="5342" priority="182">
      <formula>AND(E$9&gt;=14/24,E$9&lt;20/24)</formula>
    </cfRule>
    <cfRule type="expression" dxfId="5341" priority="183">
      <formula>AND(E$9&gt;=8/24,E$9&lt;14/24)</formula>
    </cfRule>
    <cfRule type="expression" dxfId="5340" priority="184">
      <formula>E$9&lt;8/24</formula>
    </cfRule>
  </conditionalFormatting>
  <conditionalFormatting sqref="E49:N49">
    <cfRule type="expression" dxfId="5339" priority="177">
      <formula>E$9&gt;=20/24</formula>
    </cfRule>
    <cfRule type="expression" dxfId="5338" priority="178">
      <formula>AND(E$9&gt;=14/24,E$9&lt;20/24)</formula>
    </cfRule>
    <cfRule type="expression" dxfId="5337" priority="179">
      <formula>AND(E$9&gt;=8/24,E$9&lt;14/24)</formula>
    </cfRule>
    <cfRule type="expression" dxfId="5336" priority="180">
      <formula>E$9&lt;8/24</formula>
    </cfRule>
  </conditionalFormatting>
  <conditionalFormatting sqref="E49:N51 Y42:AF42">
    <cfRule type="expression" dxfId="5335" priority="176">
      <formula>E42&gt;$AG42</formula>
    </cfRule>
  </conditionalFormatting>
  <conditionalFormatting sqref="AG66 AG83 F96:L102 Q63:X65">
    <cfRule type="expression" dxfId="5334" priority="172">
      <formula>F$9&gt;=20/24</formula>
    </cfRule>
    <cfRule type="expression" dxfId="5333" priority="173">
      <formula>AND(F$9&gt;=14/24,F$9&lt;20/24)</formula>
    </cfRule>
    <cfRule type="expression" dxfId="5332" priority="174">
      <formula>AND(F$9&gt;=8/24,F$9&lt;14/24)</formula>
    </cfRule>
    <cfRule type="expression" dxfId="5331" priority="175">
      <formula>F$9&lt;8/24</formula>
    </cfRule>
  </conditionalFormatting>
  <conditionalFormatting sqref="AG44 AG62 AG66 Q63:X65">
    <cfRule type="expression" dxfId="5330" priority="171">
      <formula>Q44&gt;$AG44</formula>
    </cfRule>
  </conditionalFormatting>
  <conditionalFormatting sqref="Y54:AF54">
    <cfRule type="expression" dxfId="5329" priority="167">
      <formula>Y$9&gt;=20/24</formula>
    </cfRule>
    <cfRule type="expression" dxfId="5328" priority="168">
      <formula>AND(Y$9&gt;=14/24,Y$9&lt;20/24)</formula>
    </cfRule>
    <cfRule type="expression" dxfId="5327" priority="169">
      <formula>AND(Y$9&gt;=8/24,Y$9&lt;14/24)</formula>
    </cfRule>
    <cfRule type="expression" dxfId="5326" priority="170">
      <formula>Y$9&lt;8/24</formula>
    </cfRule>
  </conditionalFormatting>
  <conditionalFormatting sqref="Y54:AF54">
    <cfRule type="expression" dxfId="5325" priority="166">
      <formula>Y54&gt;$AG54</formula>
    </cfRule>
  </conditionalFormatting>
  <conditionalFormatting sqref="A40">
    <cfRule type="expression" dxfId="5324" priority="165">
      <formula>$AH40=0</formula>
    </cfRule>
  </conditionalFormatting>
  <conditionalFormatting sqref="X87:AF91">
    <cfRule type="expression" dxfId="5323" priority="161">
      <formula>X$9&gt;=20/24</formula>
    </cfRule>
    <cfRule type="expression" dxfId="5322" priority="162">
      <formula>AND(X$9&gt;=14/24,X$9&lt;20/24)</formula>
    </cfRule>
    <cfRule type="expression" dxfId="5321" priority="163">
      <formula>AND(X$9&gt;=8/24,X$9&lt;14/24)</formula>
    </cfRule>
    <cfRule type="expression" dxfId="5320" priority="164">
      <formula>X$9&lt;8/24</formula>
    </cfRule>
  </conditionalFormatting>
  <conditionalFormatting sqref="AL41 AL38 AL20:AL33 AL35:AL36 AL7:AL18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E45:AF47">
    <cfRule type="expression" dxfId="5319" priority="157">
      <formula>E$9&gt;=20/24</formula>
    </cfRule>
    <cfRule type="expression" dxfId="5318" priority="158">
      <formula>AND(E$9&gt;=14/24,E$9&lt;20/24)</formula>
    </cfRule>
    <cfRule type="expression" dxfId="5317" priority="159">
      <formula>AND(E$9&gt;=8/24,E$9&lt;14/24)</formula>
    </cfRule>
    <cfRule type="expression" dxfId="5316" priority="160">
      <formula>E$9&lt;8/24</formula>
    </cfRule>
  </conditionalFormatting>
  <conditionalFormatting sqref="E45:AF47">
    <cfRule type="expression" dxfId="5315" priority="156">
      <formula>E45&gt;$AG45</formula>
    </cfRule>
  </conditionalFormatting>
  <conditionalFormatting sqref="AG48">
    <cfRule type="expression" dxfId="5314" priority="152">
      <formula>AG$9&gt;=20/24</formula>
    </cfRule>
    <cfRule type="expression" dxfId="5313" priority="153">
      <formula>AND(AG$9&gt;=14/24,AG$9&lt;20/24)</formula>
    </cfRule>
    <cfRule type="expression" dxfId="5312" priority="154">
      <formula>AND(AG$9&gt;=8/24,AG$9&lt;14/24)</formula>
    </cfRule>
    <cfRule type="expression" dxfId="5311" priority="155">
      <formula>AG$9&lt;8/24</formula>
    </cfRule>
  </conditionalFormatting>
  <conditionalFormatting sqref="AG48">
    <cfRule type="expression" dxfId="5310" priority="151">
      <formula>AG48&gt;$AG48</formula>
    </cfRule>
  </conditionalFormatting>
  <conditionalFormatting sqref="C103:AF103">
    <cfRule type="expression" dxfId="5309" priority="147">
      <formula>C$9&gt;=20/24</formula>
    </cfRule>
    <cfRule type="expression" dxfId="5308" priority="148">
      <formula>AND(C$9&gt;=14/24,C$9&lt;20/24)</formula>
    </cfRule>
    <cfRule type="expression" dxfId="5307" priority="149">
      <formula>AND(C$9&gt;=8/24,C$9&lt;14/24)</formula>
    </cfRule>
    <cfRule type="expression" dxfId="5306" priority="150">
      <formula>C$9&lt;8/24</formula>
    </cfRule>
  </conditionalFormatting>
  <conditionalFormatting sqref="AL37">
    <cfRule type="iconSet" priority="146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5305" priority="145">
      <formula>$AH37=0</formula>
    </cfRule>
  </conditionalFormatting>
  <conditionalFormatting sqref="A86">
    <cfRule type="expression" dxfId="5304" priority="143">
      <formula>$AH86=0</formula>
    </cfRule>
  </conditionalFormatting>
  <conditionalFormatting sqref="A83">
    <cfRule type="expression" dxfId="5303" priority="144">
      <formula>$AH83=0</formula>
    </cfRule>
  </conditionalFormatting>
  <conditionalFormatting sqref="A113">
    <cfRule type="expression" dxfId="5302" priority="134">
      <formula>$AH113=0</formula>
    </cfRule>
  </conditionalFormatting>
  <conditionalFormatting sqref="D106:AF106">
    <cfRule type="expression" dxfId="5301" priority="130">
      <formula>D$9&gt;=20/24</formula>
    </cfRule>
    <cfRule type="expression" dxfId="5300" priority="131">
      <formula>AND(D$9&gt;=14/24,D$9&lt;20/24)</formula>
    </cfRule>
    <cfRule type="expression" dxfId="5299" priority="132">
      <formula>AND(D$9&gt;=8/24,D$9&lt;14/24)</formula>
    </cfRule>
    <cfRule type="expression" dxfId="5298" priority="133">
      <formula>D$9&lt;8/24</formula>
    </cfRule>
  </conditionalFormatting>
  <conditionalFormatting sqref="A106">
    <cfRule type="expression" dxfId="5297" priority="129">
      <formula>$AH106=0</formula>
    </cfRule>
  </conditionalFormatting>
  <conditionalFormatting sqref="A19">
    <cfRule type="expression" dxfId="5296" priority="127">
      <formula>$AH19=0</formula>
    </cfRule>
  </conditionalFormatting>
  <conditionalFormatting sqref="AL19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5295" priority="125">
      <formula>$AH34=0</formula>
    </cfRule>
  </conditionalFormatting>
  <conditionalFormatting sqref="AL34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5294" priority="121">
      <formula>Y$9&gt;=20/24</formula>
    </cfRule>
    <cfRule type="expression" dxfId="5293" priority="122">
      <formula>AND(Y$9&gt;=14/24,Y$9&lt;20/24)</formula>
    </cfRule>
    <cfRule type="expression" dxfId="5292" priority="123">
      <formula>AND(Y$9&gt;=8/24,Y$9&lt;14/24)</formula>
    </cfRule>
    <cfRule type="expression" dxfId="5291" priority="124">
      <formula>Y$9&lt;8/24</formula>
    </cfRule>
  </conditionalFormatting>
  <conditionalFormatting sqref="Y96:AC102">
    <cfRule type="expression" dxfId="5290" priority="117">
      <formula>Y$9&gt;=20/24</formula>
    </cfRule>
    <cfRule type="expression" dxfId="5289" priority="118">
      <formula>AND(Y$9&gt;=14/24,Y$9&lt;20/24)</formula>
    </cfRule>
    <cfRule type="expression" dxfId="5288" priority="119">
      <formula>AND(Y$9&gt;=8/24,Y$9&lt;14/24)</formula>
    </cfRule>
    <cfRule type="expression" dxfId="5287" priority="120">
      <formula>Y$9&lt;8/24</formula>
    </cfRule>
  </conditionalFormatting>
  <conditionalFormatting sqref="B105:C105 B107:C112 B15:X40">
    <cfRule type="expression" dxfId="5286" priority="113">
      <formula>B$9&gt;=20/24</formula>
    </cfRule>
    <cfRule type="expression" dxfId="5285" priority="114">
      <formula>AND(B$9&gt;=14/24,B$9&lt;20/24)</formula>
    </cfRule>
    <cfRule type="expression" dxfId="5284" priority="115">
      <formula>AND(B$9&gt;=8/24,B$9&lt;14/24)</formula>
    </cfRule>
    <cfRule type="expression" dxfId="5283" priority="116">
      <formula>B$9&lt;8/24</formula>
    </cfRule>
  </conditionalFormatting>
  <conditionalFormatting sqref="B43:S43">
    <cfRule type="expression" dxfId="5282" priority="109">
      <formula>B$9&gt;=20/24</formula>
    </cfRule>
    <cfRule type="expression" dxfId="5281" priority="110">
      <formula>AND(B$9&gt;=14/24,B$9&lt;20/24)</formula>
    </cfRule>
    <cfRule type="expression" dxfId="5280" priority="111">
      <formula>AND(B$9&gt;=8/24,B$9&lt;14/24)</formula>
    </cfRule>
    <cfRule type="expression" dxfId="5279" priority="112">
      <formula>B$9&lt;8/24</formula>
    </cfRule>
  </conditionalFormatting>
  <conditionalFormatting sqref="B43:S43 B15:X40">
    <cfRule type="expression" dxfId="5278" priority="108">
      <formula>B15&gt;$AG15</formula>
    </cfRule>
  </conditionalFormatting>
  <conditionalFormatting sqref="B95:D95">
    <cfRule type="expression" dxfId="5277" priority="104">
      <formula>B$9&gt;=20/24</formula>
    </cfRule>
    <cfRule type="expression" dxfId="5276" priority="105">
      <formula>AND(B$9&gt;=14/24,B$9&lt;20/24)</formula>
    </cfRule>
    <cfRule type="expression" dxfId="5275" priority="106">
      <formula>AND(B$9&gt;=8/24,B$9&lt;14/24)</formula>
    </cfRule>
    <cfRule type="expression" dxfId="5274" priority="107">
      <formula>B$9&lt;8/24</formula>
    </cfRule>
  </conditionalFormatting>
  <conditionalFormatting sqref="B50:D51 B67:D67">
    <cfRule type="expression" dxfId="5273" priority="100">
      <formula>B$9&gt;=20/24</formula>
    </cfRule>
    <cfRule type="expression" dxfId="5272" priority="101">
      <formula>AND(B$9&gt;=14/24,B$9&lt;20/24)</formula>
    </cfRule>
    <cfRule type="expression" dxfId="5271" priority="102">
      <formula>AND(B$9&gt;=8/24,B$9&lt;14/24)</formula>
    </cfRule>
    <cfRule type="expression" dxfId="5270" priority="103">
      <formula>B$9&lt;8/24</formula>
    </cfRule>
  </conditionalFormatting>
  <conditionalFormatting sqref="B49:D49">
    <cfRule type="expression" dxfId="5269" priority="96">
      <formula>B$9&gt;=20/24</formula>
    </cfRule>
    <cfRule type="expression" dxfId="5268" priority="97">
      <formula>AND(B$9&gt;=14/24,B$9&lt;20/24)</formula>
    </cfRule>
    <cfRule type="expression" dxfId="5267" priority="98">
      <formula>AND(B$9&gt;=8/24,B$9&lt;14/24)</formula>
    </cfRule>
    <cfRule type="expression" dxfId="5266" priority="99">
      <formula>B$9&lt;8/24</formula>
    </cfRule>
  </conditionalFormatting>
  <conditionalFormatting sqref="B49:D51">
    <cfRule type="expression" dxfId="5265" priority="95">
      <formula>B49&gt;$AG49</formula>
    </cfRule>
  </conditionalFormatting>
  <conditionalFormatting sqref="B82:C82 B92:W92 B68:D72 B96:E102 B63:P65 E70:X72 B79:AF81 Y71:AF72">
    <cfRule type="expression" dxfId="5264" priority="91">
      <formula>B$9&gt;=20/24</formula>
    </cfRule>
    <cfRule type="expression" dxfId="5263" priority="92">
      <formula>AND(B$9&gt;=14/24,B$9&lt;20/24)</formula>
    </cfRule>
    <cfRule type="expression" dxfId="5262" priority="93">
      <formula>AND(B$9&gt;=8/24,B$9&lt;14/24)</formula>
    </cfRule>
    <cfRule type="expression" dxfId="5261" priority="94">
      <formula>B$9&lt;8/24</formula>
    </cfRule>
  </conditionalFormatting>
  <conditionalFormatting sqref="B63:P65 B52:L53">
    <cfRule type="expression" dxfId="5260" priority="90">
      <formula>B52&gt;$AG52</formula>
    </cfRule>
  </conditionalFormatting>
  <conditionalFormatting sqref="B54:N54 W54:X54">
    <cfRule type="expression" dxfId="5259" priority="86">
      <formula>B$9&gt;=20/24</formula>
    </cfRule>
    <cfRule type="expression" dxfId="5258" priority="87">
      <formula>AND(B$9&gt;=14/24,B$9&lt;20/24)</formula>
    </cfRule>
    <cfRule type="expression" dxfId="5257" priority="88">
      <formula>AND(B$9&gt;=8/24,B$9&lt;14/24)</formula>
    </cfRule>
    <cfRule type="expression" dxfId="5256" priority="89">
      <formula>B$9&lt;8/24</formula>
    </cfRule>
  </conditionalFormatting>
  <conditionalFormatting sqref="B54:N54 W54:X54">
    <cfRule type="expression" dxfId="5255" priority="85">
      <formula>B54&gt;$AG54</formula>
    </cfRule>
  </conditionalFormatting>
  <conditionalFormatting sqref="B84 B93">
    <cfRule type="expression" dxfId="5254" priority="81">
      <formula>B$9&gt;=20/24</formula>
    </cfRule>
    <cfRule type="expression" dxfId="5253" priority="82">
      <formula>AND(B$9&gt;=14/24,B$9&lt;20/24)</formula>
    </cfRule>
    <cfRule type="expression" dxfId="5252" priority="83">
      <formula>AND(B$9&gt;=8/24,B$9&lt;14/24)</formula>
    </cfRule>
    <cfRule type="expression" dxfId="5251" priority="84">
      <formula>B$9&lt;8/24</formula>
    </cfRule>
  </conditionalFormatting>
  <conditionalFormatting sqref="B42:X42">
    <cfRule type="expression" dxfId="5250" priority="77">
      <formula>B$9&gt;=20/24</formula>
    </cfRule>
    <cfRule type="expression" dxfId="5249" priority="78">
      <formula>AND(B$9&gt;=14/24,B$9&lt;20/24)</formula>
    </cfRule>
    <cfRule type="expression" dxfId="5248" priority="79">
      <formula>AND(B$9&gt;=8/24,B$9&lt;14/24)</formula>
    </cfRule>
    <cfRule type="expression" dxfId="5247" priority="80">
      <formula>B$9&lt;8/24</formula>
    </cfRule>
  </conditionalFormatting>
  <conditionalFormatting sqref="B42:X42">
    <cfRule type="expression" dxfId="5246" priority="76">
      <formula>B42&gt;$AG42</formula>
    </cfRule>
  </conditionalFormatting>
  <conditionalFormatting sqref="B94:AF94 B85:AF85 B83:AF83 B66:AF66">
    <cfRule type="expression" dxfId="5245" priority="72">
      <formula>B$9&gt;=20/24</formula>
    </cfRule>
    <cfRule type="expression" dxfId="5244" priority="73">
      <formula>AND(B$9&gt;=14/24,B$9&lt;20/24)</formula>
    </cfRule>
    <cfRule type="expression" dxfId="5243" priority="74">
      <formula>AND(B$9&gt;=8/24,B$9&lt;14/24)</formula>
    </cfRule>
    <cfRule type="expression" dxfId="5242" priority="75">
      <formula>B$9&lt;8/24</formula>
    </cfRule>
  </conditionalFormatting>
  <conditionalFormatting sqref="B66:AF66 B61:AF62 B44:AF44">
    <cfRule type="expression" dxfId="5241" priority="71">
      <formula>B44&gt;$AG44</formula>
    </cfRule>
  </conditionalFormatting>
  <conditionalFormatting sqref="B78:AF78">
    <cfRule type="expression" dxfId="5240" priority="67">
      <formula>B$9&gt;=20/24</formula>
    </cfRule>
    <cfRule type="expression" dxfId="5239" priority="68">
      <formula>AND(B$9&gt;=14/24,B$9&lt;20/24)</formula>
    </cfRule>
    <cfRule type="expression" dxfId="5238" priority="69">
      <formula>AND(B$9&gt;=8/24,B$9&lt;14/24)</formula>
    </cfRule>
    <cfRule type="expression" dxfId="5237" priority="70">
      <formula>B$9&lt;8/24</formula>
    </cfRule>
  </conditionalFormatting>
  <conditionalFormatting sqref="B87:W91">
    <cfRule type="expression" dxfId="5236" priority="63">
      <formula>B$9&gt;=20/24</formula>
    </cfRule>
    <cfRule type="expression" dxfId="5235" priority="64">
      <formula>AND(B$9&gt;=14/24,B$9&lt;20/24)</formula>
    </cfRule>
    <cfRule type="expression" dxfId="5234" priority="65">
      <formula>AND(B$9&gt;=8/24,B$9&lt;14/24)</formula>
    </cfRule>
    <cfRule type="expression" dxfId="5233" priority="66">
      <formula>B$9&lt;8/24</formula>
    </cfRule>
  </conditionalFormatting>
  <conditionalFormatting sqref="B45:D47">
    <cfRule type="expression" dxfId="5232" priority="59">
      <formula>B$9&gt;=20/24</formula>
    </cfRule>
    <cfRule type="expression" dxfId="5231" priority="60">
      <formula>AND(B$9&gt;=14/24,B$9&lt;20/24)</formula>
    </cfRule>
    <cfRule type="expression" dxfId="5230" priority="61">
      <formula>AND(B$9&gt;=8/24,B$9&lt;14/24)</formula>
    </cfRule>
    <cfRule type="expression" dxfId="5229" priority="62">
      <formula>B$9&lt;8/24</formula>
    </cfRule>
  </conditionalFormatting>
  <conditionalFormatting sqref="B45:D47">
    <cfRule type="expression" dxfId="5228" priority="58">
      <formula>B45&gt;$AG45</formula>
    </cfRule>
  </conditionalFormatting>
  <conditionalFormatting sqref="B48:AF48">
    <cfRule type="expression" dxfId="5227" priority="54">
      <formula>B$9&gt;=20/24</formula>
    </cfRule>
    <cfRule type="expression" dxfId="5226" priority="55">
      <formula>AND(B$9&gt;=14/24,B$9&lt;20/24)</formula>
    </cfRule>
    <cfRule type="expression" dxfId="5225" priority="56">
      <formula>AND(B$9&gt;=8/24,B$9&lt;14/24)</formula>
    </cfRule>
    <cfRule type="expression" dxfId="5224" priority="57">
      <formula>B$9&lt;8/24</formula>
    </cfRule>
  </conditionalFormatting>
  <conditionalFormatting sqref="B48:AF48">
    <cfRule type="expression" dxfId="5223" priority="53">
      <formula>B48&gt;$AG48</formula>
    </cfRule>
  </conditionalFormatting>
  <conditionalFormatting sqref="B103">
    <cfRule type="expression" dxfId="5222" priority="49">
      <formula>B$9&gt;=20/24</formula>
    </cfRule>
    <cfRule type="expression" dxfId="5221" priority="50">
      <formula>AND(B$9&gt;=14/24,B$9&lt;20/24)</formula>
    </cfRule>
    <cfRule type="expression" dxfId="5220" priority="51">
      <formula>AND(B$9&gt;=8/24,B$9&lt;14/24)</formula>
    </cfRule>
    <cfRule type="expression" dxfId="5219" priority="52">
      <formula>B$9&lt;8/24</formula>
    </cfRule>
  </conditionalFormatting>
  <conditionalFormatting sqref="B106:C106">
    <cfRule type="expression" dxfId="5218" priority="37">
      <formula>B$9&gt;=20/24</formula>
    </cfRule>
    <cfRule type="expression" dxfId="5217" priority="38">
      <formula>AND(B$9&gt;=14/24,B$9&lt;20/24)</formula>
    </cfRule>
    <cfRule type="expression" dxfId="5216" priority="39">
      <formula>AND(B$9&gt;=8/24,B$9&lt;14/24)</formula>
    </cfRule>
    <cfRule type="expression" dxfId="5215" priority="40">
      <formula>B$9&lt;8/24</formula>
    </cfRule>
  </conditionalFormatting>
  <conditionalFormatting sqref="B55:AF60">
    <cfRule type="expression" dxfId="5214" priority="33">
      <formula>B$9&gt;=20/24</formula>
    </cfRule>
    <cfRule type="expression" dxfId="5213" priority="34">
      <formula>AND(B$9&gt;=14/24,B$9&lt;20/24)</formula>
    </cfRule>
    <cfRule type="expression" dxfId="5212" priority="35">
      <formula>AND(B$9&gt;=8/24,B$9&lt;14/24)</formula>
    </cfRule>
    <cfRule type="expression" dxfId="5211" priority="36">
      <formula>B$9&lt;8/24</formula>
    </cfRule>
  </conditionalFormatting>
  <conditionalFormatting sqref="B55:AF60">
    <cfRule type="expression" dxfId="5210" priority="32">
      <formula>B55&gt;$AG55</formula>
    </cfRule>
  </conditionalFormatting>
  <conditionalFormatting sqref="B41:X41 B12:X14">
    <cfRule type="expression" dxfId="5209" priority="31">
      <formula>B12&gt;$AG12</formula>
    </cfRule>
  </conditionalFormatting>
  <conditionalFormatting sqref="B11:X11">
    <cfRule type="expression" dxfId="5208" priority="27">
      <formula>B$9&gt;=20/24</formula>
    </cfRule>
    <cfRule type="expression" dxfId="5207" priority="28">
      <formula>AND(B$9&gt;=14/24,B$9&lt;20/24)</formula>
    </cfRule>
    <cfRule type="expression" dxfId="5206" priority="29">
      <formula>AND(B$9&gt;=8/24,B$9&lt;14/24)</formula>
    </cfRule>
    <cfRule type="expression" dxfId="5205" priority="30">
      <formula>B$9&lt;8/24</formula>
    </cfRule>
  </conditionalFormatting>
  <conditionalFormatting sqref="B11:X11">
    <cfRule type="expression" dxfId="5204" priority="26">
      <formula>B11&gt;$AG11</formula>
    </cfRule>
  </conditionalFormatting>
  <conditionalFormatting sqref="B12:X14">
    <cfRule type="expression" dxfId="5203" priority="22">
      <formula>B$9&gt;=20/24</formula>
    </cfRule>
    <cfRule type="expression" dxfId="5202" priority="23">
      <formula>AND(B$9&gt;=14/24,B$9&lt;20/24)</formula>
    </cfRule>
    <cfRule type="expression" dxfId="5201" priority="24">
      <formula>AND(B$9&gt;=8/24,B$9&lt;14/24)</formula>
    </cfRule>
    <cfRule type="expression" dxfId="5200" priority="25">
      <formula>B$9&lt;8/24</formula>
    </cfRule>
  </conditionalFormatting>
  <conditionalFormatting sqref="B41:X41">
    <cfRule type="expression" dxfId="5199" priority="18">
      <formula>B$9&gt;=20/24</formula>
    </cfRule>
    <cfRule type="expression" dxfId="5198" priority="19">
      <formula>AND(B$9&gt;=14/24,B$9&lt;20/24)</formula>
    </cfRule>
    <cfRule type="expression" dxfId="5197" priority="20">
      <formula>AND(B$9&gt;=8/24,B$9&lt;14/24)</formula>
    </cfRule>
    <cfRule type="expression" dxfId="5196" priority="21">
      <formula>B$9&lt;8/24</formula>
    </cfRule>
  </conditionalFormatting>
  <conditionalFormatting sqref="B73:AF77">
    <cfRule type="expression" dxfId="5195" priority="14">
      <formula>B$9&gt;=20/24</formula>
    </cfRule>
    <cfRule type="expression" dxfId="5194" priority="15">
      <formula>AND(B$9&gt;=14/24,B$9&lt;20/24)</formula>
    </cfRule>
    <cfRule type="expression" dxfId="5193" priority="16">
      <formula>AND(B$9&gt;=8/24,B$9&lt;14/24)</formula>
    </cfRule>
    <cfRule type="expression" dxfId="5192" priority="17">
      <formula>B$9&lt;8/24</formula>
    </cfRule>
  </conditionalFormatting>
  <conditionalFormatting sqref="AL74:AN74 AL80:AN80 AN75:AN76">
    <cfRule type="expression" dxfId="5191" priority="10">
      <formula>AL$9&gt;=20/24</formula>
    </cfRule>
    <cfRule type="expression" dxfId="5190" priority="11">
      <formula>AND(AL$9&gt;=14/24,AL$9&lt;20/24)</formula>
    </cfRule>
    <cfRule type="expression" dxfId="5189" priority="12">
      <formula>AND(AL$9&gt;=8/24,AL$9&lt;14/24)</formula>
    </cfRule>
    <cfRule type="expression" dxfId="5188" priority="13">
      <formula>AL$9&lt;8/24</formula>
    </cfRule>
  </conditionalFormatting>
  <conditionalFormatting sqref="AN77:AN78">
    <cfRule type="expression" dxfId="5187" priority="6">
      <formula>AN$9&gt;=20/24</formula>
    </cfRule>
    <cfRule type="expression" dxfId="5186" priority="7">
      <formula>AND(AN$9&gt;=14/24,AN$9&lt;20/24)</formula>
    </cfRule>
    <cfRule type="expression" dxfId="5185" priority="8">
      <formula>AND(AN$9&gt;=8/24,AN$9&lt;14/24)</formula>
    </cfRule>
    <cfRule type="expression" dxfId="5184" priority="9">
      <formula>AN$9&lt;8/24</formula>
    </cfRule>
  </conditionalFormatting>
  <conditionalFormatting sqref="AL75:AM79">
    <cfRule type="expression" dxfId="5183" priority="263">
      <formula>AJ$9&gt;=20/24</formula>
    </cfRule>
    <cfRule type="expression" dxfId="5182" priority="264">
      <formula>AND(AJ$9&gt;=14/24,AJ$9&lt;20/24)</formula>
    </cfRule>
    <cfRule type="expression" dxfId="5181" priority="265">
      <formula>AND(AJ$9&gt;=8/24,AJ$9&lt;14/24)</formula>
    </cfRule>
    <cfRule type="expression" dxfId="5180" priority="266">
      <formula>AJ$9&lt;8/24</formula>
    </cfRule>
  </conditionalFormatting>
  <conditionalFormatting sqref="M52:N53">
    <cfRule type="expression" dxfId="5179" priority="2">
      <formula>M$9&gt;=20/24</formula>
    </cfRule>
    <cfRule type="expression" dxfId="5178" priority="3">
      <formula>AND(M$9&gt;=14/24,M$9&lt;20/24)</formula>
    </cfRule>
    <cfRule type="expression" dxfId="5177" priority="4">
      <formula>AND(M$9&gt;=8/24,M$9&lt;14/24)</formula>
    </cfRule>
    <cfRule type="expression" dxfId="5176" priority="5">
      <formula>M$9&lt;8/24</formula>
    </cfRule>
  </conditionalFormatting>
  <conditionalFormatting sqref="M52:N53">
    <cfRule type="expression" dxfId="5175" priority="1">
      <formula>M52&gt;$AG52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9" id="{6AAEBF09-51AE-465D-913A-6564836BCA2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40" id="{3D0BBF2C-ED67-4E32-9889-0BC1AC21DA7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41" id="{5FED4A66-F79A-4DC7-9DD8-B42C751E41CC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42" id="{35291834-DFDF-4CB3-A6AB-16C4B5C0848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45" id="{04EAF17E-C400-4E18-9AC9-E07B26FB8841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6" id="{203E8225-A06A-44C8-8E5E-87344E661C8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7" id="{BBF325DF-6628-4688-8A4D-4403AC29DFC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8" id="{4BC87C0E-6FCC-49F3-9B56-B80A23EE375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41" id="{50EA2FEA-6C1C-4215-A489-1576E257242F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2" id="{102FB899-514B-4317-A0A5-C25545B7BB5F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3" id="{E528D322-4E3E-43E0-845F-8FC3BB50D776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4" id="{D1F3502C-C440-4A2A-92D9-EF6D0CC9CE0E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B113:C113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J274"/>
  <sheetViews>
    <sheetView workbookViewId="0">
      <pane ySplit="10" topLeftCell="A35" activePane="bottomLeft" state="frozen"/>
      <selection activeCell="U80" sqref="U80"/>
      <selection pane="bottomLeft" activeCell="AE51" sqref="AE51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/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str">
        <f ca="1">"2079/"&amp;"09/"&amp;INT(MID(CELL("filename",D6),FIND("]",CELL("filename",D6))+1,200))</f>
        <v>2079/09/17</v>
      </c>
      <c r="C4" s="771"/>
      <c r="D4" s="771"/>
      <c r="E4" s="772" t="str">
        <f ca="1">"2079/"&amp;"09/"&amp;INT(MID(CELL("filename",G6),FIND("]",CELL("filename",G6))+1,200))</f>
        <v>2079/09/17</v>
      </c>
      <c r="F4" s="772"/>
      <c r="G4" s="772"/>
      <c r="H4" s="772" t="str">
        <f ca="1">TEXT(E4,"dddd")</f>
        <v>Sunday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436.79999999999995</v>
      </c>
      <c r="C5" s="30">
        <f t="shared" si="0"/>
        <v>420.69999999999993</v>
      </c>
      <c r="D5" s="30">
        <f t="shared" si="0"/>
        <v>412.3</v>
      </c>
      <c r="E5" s="30">
        <f t="shared" si="0"/>
        <v>412.3</v>
      </c>
      <c r="F5" s="30">
        <f t="shared" si="0"/>
        <v>407.8</v>
      </c>
      <c r="G5" s="30">
        <f t="shared" si="0"/>
        <v>465.5</v>
      </c>
      <c r="H5" s="30">
        <f t="shared" si="0"/>
        <v>449.7</v>
      </c>
      <c r="I5" s="30">
        <f t="shared" si="0"/>
        <v>471.09999999999997</v>
      </c>
      <c r="J5" s="30">
        <f t="shared" si="0"/>
        <v>348.79999999999995</v>
      </c>
      <c r="K5" s="30">
        <f t="shared" si="0"/>
        <v>366.5</v>
      </c>
      <c r="L5" s="30">
        <f t="shared" si="0"/>
        <v>418.2</v>
      </c>
      <c r="M5" s="30">
        <f t="shared" si="0"/>
        <v>376.6</v>
      </c>
      <c r="N5" s="30">
        <f t="shared" si="0"/>
        <v>387</v>
      </c>
      <c r="O5" s="30">
        <f t="shared" si="0"/>
        <v>483.2</v>
      </c>
      <c r="P5" s="30">
        <f t="shared" si="0"/>
        <v>476</v>
      </c>
      <c r="Q5" s="30">
        <f t="shared" si="0"/>
        <v>483.2</v>
      </c>
      <c r="R5" s="30">
        <f t="shared" si="0"/>
        <v>497.8</v>
      </c>
      <c r="S5" s="30">
        <f t="shared" si="0"/>
        <v>505</v>
      </c>
      <c r="T5" s="30">
        <f t="shared" si="0"/>
        <v>446.5</v>
      </c>
      <c r="U5" s="30">
        <f t="shared" si="0"/>
        <v>456.1</v>
      </c>
      <c r="V5" s="30">
        <f t="shared" si="0"/>
        <v>451.79999999999995</v>
      </c>
      <c r="W5" s="30">
        <f t="shared" si="0"/>
        <v>412.7</v>
      </c>
      <c r="X5" s="30">
        <f t="shared" si="0"/>
        <v>404.9</v>
      </c>
      <c r="Y5" s="30">
        <f t="shared" si="0"/>
        <v>390.31</v>
      </c>
      <c r="Z5" s="30">
        <f t="shared" si="0"/>
        <v>378.92</v>
      </c>
      <c r="AA5" s="30">
        <f t="shared" si="0"/>
        <v>416.90999999999997</v>
      </c>
      <c r="AB5" s="30">
        <f t="shared" si="0"/>
        <v>428</v>
      </c>
      <c r="AC5" s="30">
        <f t="shared" si="0"/>
        <v>428</v>
      </c>
      <c r="AD5" s="30">
        <f t="shared" si="0"/>
        <v>437.8</v>
      </c>
      <c r="AE5" s="30">
        <f t="shared" si="0"/>
        <v>438.79999999999995</v>
      </c>
      <c r="AF5" s="30">
        <f>B78</f>
        <v>486.6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1533MW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Load=974</v>
      </c>
      <c r="B7" s="35">
        <f t="shared" ref="B7:AF7" si="1">B85</f>
        <v>1082.54</v>
      </c>
      <c r="C7" s="35">
        <f t="shared" si="1"/>
        <v>1057.2399999999998</v>
      </c>
      <c r="D7" s="35">
        <f t="shared" si="1"/>
        <v>1027.04</v>
      </c>
      <c r="E7" s="35">
        <f t="shared" si="1"/>
        <v>982.6400000000001</v>
      </c>
      <c r="F7" s="35">
        <f t="shared" si="1"/>
        <v>974.1400000000001</v>
      </c>
      <c r="G7" s="35">
        <f t="shared" si="1"/>
        <v>992.6400000000001</v>
      </c>
      <c r="H7" s="35">
        <f t="shared" si="1"/>
        <v>1174.1400000000001</v>
      </c>
      <c r="I7" s="35">
        <f t="shared" si="1"/>
        <v>1241.3399999999999</v>
      </c>
      <c r="J7" s="35">
        <f t="shared" si="1"/>
        <v>1359.54</v>
      </c>
      <c r="K7" s="35">
        <f t="shared" si="1"/>
        <v>1425.34</v>
      </c>
      <c r="L7" s="35">
        <f t="shared" si="1"/>
        <v>1532.74</v>
      </c>
      <c r="M7" s="35">
        <f t="shared" si="1"/>
        <v>1509.64</v>
      </c>
      <c r="N7" s="35">
        <f>N85</f>
        <v>1388.44</v>
      </c>
      <c r="O7" s="35">
        <f t="shared" si="1"/>
        <v>1374.24</v>
      </c>
      <c r="P7" s="35">
        <f t="shared" si="1"/>
        <v>1214.04</v>
      </c>
      <c r="Q7" s="35">
        <f t="shared" si="1"/>
        <v>1316.04</v>
      </c>
      <c r="R7" s="35">
        <f t="shared" si="1"/>
        <v>1302.54</v>
      </c>
      <c r="S7" s="35">
        <f t="shared" si="1"/>
        <v>1324.64</v>
      </c>
      <c r="T7" s="35">
        <f t="shared" si="1"/>
        <v>1316.94</v>
      </c>
      <c r="U7" s="35">
        <f t="shared" si="1"/>
        <v>1339.74</v>
      </c>
      <c r="V7" s="35">
        <f t="shared" si="1"/>
        <v>1252.54</v>
      </c>
      <c r="W7" s="35">
        <f t="shared" si="1"/>
        <v>1348.2399999999998</v>
      </c>
      <c r="X7" s="35">
        <f t="shared" si="1"/>
        <v>1535.1399999999999</v>
      </c>
      <c r="Y7" s="35">
        <f t="shared" si="1"/>
        <v>1605.3400000000001</v>
      </c>
      <c r="Z7" s="35">
        <f t="shared" si="1"/>
        <v>1563.65</v>
      </c>
      <c r="AA7" s="35">
        <f t="shared" si="1"/>
        <v>1455.36</v>
      </c>
      <c r="AB7" s="35">
        <f t="shared" si="1"/>
        <v>1435.35</v>
      </c>
      <c r="AC7" s="35">
        <f t="shared" si="1"/>
        <v>1413.1399999999999</v>
      </c>
      <c r="AD7" s="35">
        <f t="shared" si="1"/>
        <v>1347.44</v>
      </c>
      <c r="AE7" s="35">
        <f t="shared" si="1"/>
        <v>1182.4399999999998</v>
      </c>
      <c r="AF7" s="35">
        <f t="shared" si="1"/>
        <v>1113.94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17</v>
      </c>
      <c r="C11" s="45">
        <v>17</v>
      </c>
      <c r="D11" s="45">
        <v>17</v>
      </c>
      <c r="E11" s="45">
        <v>17</v>
      </c>
      <c r="F11" s="45">
        <v>17</v>
      </c>
      <c r="G11" s="45">
        <v>17</v>
      </c>
      <c r="H11" s="45">
        <v>17</v>
      </c>
      <c r="I11" s="45">
        <v>18.7</v>
      </c>
      <c r="J11" s="45">
        <v>18.7</v>
      </c>
      <c r="K11" s="45">
        <v>18.7</v>
      </c>
      <c r="L11" s="45">
        <v>18.7</v>
      </c>
      <c r="M11" s="45">
        <v>18.7</v>
      </c>
      <c r="N11" s="45">
        <v>18.7</v>
      </c>
      <c r="O11" s="45">
        <v>18.7</v>
      </c>
      <c r="P11" s="45">
        <v>18.7</v>
      </c>
      <c r="Q11" s="45">
        <v>18.7</v>
      </c>
      <c r="R11" s="45">
        <v>18.7</v>
      </c>
      <c r="S11" s="45">
        <v>18.7</v>
      </c>
      <c r="T11" s="45">
        <v>18.7</v>
      </c>
      <c r="U11" s="45">
        <v>18.7</v>
      </c>
      <c r="V11" s="45">
        <v>18.7</v>
      </c>
      <c r="W11" s="45">
        <v>18.7</v>
      </c>
      <c r="X11" s="45">
        <v>18.7</v>
      </c>
      <c r="Y11" s="45">
        <v>16.5</v>
      </c>
      <c r="Z11" s="45">
        <v>16.5</v>
      </c>
      <c r="AA11" s="45">
        <v>16.5</v>
      </c>
      <c r="AB11" s="45">
        <v>16.5</v>
      </c>
      <c r="AC11" s="45">
        <v>16.5</v>
      </c>
      <c r="AD11" s="45">
        <v>16.5</v>
      </c>
      <c r="AE11" s="45">
        <v>16.5</v>
      </c>
      <c r="AF11" s="45">
        <v>18</v>
      </c>
      <c r="AG11" s="46">
        <v>52.4</v>
      </c>
      <c r="AH11" s="47">
        <f t="shared" ref="AH11:AH74" si="2">MAX(B11:AF11)</f>
        <v>18.7</v>
      </c>
      <c r="AI11" s="48">
        <f t="shared" ref="AI11:AI74" si="3">MIN(B11:AF11)</f>
        <v>16.5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33.1</v>
      </c>
      <c r="C12" s="45">
        <v>32.6</v>
      </c>
      <c r="D12" s="45">
        <v>32.799999999999997</v>
      </c>
      <c r="E12" s="45">
        <v>32.799999999999997</v>
      </c>
      <c r="F12" s="45">
        <v>32.799999999999997</v>
      </c>
      <c r="G12" s="45">
        <v>32.799999999999997</v>
      </c>
      <c r="H12" s="45">
        <v>32.799999999999997</v>
      </c>
      <c r="I12" s="45">
        <v>32.799999999999997</v>
      </c>
      <c r="J12" s="45">
        <v>32.799999999999997</v>
      </c>
      <c r="K12" s="45">
        <v>32.799999999999997</v>
      </c>
      <c r="L12" s="45">
        <v>32.799999999999997</v>
      </c>
      <c r="M12" s="45">
        <v>32.799999999999997</v>
      </c>
      <c r="N12" s="45">
        <v>32.799999999999997</v>
      </c>
      <c r="O12" s="45">
        <v>32.799999999999997</v>
      </c>
      <c r="P12" s="45">
        <v>32.799999999999997</v>
      </c>
      <c r="Q12" s="45">
        <v>32.799999999999997</v>
      </c>
      <c r="R12" s="45">
        <v>32.799999999999997</v>
      </c>
      <c r="S12" s="45">
        <v>32.799999999999997</v>
      </c>
      <c r="T12" s="45">
        <v>32.799999999999997</v>
      </c>
      <c r="U12" s="45">
        <v>32.799999999999997</v>
      </c>
      <c r="V12" s="45">
        <v>32.799999999999997</v>
      </c>
      <c r="W12" s="45">
        <v>32.799999999999997</v>
      </c>
      <c r="X12" s="45">
        <v>32.799999999999997</v>
      </c>
      <c r="Y12" s="45">
        <v>31.7</v>
      </c>
      <c r="Z12" s="45">
        <v>31.7</v>
      </c>
      <c r="AA12" s="45">
        <v>31.7</v>
      </c>
      <c r="AB12" s="45">
        <v>31.7</v>
      </c>
      <c r="AC12" s="45">
        <v>31.7</v>
      </c>
      <c r="AD12" s="45">
        <v>31.7</v>
      </c>
      <c r="AE12" s="45">
        <v>31.4</v>
      </c>
      <c r="AF12" s="45">
        <v>31.5</v>
      </c>
      <c r="AG12" s="50">
        <v>50</v>
      </c>
      <c r="AH12" s="47">
        <f t="shared" si="2"/>
        <v>33.1</v>
      </c>
      <c r="AI12" s="48">
        <f t="shared" si="3"/>
        <v>31.4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19.100000000000001</v>
      </c>
      <c r="C13" s="45">
        <v>19.2</v>
      </c>
      <c r="D13" s="45">
        <v>19</v>
      </c>
      <c r="E13" s="45">
        <v>19</v>
      </c>
      <c r="F13" s="45">
        <v>19</v>
      </c>
      <c r="G13" s="45">
        <v>19</v>
      </c>
      <c r="H13" s="45">
        <v>19</v>
      </c>
      <c r="I13" s="45">
        <v>19</v>
      </c>
      <c r="J13" s="45">
        <v>19</v>
      </c>
      <c r="K13" s="45">
        <v>19</v>
      </c>
      <c r="L13" s="45">
        <v>19</v>
      </c>
      <c r="M13" s="45">
        <v>19</v>
      </c>
      <c r="N13" s="45">
        <v>19</v>
      </c>
      <c r="O13" s="45">
        <v>19</v>
      </c>
      <c r="P13" s="45">
        <v>19</v>
      </c>
      <c r="Q13" s="45">
        <v>19</v>
      </c>
      <c r="R13" s="45">
        <v>19</v>
      </c>
      <c r="S13" s="45">
        <v>19</v>
      </c>
      <c r="T13" s="45">
        <v>19</v>
      </c>
      <c r="U13" s="45">
        <v>19</v>
      </c>
      <c r="V13" s="45">
        <v>19</v>
      </c>
      <c r="W13" s="45">
        <v>19</v>
      </c>
      <c r="X13" s="45">
        <v>19</v>
      </c>
      <c r="Y13" s="45">
        <v>18.600000000000001</v>
      </c>
      <c r="Z13" s="45">
        <v>18.600000000000001</v>
      </c>
      <c r="AA13" s="45">
        <v>18.600000000000001</v>
      </c>
      <c r="AB13" s="45">
        <v>18.600000000000001</v>
      </c>
      <c r="AC13" s="45">
        <v>18.600000000000001</v>
      </c>
      <c r="AD13" s="45">
        <v>18.600000000000001</v>
      </c>
      <c r="AE13" s="45">
        <v>19.7</v>
      </c>
      <c r="AF13" s="45">
        <v>19.7</v>
      </c>
      <c r="AG13" s="50">
        <v>45</v>
      </c>
      <c r="AH13" s="47">
        <f t="shared" si="2"/>
        <v>19.7</v>
      </c>
      <c r="AI13" s="48">
        <f t="shared" si="3"/>
        <v>18.600000000000001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9</v>
      </c>
      <c r="C14" s="45">
        <v>9</v>
      </c>
      <c r="D14" s="45">
        <v>9</v>
      </c>
      <c r="E14" s="45">
        <v>9</v>
      </c>
      <c r="F14" s="45">
        <v>9</v>
      </c>
      <c r="G14" s="45">
        <v>9</v>
      </c>
      <c r="H14" s="45">
        <v>9</v>
      </c>
      <c r="I14" s="45">
        <v>9</v>
      </c>
      <c r="J14" s="45">
        <v>9</v>
      </c>
      <c r="K14" s="45">
        <v>9</v>
      </c>
      <c r="L14" s="45">
        <v>9</v>
      </c>
      <c r="M14" s="45">
        <v>9</v>
      </c>
      <c r="N14" s="45">
        <v>9</v>
      </c>
      <c r="O14" s="45">
        <v>9</v>
      </c>
      <c r="P14" s="45">
        <v>9</v>
      </c>
      <c r="Q14" s="45">
        <v>9</v>
      </c>
      <c r="R14" s="45">
        <v>9</v>
      </c>
      <c r="S14" s="45">
        <v>9</v>
      </c>
      <c r="T14" s="45">
        <v>9</v>
      </c>
      <c r="U14" s="45">
        <v>9</v>
      </c>
      <c r="V14" s="45">
        <v>9</v>
      </c>
      <c r="W14" s="45">
        <v>9</v>
      </c>
      <c r="X14" s="45">
        <v>9</v>
      </c>
      <c r="Y14" s="45">
        <v>9</v>
      </c>
      <c r="Z14" s="45">
        <v>9</v>
      </c>
      <c r="AA14" s="45">
        <v>9</v>
      </c>
      <c r="AB14" s="45">
        <v>9</v>
      </c>
      <c r="AC14" s="45">
        <v>9</v>
      </c>
      <c r="AD14" s="45">
        <v>9</v>
      </c>
      <c r="AE14" s="45">
        <v>9</v>
      </c>
      <c r="AF14" s="45">
        <v>9</v>
      </c>
      <c r="AG14" s="50">
        <v>42</v>
      </c>
      <c r="AH14" s="47">
        <f t="shared" si="2"/>
        <v>9</v>
      </c>
      <c r="AI14" s="48">
        <f t="shared" si="3"/>
        <v>9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13</v>
      </c>
      <c r="C15" s="45">
        <v>13</v>
      </c>
      <c r="D15" s="45">
        <v>13</v>
      </c>
      <c r="E15" s="45">
        <v>13</v>
      </c>
      <c r="F15" s="45">
        <v>13</v>
      </c>
      <c r="G15" s="45">
        <v>13</v>
      </c>
      <c r="H15" s="45">
        <v>13</v>
      </c>
      <c r="I15" s="45">
        <v>13</v>
      </c>
      <c r="J15" s="45">
        <v>13</v>
      </c>
      <c r="K15" s="45">
        <v>13</v>
      </c>
      <c r="L15" s="45">
        <v>13</v>
      </c>
      <c r="M15" s="45">
        <v>13</v>
      </c>
      <c r="N15" s="45">
        <v>13</v>
      </c>
      <c r="O15" s="45">
        <v>13</v>
      </c>
      <c r="P15" s="45">
        <v>13</v>
      </c>
      <c r="Q15" s="45">
        <v>13</v>
      </c>
      <c r="R15" s="45">
        <v>13</v>
      </c>
      <c r="S15" s="45">
        <v>13</v>
      </c>
      <c r="T15" s="45">
        <v>13</v>
      </c>
      <c r="U15" s="45">
        <v>13</v>
      </c>
      <c r="V15" s="45">
        <v>13</v>
      </c>
      <c r="W15" s="45">
        <v>13</v>
      </c>
      <c r="X15" s="45">
        <v>13</v>
      </c>
      <c r="Y15" s="45">
        <v>13</v>
      </c>
      <c r="Z15" s="45">
        <v>13</v>
      </c>
      <c r="AA15" s="45">
        <v>13</v>
      </c>
      <c r="AB15" s="45">
        <v>13</v>
      </c>
      <c r="AC15" s="45">
        <v>13</v>
      </c>
      <c r="AD15" s="45">
        <v>13</v>
      </c>
      <c r="AE15" s="45">
        <v>13</v>
      </c>
      <c r="AF15" s="45">
        <v>13</v>
      </c>
      <c r="AG15" s="50">
        <v>36</v>
      </c>
      <c r="AH15" s="47">
        <f t="shared" si="2"/>
        <v>13</v>
      </c>
      <c r="AI15" s="48">
        <f t="shared" si="3"/>
        <v>13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7.7</v>
      </c>
      <c r="C16" s="45">
        <v>7.8</v>
      </c>
      <c r="D16" s="45">
        <v>7.7</v>
      </c>
      <c r="E16" s="45">
        <v>7.7</v>
      </c>
      <c r="F16" s="45">
        <v>7.7</v>
      </c>
      <c r="G16" s="45">
        <v>7.7</v>
      </c>
      <c r="H16" s="45">
        <v>7.7</v>
      </c>
      <c r="I16" s="45">
        <v>7.7</v>
      </c>
      <c r="J16" s="45">
        <v>7.7</v>
      </c>
      <c r="K16" s="45">
        <v>7.7</v>
      </c>
      <c r="L16" s="45">
        <v>7.7</v>
      </c>
      <c r="M16" s="45">
        <v>7.7</v>
      </c>
      <c r="N16" s="45">
        <v>7.7</v>
      </c>
      <c r="O16" s="45">
        <v>7.7</v>
      </c>
      <c r="P16" s="45">
        <v>7.7</v>
      </c>
      <c r="Q16" s="45">
        <v>7.7</v>
      </c>
      <c r="R16" s="45">
        <v>7.7</v>
      </c>
      <c r="S16" s="45">
        <v>7.7</v>
      </c>
      <c r="T16" s="45">
        <v>7.7</v>
      </c>
      <c r="U16" s="45">
        <v>7.7</v>
      </c>
      <c r="V16" s="45">
        <v>7.7</v>
      </c>
      <c r="W16" s="45">
        <v>7.7</v>
      </c>
      <c r="X16" s="45">
        <v>7.7</v>
      </c>
      <c r="Y16" s="45">
        <v>7.7</v>
      </c>
      <c r="Z16" s="45">
        <v>7.7</v>
      </c>
      <c r="AA16" s="45">
        <v>7.7</v>
      </c>
      <c r="AB16" s="45">
        <v>7.7</v>
      </c>
      <c r="AC16" s="45">
        <v>7.7</v>
      </c>
      <c r="AD16" s="45">
        <v>7.7</v>
      </c>
      <c r="AE16" s="45">
        <v>8.8000000000000007</v>
      </c>
      <c r="AF16" s="45">
        <v>8.5</v>
      </c>
      <c r="AG16" s="51">
        <v>30</v>
      </c>
      <c r="AH16" s="47">
        <f t="shared" si="2"/>
        <v>8.8000000000000007</v>
      </c>
      <c r="AI16" s="48">
        <f t="shared" si="3"/>
        <v>7.7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8.1</v>
      </c>
      <c r="C17" s="45">
        <v>8.1</v>
      </c>
      <c r="D17" s="45">
        <v>7.9</v>
      </c>
      <c r="E17" s="45">
        <v>7.9</v>
      </c>
      <c r="F17" s="45">
        <v>7.9</v>
      </c>
      <c r="G17" s="45">
        <v>7.9</v>
      </c>
      <c r="H17" s="45">
        <v>7.9</v>
      </c>
      <c r="I17" s="45">
        <v>7.9</v>
      </c>
      <c r="J17" s="45">
        <v>7.9</v>
      </c>
      <c r="K17" s="45">
        <v>7.9</v>
      </c>
      <c r="L17" s="45">
        <v>7.9</v>
      </c>
      <c r="M17" s="45">
        <v>7.9</v>
      </c>
      <c r="N17" s="45">
        <v>7.9</v>
      </c>
      <c r="O17" s="45">
        <v>7.9</v>
      </c>
      <c r="P17" s="45">
        <v>7.9</v>
      </c>
      <c r="Q17" s="45">
        <v>7.9</v>
      </c>
      <c r="R17" s="45">
        <v>7.9</v>
      </c>
      <c r="S17" s="45">
        <v>7.9</v>
      </c>
      <c r="T17" s="45">
        <v>7.9</v>
      </c>
      <c r="U17" s="45">
        <v>7.9</v>
      </c>
      <c r="V17" s="45">
        <v>7.9</v>
      </c>
      <c r="W17" s="45">
        <v>7.9</v>
      </c>
      <c r="X17" s="45">
        <v>7.9</v>
      </c>
      <c r="Y17" s="45">
        <v>7.9</v>
      </c>
      <c r="Z17" s="45">
        <v>7.9</v>
      </c>
      <c r="AA17" s="45">
        <v>7.9</v>
      </c>
      <c r="AB17" s="45">
        <v>7.9</v>
      </c>
      <c r="AC17" s="45">
        <v>7.9</v>
      </c>
      <c r="AD17" s="45">
        <v>7.9</v>
      </c>
      <c r="AE17" s="45">
        <v>7.6</v>
      </c>
      <c r="AF17" s="45">
        <v>7.7</v>
      </c>
      <c r="AG17" s="50">
        <v>24.2</v>
      </c>
      <c r="AH17" s="47">
        <f t="shared" si="2"/>
        <v>8.1</v>
      </c>
      <c r="AI17" s="48">
        <f t="shared" si="3"/>
        <v>7.6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50">
        <v>28</v>
      </c>
      <c r="AH18" s="47">
        <f t="shared" si="2"/>
        <v>8</v>
      </c>
      <c r="AI18" s="48">
        <f t="shared" si="3"/>
        <v>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9.4</v>
      </c>
      <c r="C20" s="45">
        <v>9.4</v>
      </c>
      <c r="D20" s="45">
        <v>9.4</v>
      </c>
      <c r="E20" s="45">
        <v>9.4</v>
      </c>
      <c r="F20" s="45">
        <v>9.4</v>
      </c>
      <c r="G20" s="45">
        <v>9.4</v>
      </c>
      <c r="H20" s="45">
        <v>9.4</v>
      </c>
      <c r="I20" s="45">
        <v>9.4</v>
      </c>
      <c r="J20" s="45">
        <v>9.4</v>
      </c>
      <c r="K20" s="45">
        <v>9.4</v>
      </c>
      <c r="L20" s="45">
        <v>9.4</v>
      </c>
      <c r="M20" s="45">
        <v>9.4</v>
      </c>
      <c r="N20" s="45">
        <v>9.4</v>
      </c>
      <c r="O20" s="45">
        <v>9.4</v>
      </c>
      <c r="P20" s="45">
        <v>9.4</v>
      </c>
      <c r="Q20" s="45">
        <v>9.4</v>
      </c>
      <c r="R20" s="45">
        <v>9.4</v>
      </c>
      <c r="S20" s="45">
        <v>9.4</v>
      </c>
      <c r="T20" s="45">
        <v>9.4</v>
      </c>
      <c r="U20" s="45">
        <v>9.4</v>
      </c>
      <c r="V20" s="45">
        <v>9.4</v>
      </c>
      <c r="W20" s="45">
        <v>9.4</v>
      </c>
      <c r="X20" s="45">
        <v>9.4</v>
      </c>
      <c r="Y20" s="45">
        <v>9.4</v>
      </c>
      <c r="Z20" s="45">
        <v>9.4</v>
      </c>
      <c r="AA20" s="45">
        <v>9.4</v>
      </c>
      <c r="AB20" s="45">
        <v>9.4</v>
      </c>
      <c r="AC20" s="45">
        <v>9.4</v>
      </c>
      <c r="AD20" s="45">
        <v>9.4</v>
      </c>
      <c r="AE20" s="45">
        <v>9.4</v>
      </c>
      <c r="AF20" s="45">
        <v>9.4</v>
      </c>
      <c r="AG20" s="50">
        <v>25</v>
      </c>
      <c r="AH20" s="47">
        <f t="shared" si="2"/>
        <v>9.4</v>
      </c>
      <c r="AI20" s="48">
        <f t="shared" si="3"/>
        <v>9.4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0">
        <v>25</v>
      </c>
      <c r="AH22" s="47">
        <f t="shared" si="2"/>
        <v>11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7.7</v>
      </c>
      <c r="C24" s="45">
        <v>8.6</v>
      </c>
      <c r="D24" s="45">
        <v>8.6</v>
      </c>
      <c r="E24" s="45">
        <v>8.6</v>
      </c>
      <c r="F24" s="45">
        <v>8.6</v>
      </c>
      <c r="G24" s="45">
        <v>8.6</v>
      </c>
      <c r="H24" s="45">
        <v>8.6</v>
      </c>
      <c r="I24" s="45">
        <v>8.6</v>
      </c>
      <c r="J24" s="45">
        <v>8.6</v>
      </c>
      <c r="K24" s="45">
        <v>8.6</v>
      </c>
      <c r="L24" s="45">
        <v>8.6</v>
      </c>
      <c r="M24" s="45">
        <v>8.6</v>
      </c>
      <c r="N24" s="45">
        <v>8.6</v>
      </c>
      <c r="O24" s="45">
        <v>8.6</v>
      </c>
      <c r="P24" s="45">
        <v>8.6</v>
      </c>
      <c r="Q24" s="45">
        <v>8.6</v>
      </c>
      <c r="R24" s="45">
        <v>8.6</v>
      </c>
      <c r="S24" s="45">
        <v>8.6</v>
      </c>
      <c r="T24" s="45">
        <v>8.6</v>
      </c>
      <c r="U24" s="45">
        <v>8.6</v>
      </c>
      <c r="V24" s="45">
        <v>8.6</v>
      </c>
      <c r="W24" s="45">
        <v>8.6</v>
      </c>
      <c r="X24" s="45">
        <v>8.6</v>
      </c>
      <c r="Y24" s="45">
        <v>8.6</v>
      </c>
      <c r="Z24" s="45">
        <v>8.6</v>
      </c>
      <c r="AA24" s="45">
        <v>8.6</v>
      </c>
      <c r="AB24" s="45">
        <v>8.6</v>
      </c>
      <c r="AC24" s="45">
        <v>8.6</v>
      </c>
      <c r="AD24" s="45">
        <v>8.6</v>
      </c>
      <c r="AE24" s="45">
        <v>7.9</v>
      </c>
      <c r="AF24" s="45">
        <v>7.9</v>
      </c>
      <c r="AG24" s="50">
        <v>23.5</v>
      </c>
      <c r="AH24" s="47">
        <f t="shared" si="2"/>
        <v>8.6</v>
      </c>
      <c r="AI24" s="48">
        <f t="shared" si="3"/>
        <v>7.7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9.4</v>
      </c>
      <c r="C28" s="45">
        <v>9.4</v>
      </c>
      <c r="D28" s="45">
        <v>9.4</v>
      </c>
      <c r="E28" s="45">
        <v>9.4</v>
      </c>
      <c r="F28" s="45">
        <v>9.4</v>
      </c>
      <c r="G28" s="45">
        <v>9.4</v>
      </c>
      <c r="H28" s="45">
        <v>9.4</v>
      </c>
      <c r="I28" s="45">
        <v>9.4</v>
      </c>
      <c r="J28" s="45">
        <v>9.4</v>
      </c>
      <c r="K28" s="45">
        <v>9.4</v>
      </c>
      <c r="L28" s="45">
        <v>9.4</v>
      </c>
      <c r="M28" s="45">
        <v>9.4</v>
      </c>
      <c r="N28" s="45">
        <v>9.4</v>
      </c>
      <c r="O28" s="45">
        <v>9.4</v>
      </c>
      <c r="P28" s="45">
        <v>9.4</v>
      </c>
      <c r="Q28" s="45">
        <v>9.4</v>
      </c>
      <c r="R28" s="45">
        <v>9.4</v>
      </c>
      <c r="S28" s="45">
        <v>9.4</v>
      </c>
      <c r="T28" s="45">
        <v>9.4</v>
      </c>
      <c r="U28" s="45">
        <v>9.4</v>
      </c>
      <c r="V28" s="45">
        <v>9.4</v>
      </c>
      <c r="W28" s="45">
        <v>9.4</v>
      </c>
      <c r="X28" s="45">
        <v>9.4</v>
      </c>
      <c r="Y28" s="45">
        <v>9.4</v>
      </c>
      <c r="Z28" s="45">
        <v>9.4</v>
      </c>
      <c r="AA28" s="45">
        <v>9.4</v>
      </c>
      <c r="AB28" s="45">
        <v>9.4</v>
      </c>
      <c r="AC28" s="45">
        <v>9.4</v>
      </c>
      <c r="AD28" s="45">
        <v>9.4</v>
      </c>
      <c r="AE28" s="45">
        <v>9.4</v>
      </c>
      <c r="AF28" s="45">
        <v>11</v>
      </c>
      <c r="AG28" s="50">
        <v>22</v>
      </c>
      <c r="AH28" s="47">
        <f t="shared" si="2"/>
        <v>11</v>
      </c>
      <c r="AI28" s="48">
        <f t="shared" si="3"/>
        <v>9.4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>
        <v>10</v>
      </c>
      <c r="L35" s="45">
        <v>10</v>
      </c>
      <c r="M35" s="45">
        <v>10</v>
      </c>
      <c r="N35" s="45">
        <v>10</v>
      </c>
      <c r="O35" s="45">
        <v>10</v>
      </c>
      <c r="P35" s="45">
        <v>10</v>
      </c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45">
        <v>10</v>
      </c>
      <c r="Z35" s="45">
        <v>10</v>
      </c>
      <c r="AA35" s="45">
        <v>10</v>
      </c>
      <c r="AB35" s="45">
        <v>10</v>
      </c>
      <c r="AC35" s="45">
        <v>10</v>
      </c>
      <c r="AD35" s="45">
        <v>10</v>
      </c>
      <c r="AE35" s="45">
        <v>10</v>
      </c>
      <c r="AF35" s="45">
        <v>10</v>
      </c>
      <c r="AG35" s="50">
        <v>12</v>
      </c>
      <c r="AH35" s="47">
        <f t="shared" si="2"/>
        <v>10</v>
      </c>
      <c r="AI35" s="48">
        <f t="shared" si="3"/>
        <v>10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1</v>
      </c>
      <c r="T41" s="45">
        <v>1</v>
      </c>
      <c r="U41" s="45">
        <v>1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1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120</v>
      </c>
      <c r="C42" s="56">
        <v>120</v>
      </c>
      <c r="D42" s="56">
        <v>120</v>
      </c>
      <c r="E42" s="56">
        <v>120</v>
      </c>
      <c r="F42" s="56">
        <v>120</v>
      </c>
      <c r="G42" s="56">
        <v>120</v>
      </c>
      <c r="H42" s="56">
        <v>120</v>
      </c>
      <c r="I42" s="56">
        <v>120</v>
      </c>
      <c r="J42" s="56">
        <v>120</v>
      </c>
      <c r="K42" s="56">
        <v>120</v>
      </c>
      <c r="L42" s="56">
        <v>120</v>
      </c>
      <c r="M42" s="56">
        <v>120</v>
      </c>
      <c r="N42" s="56">
        <v>120</v>
      </c>
      <c r="O42" s="56">
        <v>120</v>
      </c>
      <c r="P42" s="56">
        <v>120</v>
      </c>
      <c r="Q42" s="56">
        <v>120</v>
      </c>
      <c r="R42" s="56">
        <v>120</v>
      </c>
      <c r="S42" s="56">
        <v>120</v>
      </c>
      <c r="T42" s="56">
        <v>120</v>
      </c>
      <c r="U42" s="56">
        <v>120</v>
      </c>
      <c r="V42" s="56">
        <v>120</v>
      </c>
      <c r="W42" s="56">
        <v>120</v>
      </c>
      <c r="X42" s="56">
        <v>120</v>
      </c>
      <c r="Y42" s="56">
        <v>120</v>
      </c>
      <c r="Z42" s="56">
        <v>120</v>
      </c>
      <c r="AA42" s="56">
        <v>120</v>
      </c>
      <c r="AB42" s="56">
        <v>120</v>
      </c>
      <c r="AC42" s="56">
        <v>120</v>
      </c>
      <c r="AD42" s="56">
        <v>120</v>
      </c>
      <c r="AE42" s="56">
        <v>120</v>
      </c>
      <c r="AF42" s="56">
        <v>120</v>
      </c>
      <c r="AG42" s="54">
        <v>85</v>
      </c>
      <c r="AH42" s="47">
        <f t="shared" si="2"/>
        <v>120</v>
      </c>
      <c r="AI42" s="48">
        <f t="shared" si="3"/>
        <v>120</v>
      </c>
      <c r="AK42" s="49"/>
    </row>
    <row r="43" spans="1:88" ht="15.75" thickBot="1" x14ac:dyDescent="0.3">
      <c r="A43" s="57" t="s">
        <v>51</v>
      </c>
      <c r="B43" s="56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" si="4">SUM(B11:B42)</f>
        <v>400.2</v>
      </c>
      <c r="C44" s="60">
        <f t="shared" ref="C44:AG44" si="5">SUM(C11:C42)</f>
        <v>400.8</v>
      </c>
      <c r="D44" s="60">
        <f t="shared" si="5"/>
        <v>400.5</v>
      </c>
      <c r="E44" s="60">
        <f t="shared" si="5"/>
        <v>400.5</v>
      </c>
      <c r="F44" s="60">
        <f t="shared" si="5"/>
        <v>400.5</v>
      </c>
      <c r="G44" s="60">
        <f t="shared" si="5"/>
        <v>400.5</v>
      </c>
      <c r="H44" s="60">
        <f t="shared" si="5"/>
        <v>400.5</v>
      </c>
      <c r="I44" s="60">
        <f t="shared" si="5"/>
        <v>402.2</v>
      </c>
      <c r="J44" s="60">
        <f t="shared" si="5"/>
        <v>402.2</v>
      </c>
      <c r="K44" s="60">
        <f t="shared" si="5"/>
        <v>402.2</v>
      </c>
      <c r="L44" s="60">
        <f t="shared" si="5"/>
        <v>402.2</v>
      </c>
      <c r="M44" s="60">
        <f t="shared" si="5"/>
        <v>402.2</v>
      </c>
      <c r="N44" s="60">
        <f t="shared" si="5"/>
        <v>402.2</v>
      </c>
      <c r="O44" s="60">
        <f t="shared" si="5"/>
        <v>402.2</v>
      </c>
      <c r="P44" s="60">
        <f t="shared" si="5"/>
        <v>402.2</v>
      </c>
      <c r="Q44" s="60">
        <f t="shared" si="5"/>
        <v>402.2</v>
      </c>
      <c r="R44" s="60">
        <f t="shared" si="5"/>
        <v>402.2</v>
      </c>
      <c r="S44" s="60">
        <f t="shared" si="5"/>
        <v>403.2</v>
      </c>
      <c r="T44" s="60">
        <f t="shared" si="5"/>
        <v>403.2</v>
      </c>
      <c r="U44" s="60">
        <f t="shared" si="5"/>
        <v>403.2</v>
      </c>
      <c r="V44" s="60">
        <f t="shared" si="5"/>
        <v>402.2</v>
      </c>
      <c r="W44" s="60">
        <f t="shared" si="5"/>
        <v>402.2</v>
      </c>
      <c r="X44" s="60">
        <f t="shared" si="5"/>
        <v>402.2</v>
      </c>
      <c r="Y44" s="60">
        <f t="shared" si="5"/>
        <v>398.5</v>
      </c>
      <c r="Z44" s="60">
        <f t="shared" si="5"/>
        <v>398.5</v>
      </c>
      <c r="AA44" s="60">
        <f t="shared" si="5"/>
        <v>398.5</v>
      </c>
      <c r="AB44" s="60">
        <f t="shared" si="5"/>
        <v>398.5</v>
      </c>
      <c r="AC44" s="60">
        <f t="shared" si="5"/>
        <v>398.5</v>
      </c>
      <c r="AD44" s="60">
        <f t="shared" si="5"/>
        <v>398.5</v>
      </c>
      <c r="AE44" s="60">
        <f t="shared" si="5"/>
        <v>399.4</v>
      </c>
      <c r="AF44" s="60">
        <f t="shared" si="5"/>
        <v>402.40000000000003</v>
      </c>
      <c r="AG44" s="61">
        <f t="shared" si="5"/>
        <v>814.78000000000009</v>
      </c>
      <c r="AH44" s="47">
        <f t="shared" si="2"/>
        <v>403.2</v>
      </c>
      <c r="AI44" s="48">
        <f t="shared" si="3"/>
        <v>398.5</v>
      </c>
      <c r="AK44" s="49"/>
    </row>
    <row r="45" spans="1:88" x14ac:dyDescent="0.25">
      <c r="A45" s="62" t="s">
        <v>53</v>
      </c>
      <c r="B45" s="45">
        <v>15</v>
      </c>
      <c r="C45" s="45">
        <v>40</v>
      </c>
      <c r="D45" s="45">
        <v>25</v>
      </c>
      <c r="E45" s="45">
        <v>15</v>
      </c>
      <c r="F45" s="45">
        <v>0</v>
      </c>
      <c r="G45" s="45">
        <v>0</v>
      </c>
      <c r="H45" s="45">
        <v>50</v>
      </c>
      <c r="I45" s="45">
        <v>70</v>
      </c>
      <c r="J45" s="45">
        <v>90</v>
      </c>
      <c r="K45" s="45">
        <v>150</v>
      </c>
      <c r="L45" s="45">
        <v>180</v>
      </c>
      <c r="M45" s="63">
        <v>125</v>
      </c>
      <c r="N45" s="63">
        <v>80</v>
      </c>
      <c r="O45" s="45">
        <v>80</v>
      </c>
      <c r="P45" s="45">
        <v>15</v>
      </c>
      <c r="Q45" s="45">
        <v>100</v>
      </c>
      <c r="R45" s="45">
        <v>75</v>
      </c>
      <c r="S45" s="45">
        <v>75</v>
      </c>
      <c r="T45" s="45">
        <v>75</v>
      </c>
      <c r="U45" s="45">
        <v>130</v>
      </c>
      <c r="V45" s="45">
        <v>90</v>
      </c>
      <c r="W45" s="45">
        <v>110</v>
      </c>
      <c r="X45" s="45">
        <v>135</v>
      </c>
      <c r="Y45" s="45">
        <v>170</v>
      </c>
      <c r="Z45" s="45">
        <v>180</v>
      </c>
      <c r="AA45" s="45">
        <v>180</v>
      </c>
      <c r="AB45" s="45">
        <v>140</v>
      </c>
      <c r="AC45" s="45">
        <v>170</v>
      </c>
      <c r="AD45" s="45">
        <v>160</v>
      </c>
      <c r="AE45" s="45">
        <v>100</v>
      </c>
      <c r="AF45" s="45">
        <v>75</v>
      </c>
      <c r="AG45" s="51">
        <v>456</v>
      </c>
      <c r="AH45" s="47">
        <f t="shared" si="2"/>
        <v>180</v>
      </c>
      <c r="AI45" s="48">
        <f t="shared" si="3"/>
        <v>0</v>
      </c>
      <c r="AK45" s="49"/>
    </row>
    <row r="46" spans="1:88" x14ac:dyDescent="0.25">
      <c r="A46" s="64" t="s">
        <v>54</v>
      </c>
      <c r="B46" s="65">
        <v>35</v>
      </c>
      <c r="C46" s="65">
        <v>35</v>
      </c>
      <c r="D46" s="65">
        <v>35</v>
      </c>
      <c r="E46" s="65">
        <v>35</v>
      </c>
      <c r="F46" s="65">
        <v>35</v>
      </c>
      <c r="G46" s="65">
        <v>35</v>
      </c>
      <c r="H46" s="65">
        <v>35</v>
      </c>
      <c r="I46" s="65">
        <v>35</v>
      </c>
      <c r="J46" s="65">
        <v>35</v>
      </c>
      <c r="K46" s="65">
        <v>35</v>
      </c>
      <c r="L46" s="65">
        <v>35</v>
      </c>
      <c r="M46" s="65">
        <v>35</v>
      </c>
      <c r="N46" s="65">
        <v>29</v>
      </c>
      <c r="O46" s="65">
        <v>30</v>
      </c>
      <c r="P46" s="65">
        <v>30</v>
      </c>
      <c r="Q46" s="65">
        <v>30</v>
      </c>
      <c r="R46" s="65">
        <v>30</v>
      </c>
      <c r="S46" s="65">
        <v>30</v>
      </c>
      <c r="T46" s="65">
        <v>30</v>
      </c>
      <c r="U46" s="65">
        <v>30</v>
      </c>
      <c r="V46" s="65">
        <v>30</v>
      </c>
      <c r="W46" s="65">
        <v>30</v>
      </c>
      <c r="X46" s="65">
        <v>30</v>
      </c>
      <c r="Y46" s="65">
        <v>30</v>
      </c>
      <c r="Z46" s="65">
        <v>30</v>
      </c>
      <c r="AA46" s="65">
        <v>30</v>
      </c>
      <c r="AB46" s="65">
        <v>30</v>
      </c>
      <c r="AC46" s="65">
        <v>30</v>
      </c>
      <c r="AD46" s="65">
        <v>30</v>
      </c>
      <c r="AE46" s="65">
        <v>30</v>
      </c>
      <c r="AF46" s="65">
        <v>30</v>
      </c>
      <c r="AG46" s="54">
        <v>60</v>
      </c>
      <c r="AH46" s="47">
        <f t="shared" si="2"/>
        <v>35</v>
      </c>
      <c r="AI46" s="48">
        <f t="shared" si="3"/>
        <v>29</v>
      </c>
      <c r="AK46" s="49"/>
    </row>
    <row r="47" spans="1:88" ht="15.75" thickBot="1" x14ac:dyDescent="0.3">
      <c r="A47" s="66" t="s">
        <v>55</v>
      </c>
      <c r="B47" s="67">
        <v>10.6</v>
      </c>
      <c r="C47" s="67">
        <v>10.6</v>
      </c>
      <c r="D47" s="67">
        <v>10.6</v>
      </c>
      <c r="E47" s="67">
        <v>10.6</v>
      </c>
      <c r="F47" s="67">
        <v>10.6</v>
      </c>
      <c r="G47" s="67">
        <v>10.6</v>
      </c>
      <c r="H47" s="67">
        <v>10.6</v>
      </c>
      <c r="I47" s="67">
        <v>10.6</v>
      </c>
      <c r="J47" s="67">
        <v>10.6</v>
      </c>
      <c r="K47" s="67">
        <v>10.6</v>
      </c>
      <c r="L47" s="67">
        <v>10.6</v>
      </c>
      <c r="M47" s="67">
        <v>10.6</v>
      </c>
      <c r="N47" s="67">
        <v>10.6</v>
      </c>
      <c r="O47" s="67">
        <v>10.6</v>
      </c>
      <c r="P47" s="67">
        <v>10.6</v>
      </c>
      <c r="Q47" s="67">
        <v>10.6</v>
      </c>
      <c r="R47" s="67">
        <v>10</v>
      </c>
      <c r="S47" s="67">
        <v>10</v>
      </c>
      <c r="T47" s="67">
        <v>10</v>
      </c>
      <c r="U47" s="67">
        <v>9.1999999999999993</v>
      </c>
      <c r="V47" s="67">
        <v>9.1999999999999993</v>
      </c>
      <c r="W47" s="67">
        <v>9.1999999999999993</v>
      </c>
      <c r="X47" s="67">
        <v>9.1999999999999993</v>
      </c>
      <c r="Y47" s="67">
        <v>18</v>
      </c>
      <c r="Z47" s="67">
        <v>18.100000000000001</v>
      </c>
      <c r="AA47" s="67">
        <v>18.100000000000001</v>
      </c>
      <c r="AB47" s="67">
        <v>18.100000000000001</v>
      </c>
      <c r="AC47" s="67">
        <v>18.100000000000001</v>
      </c>
      <c r="AD47" s="67">
        <v>18.100000000000001</v>
      </c>
      <c r="AE47" s="67">
        <v>10.199999999999999</v>
      </c>
      <c r="AF47" s="67">
        <v>10.199999999999999</v>
      </c>
      <c r="AG47" s="68">
        <v>22.1</v>
      </c>
      <c r="AH47" s="47">
        <f t="shared" si="2"/>
        <v>18.100000000000001</v>
      </c>
      <c r="AI47" s="48">
        <f t="shared" si="3"/>
        <v>9.1999999999999993</v>
      </c>
      <c r="AK47" s="49"/>
    </row>
    <row r="48" spans="1:88" ht="15.75" thickBot="1" x14ac:dyDescent="0.3">
      <c r="A48" s="69" t="s">
        <v>56</v>
      </c>
      <c r="B48" s="60">
        <f t="shared" ref="B48" si="6">SUM(B45:B47)</f>
        <v>60.6</v>
      </c>
      <c r="C48" s="60">
        <f t="shared" ref="C48:AG48" si="7">SUM(C45:C47)</f>
        <v>85.6</v>
      </c>
      <c r="D48" s="60">
        <f t="shared" si="7"/>
        <v>70.599999999999994</v>
      </c>
      <c r="E48" s="60">
        <f t="shared" si="7"/>
        <v>60.6</v>
      </c>
      <c r="F48" s="60">
        <f t="shared" si="7"/>
        <v>45.6</v>
      </c>
      <c r="G48" s="60">
        <f t="shared" si="7"/>
        <v>45.6</v>
      </c>
      <c r="H48" s="60">
        <f t="shared" si="7"/>
        <v>95.6</v>
      </c>
      <c r="I48" s="60">
        <f t="shared" si="7"/>
        <v>115.6</v>
      </c>
      <c r="J48" s="60">
        <f t="shared" si="7"/>
        <v>135.6</v>
      </c>
      <c r="K48" s="60">
        <f t="shared" si="7"/>
        <v>195.6</v>
      </c>
      <c r="L48" s="60">
        <f t="shared" si="7"/>
        <v>225.6</v>
      </c>
      <c r="M48" s="60">
        <f t="shared" si="7"/>
        <v>170.6</v>
      </c>
      <c r="N48" s="60">
        <f t="shared" si="7"/>
        <v>119.6</v>
      </c>
      <c r="O48" s="60">
        <f t="shared" si="7"/>
        <v>120.6</v>
      </c>
      <c r="P48" s="60">
        <f t="shared" si="7"/>
        <v>55.6</v>
      </c>
      <c r="Q48" s="60">
        <f t="shared" si="7"/>
        <v>140.6</v>
      </c>
      <c r="R48" s="60">
        <f t="shared" si="7"/>
        <v>115</v>
      </c>
      <c r="S48" s="60">
        <f t="shared" si="7"/>
        <v>115</v>
      </c>
      <c r="T48" s="60">
        <f t="shared" si="7"/>
        <v>115</v>
      </c>
      <c r="U48" s="60">
        <f t="shared" si="7"/>
        <v>169.2</v>
      </c>
      <c r="V48" s="60">
        <f t="shared" si="7"/>
        <v>129.19999999999999</v>
      </c>
      <c r="W48" s="60">
        <f t="shared" si="7"/>
        <v>149.19999999999999</v>
      </c>
      <c r="X48" s="60">
        <f t="shared" si="7"/>
        <v>174.2</v>
      </c>
      <c r="Y48" s="60">
        <f t="shared" si="7"/>
        <v>218</v>
      </c>
      <c r="Z48" s="60">
        <f t="shared" si="7"/>
        <v>228.1</v>
      </c>
      <c r="AA48" s="60">
        <f t="shared" si="7"/>
        <v>228.1</v>
      </c>
      <c r="AB48" s="60">
        <f t="shared" si="7"/>
        <v>188.1</v>
      </c>
      <c r="AC48" s="60">
        <f t="shared" si="7"/>
        <v>218.1</v>
      </c>
      <c r="AD48" s="60">
        <f t="shared" si="7"/>
        <v>208.1</v>
      </c>
      <c r="AE48" s="60">
        <f t="shared" si="7"/>
        <v>140.19999999999999</v>
      </c>
      <c r="AF48" s="60">
        <f t="shared" si="7"/>
        <v>115.2</v>
      </c>
      <c r="AG48" s="61">
        <f t="shared" si="7"/>
        <v>538.1</v>
      </c>
      <c r="AH48" s="47">
        <f t="shared" si="2"/>
        <v>228.1</v>
      </c>
      <c r="AI48" s="48">
        <f t="shared" si="3"/>
        <v>45.6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30</v>
      </c>
      <c r="I49" s="45">
        <v>92</v>
      </c>
      <c r="J49" s="45">
        <v>134</v>
      </c>
      <c r="K49" s="45">
        <v>141.1</v>
      </c>
      <c r="L49" s="45">
        <v>141.1</v>
      </c>
      <c r="M49" s="45">
        <v>91.7</v>
      </c>
      <c r="N49" s="45">
        <v>91</v>
      </c>
      <c r="O49" s="45">
        <v>92</v>
      </c>
      <c r="P49" s="45">
        <v>100.3</v>
      </c>
      <c r="Q49" s="45">
        <v>111</v>
      </c>
      <c r="R49" s="45">
        <v>93.6</v>
      </c>
      <c r="S49" s="45">
        <v>93.6</v>
      </c>
      <c r="T49" s="45">
        <v>36</v>
      </c>
      <c r="U49" s="45">
        <v>45</v>
      </c>
      <c r="V49" s="45">
        <v>46</v>
      </c>
      <c r="W49" s="45">
        <v>29.6</v>
      </c>
      <c r="X49" s="45">
        <v>97.6</v>
      </c>
      <c r="Y49" s="45">
        <v>139.69999999999999</v>
      </c>
      <c r="Z49" s="45">
        <v>132</v>
      </c>
      <c r="AA49" s="45">
        <v>114.6</v>
      </c>
      <c r="AB49" s="45">
        <v>123</v>
      </c>
      <c r="AC49" s="45">
        <v>60</v>
      </c>
      <c r="AD49" s="45">
        <v>60</v>
      </c>
      <c r="AE49" s="45">
        <v>30.4</v>
      </c>
      <c r="AF49" s="45">
        <v>0</v>
      </c>
      <c r="AG49" s="51">
        <v>144</v>
      </c>
      <c r="AH49" s="47">
        <f t="shared" si="2"/>
        <v>141.1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24.8</v>
      </c>
      <c r="C50" s="65">
        <v>25.2</v>
      </c>
      <c r="D50" s="65">
        <v>26.5</v>
      </c>
      <c r="E50" s="65">
        <v>0</v>
      </c>
      <c r="F50" s="65">
        <v>0</v>
      </c>
      <c r="G50" s="65">
        <v>0</v>
      </c>
      <c r="H50" s="65">
        <v>35</v>
      </c>
      <c r="I50" s="65">
        <v>34.299999999999997</v>
      </c>
      <c r="J50" s="65">
        <v>34.299999999999997</v>
      </c>
      <c r="K50" s="65">
        <v>35.700000000000003</v>
      </c>
      <c r="L50" s="65">
        <v>35.700000000000003</v>
      </c>
      <c r="M50" s="65">
        <v>34.6</v>
      </c>
      <c r="N50" s="65">
        <v>36</v>
      </c>
      <c r="O50" s="65">
        <v>33.200000000000003</v>
      </c>
      <c r="P50" s="65">
        <v>32.6</v>
      </c>
      <c r="Q50" s="65">
        <v>33</v>
      </c>
      <c r="R50" s="65">
        <v>33</v>
      </c>
      <c r="S50" s="65">
        <v>33</v>
      </c>
      <c r="T50" s="65">
        <v>34.799999999999997</v>
      </c>
      <c r="U50" s="45">
        <v>36.700000000000003</v>
      </c>
      <c r="V50" s="45">
        <v>34.9</v>
      </c>
      <c r="W50" s="45">
        <v>35.5</v>
      </c>
      <c r="X50" s="45">
        <v>30.1</v>
      </c>
      <c r="Y50" s="45">
        <v>31.2</v>
      </c>
      <c r="Z50" s="45">
        <v>30.9</v>
      </c>
      <c r="AA50" s="45">
        <v>30.1</v>
      </c>
      <c r="AB50" s="65">
        <v>29.3</v>
      </c>
      <c r="AC50" s="65">
        <v>35.299999999999997</v>
      </c>
      <c r="AD50" s="65">
        <v>35.299999999999997</v>
      </c>
      <c r="AE50" s="65">
        <v>34.799999999999997</v>
      </c>
      <c r="AF50" s="65">
        <v>35.200000000000003</v>
      </c>
      <c r="AG50" s="54">
        <v>70</v>
      </c>
      <c r="AH50" s="47">
        <f t="shared" si="2"/>
        <v>36.700000000000003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15.5</v>
      </c>
      <c r="C51" s="65">
        <v>16.100000000000001</v>
      </c>
      <c r="D51" s="65">
        <v>16</v>
      </c>
      <c r="E51" s="65">
        <v>16.5</v>
      </c>
      <c r="F51" s="65">
        <v>23</v>
      </c>
      <c r="G51" s="65">
        <v>46</v>
      </c>
      <c r="H51" s="65">
        <v>46</v>
      </c>
      <c r="I51" s="65">
        <v>46</v>
      </c>
      <c r="J51" s="65">
        <v>69</v>
      </c>
      <c r="K51" s="65">
        <v>68.599999999999994</v>
      </c>
      <c r="L51" s="65">
        <v>68.599999999999994</v>
      </c>
      <c r="M51" s="65">
        <v>52</v>
      </c>
      <c r="N51" s="65">
        <v>34</v>
      </c>
      <c r="O51" s="65">
        <v>34.5</v>
      </c>
      <c r="P51" s="65">
        <v>35.4</v>
      </c>
      <c r="Q51" s="65">
        <v>18</v>
      </c>
      <c r="R51" s="65">
        <v>22.4</v>
      </c>
      <c r="S51" s="65">
        <v>22.4</v>
      </c>
      <c r="T51" s="65">
        <v>33.6</v>
      </c>
      <c r="U51" s="45">
        <v>44</v>
      </c>
      <c r="V51" s="45">
        <v>15.2</v>
      </c>
      <c r="W51" s="45">
        <v>16.2</v>
      </c>
      <c r="X51" s="45">
        <v>45</v>
      </c>
      <c r="Y51" s="45">
        <v>67.2</v>
      </c>
      <c r="Z51" s="45">
        <v>52.5</v>
      </c>
      <c r="AA51" s="45">
        <v>50</v>
      </c>
      <c r="AB51" s="65">
        <v>52.4</v>
      </c>
      <c r="AC51" s="65">
        <v>52.4</v>
      </c>
      <c r="AD51" s="65">
        <v>52.4</v>
      </c>
      <c r="AE51" s="65">
        <v>32.799999999999997</v>
      </c>
      <c r="AF51" s="65">
        <v>16.2</v>
      </c>
      <c r="AG51" s="54">
        <v>69</v>
      </c>
      <c r="AH51" s="47">
        <f t="shared" si="2"/>
        <v>69</v>
      </c>
      <c r="AI51" s="48">
        <f t="shared" si="3"/>
        <v>15.2</v>
      </c>
      <c r="AK51" s="49"/>
    </row>
    <row r="52" spans="1:41" x14ac:dyDescent="0.25">
      <c r="A52" s="53" t="s">
        <v>60</v>
      </c>
      <c r="B52" s="65">
        <v>45.1</v>
      </c>
      <c r="C52" s="56">
        <v>44.3</v>
      </c>
      <c r="D52" s="56">
        <v>44.3</v>
      </c>
      <c r="E52" s="56">
        <v>44.3</v>
      </c>
      <c r="F52" s="56">
        <v>44.3</v>
      </c>
      <c r="G52" s="56">
        <v>44.3</v>
      </c>
      <c r="H52" s="56">
        <v>44.3</v>
      </c>
      <c r="I52" s="56">
        <v>44.3</v>
      </c>
      <c r="J52" s="56">
        <v>44.3</v>
      </c>
      <c r="K52" s="56">
        <v>44.3</v>
      </c>
      <c r="L52" s="56">
        <v>44.3</v>
      </c>
      <c r="M52" s="65">
        <v>46.4</v>
      </c>
      <c r="N52" s="65">
        <v>46.4</v>
      </c>
      <c r="O52" s="65">
        <v>47.1</v>
      </c>
      <c r="P52" s="65">
        <v>47.1</v>
      </c>
      <c r="Q52" s="65">
        <v>47.1</v>
      </c>
      <c r="R52" s="65">
        <v>47.1</v>
      </c>
      <c r="S52" s="65">
        <v>47.1</v>
      </c>
      <c r="T52" s="65">
        <v>47.1</v>
      </c>
      <c r="U52" s="45">
        <v>45.3</v>
      </c>
      <c r="V52" s="45">
        <v>45.1</v>
      </c>
      <c r="W52" s="45">
        <v>45.1</v>
      </c>
      <c r="X52" s="65">
        <v>46.1</v>
      </c>
      <c r="Y52" s="65">
        <v>44.1</v>
      </c>
      <c r="Z52" s="65">
        <v>44.1</v>
      </c>
      <c r="AA52" s="65">
        <v>44.1</v>
      </c>
      <c r="AB52" s="65">
        <v>40.6</v>
      </c>
      <c r="AC52" s="65">
        <v>42.1</v>
      </c>
      <c r="AD52" s="65">
        <v>46.4</v>
      </c>
      <c r="AE52" s="65">
        <v>48.3</v>
      </c>
      <c r="AF52" s="65">
        <v>47.4</v>
      </c>
      <c r="AG52" s="54">
        <v>60</v>
      </c>
      <c r="AH52" s="47">
        <f t="shared" si="2"/>
        <v>48.3</v>
      </c>
      <c r="AI52" s="48">
        <f t="shared" si="3"/>
        <v>40.6</v>
      </c>
      <c r="AK52" s="49"/>
    </row>
    <row r="53" spans="1:41" x14ac:dyDescent="0.25">
      <c r="A53" s="53" t="s">
        <v>61</v>
      </c>
      <c r="B53" s="65">
        <v>0</v>
      </c>
      <c r="C53" s="56">
        <v>0</v>
      </c>
      <c r="D53" s="56">
        <v>0</v>
      </c>
      <c r="E53" s="56">
        <v>0</v>
      </c>
      <c r="F53" s="56">
        <v>0</v>
      </c>
      <c r="G53" s="56">
        <v>0</v>
      </c>
      <c r="H53" s="56">
        <v>8.8000000000000007</v>
      </c>
      <c r="I53" s="56">
        <v>8.8000000000000007</v>
      </c>
      <c r="J53" s="56">
        <v>20.6</v>
      </c>
      <c r="K53" s="56">
        <v>20.6</v>
      </c>
      <c r="L53" s="56">
        <v>20.6</v>
      </c>
      <c r="M53" s="65">
        <v>20.6</v>
      </c>
      <c r="N53" s="65">
        <v>20.6</v>
      </c>
      <c r="O53" s="65">
        <v>10</v>
      </c>
      <c r="P53" s="65">
        <v>10</v>
      </c>
      <c r="Q53" s="65">
        <v>10</v>
      </c>
      <c r="R53" s="65">
        <v>10</v>
      </c>
      <c r="S53" s="65">
        <v>10</v>
      </c>
      <c r="T53" s="65">
        <v>14.6</v>
      </c>
      <c r="U53" s="45">
        <v>13.1</v>
      </c>
      <c r="V53" s="45">
        <v>13.1</v>
      </c>
      <c r="W53" s="45">
        <v>13.1</v>
      </c>
      <c r="X53" s="45">
        <v>13.1</v>
      </c>
      <c r="Y53" s="65">
        <v>14</v>
      </c>
      <c r="Z53" s="65">
        <v>14</v>
      </c>
      <c r="AA53" s="65">
        <v>14</v>
      </c>
      <c r="AB53" s="65">
        <v>14</v>
      </c>
      <c r="AC53" s="65">
        <v>13</v>
      </c>
      <c r="AD53" s="65">
        <v>13</v>
      </c>
      <c r="AE53" s="65">
        <v>13</v>
      </c>
      <c r="AF53" s="65">
        <v>13</v>
      </c>
      <c r="AG53" s="54">
        <v>30</v>
      </c>
      <c r="AH53" s="47">
        <f t="shared" si="2"/>
        <v>20.6</v>
      </c>
      <c r="AI53" s="48">
        <f t="shared" si="3"/>
        <v>0</v>
      </c>
      <c r="AK53" s="49"/>
    </row>
    <row r="54" spans="1:41" x14ac:dyDescent="0.25">
      <c r="A54" s="53" t="s">
        <v>62</v>
      </c>
      <c r="B54" s="6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6</v>
      </c>
      <c r="T54" s="65">
        <v>8</v>
      </c>
      <c r="U54" s="45">
        <v>4</v>
      </c>
      <c r="V54" s="45">
        <v>0</v>
      </c>
      <c r="W54" s="45">
        <v>0</v>
      </c>
      <c r="X54" s="4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8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17</v>
      </c>
      <c r="C55" s="65">
        <v>17</v>
      </c>
      <c r="D55" s="65">
        <v>17</v>
      </c>
      <c r="E55" s="65">
        <v>17</v>
      </c>
      <c r="F55" s="65">
        <v>17</v>
      </c>
      <c r="G55" s="65">
        <v>17</v>
      </c>
      <c r="H55" s="65">
        <v>17</v>
      </c>
      <c r="I55" s="65">
        <v>17</v>
      </c>
      <c r="J55" s="65">
        <v>17</v>
      </c>
      <c r="K55" s="65">
        <v>17</v>
      </c>
      <c r="L55" s="65">
        <v>17</v>
      </c>
      <c r="M55" s="65">
        <v>16</v>
      </c>
      <c r="N55" s="65">
        <v>16</v>
      </c>
      <c r="O55" s="65">
        <v>16</v>
      </c>
      <c r="P55" s="65">
        <v>16</v>
      </c>
      <c r="Q55" s="65">
        <v>16</v>
      </c>
      <c r="R55" s="65">
        <v>16</v>
      </c>
      <c r="S55" s="65">
        <v>16</v>
      </c>
      <c r="T55" s="65">
        <v>16</v>
      </c>
      <c r="U55" s="65">
        <v>16</v>
      </c>
      <c r="V55" s="65">
        <v>16</v>
      </c>
      <c r="W55" s="65">
        <v>16</v>
      </c>
      <c r="X55" s="65">
        <v>16</v>
      </c>
      <c r="Y55" s="65">
        <v>16</v>
      </c>
      <c r="Z55" s="65">
        <v>16</v>
      </c>
      <c r="AA55" s="65">
        <v>16</v>
      </c>
      <c r="AB55" s="65">
        <v>16</v>
      </c>
      <c r="AC55" s="65">
        <v>16</v>
      </c>
      <c r="AD55" s="65">
        <v>16</v>
      </c>
      <c r="AE55" s="65">
        <v>16</v>
      </c>
      <c r="AF55" s="65">
        <v>16</v>
      </c>
      <c r="AG55" s="54">
        <v>24</v>
      </c>
      <c r="AH55" s="47">
        <f t="shared" si="2"/>
        <v>17</v>
      </c>
      <c r="AI55" s="48">
        <f t="shared" si="3"/>
        <v>16</v>
      </c>
      <c r="AK55" s="49"/>
    </row>
    <row r="56" spans="1:41" x14ac:dyDescent="0.25">
      <c r="A56" s="53" t="s">
        <v>64</v>
      </c>
      <c r="B56" s="65">
        <v>3.3</v>
      </c>
      <c r="C56" s="65">
        <v>3.3</v>
      </c>
      <c r="D56" s="65">
        <v>3.3</v>
      </c>
      <c r="E56" s="65">
        <v>3.3</v>
      </c>
      <c r="F56" s="65">
        <v>3.3</v>
      </c>
      <c r="G56" s="65">
        <v>3.3</v>
      </c>
      <c r="H56" s="65">
        <v>3.3</v>
      </c>
      <c r="I56" s="65">
        <v>3.3</v>
      </c>
      <c r="J56" s="65">
        <v>3.3</v>
      </c>
      <c r="K56" s="65">
        <v>3.3</v>
      </c>
      <c r="L56" s="65">
        <v>3.3</v>
      </c>
      <c r="M56" s="65">
        <v>3.3</v>
      </c>
      <c r="N56" s="65">
        <v>3.3</v>
      </c>
      <c r="O56" s="65">
        <v>3.3</v>
      </c>
      <c r="P56" s="65">
        <v>3.3</v>
      </c>
      <c r="Q56" s="65">
        <v>3.3</v>
      </c>
      <c r="R56" s="65">
        <v>3.3</v>
      </c>
      <c r="S56" s="65">
        <v>3.3</v>
      </c>
      <c r="T56" s="65">
        <v>3.3</v>
      </c>
      <c r="U56" s="65">
        <v>3.3</v>
      </c>
      <c r="V56" s="65">
        <v>3.3</v>
      </c>
      <c r="W56" s="65">
        <v>3.3</v>
      </c>
      <c r="X56" s="65">
        <v>3.3</v>
      </c>
      <c r="Y56" s="65">
        <v>3.3</v>
      </c>
      <c r="Z56" s="65">
        <v>3.3</v>
      </c>
      <c r="AA56" s="65">
        <v>3.3</v>
      </c>
      <c r="AB56" s="65">
        <v>3.3</v>
      </c>
      <c r="AC56" s="65">
        <v>3.3</v>
      </c>
      <c r="AD56" s="65">
        <v>3.3</v>
      </c>
      <c r="AE56" s="65">
        <v>3.3</v>
      </c>
      <c r="AF56" s="65">
        <v>3.3</v>
      </c>
      <c r="AG56" s="54">
        <v>15</v>
      </c>
      <c r="AH56" s="47">
        <f t="shared" si="2"/>
        <v>3.3</v>
      </c>
      <c r="AI56" s="48">
        <f t="shared" si="3"/>
        <v>3.3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12.5</v>
      </c>
      <c r="C57" s="65">
        <v>11.3</v>
      </c>
      <c r="D57" s="65">
        <v>11.3</v>
      </c>
      <c r="E57" s="65">
        <v>11.3</v>
      </c>
      <c r="F57" s="65">
        <v>11.3</v>
      </c>
      <c r="G57" s="65">
        <v>11.3</v>
      </c>
      <c r="H57" s="65">
        <v>11.3</v>
      </c>
      <c r="I57" s="65">
        <v>11.3</v>
      </c>
      <c r="J57" s="65">
        <v>11.3</v>
      </c>
      <c r="K57" s="65">
        <v>11.3</v>
      </c>
      <c r="L57" s="65">
        <v>11.3</v>
      </c>
      <c r="M57" s="65">
        <v>11.5</v>
      </c>
      <c r="N57" s="65">
        <v>11.5</v>
      </c>
      <c r="O57" s="65">
        <v>11.5</v>
      </c>
      <c r="P57" s="65">
        <v>11.5</v>
      </c>
      <c r="Q57" s="65">
        <v>11.5</v>
      </c>
      <c r="R57" s="65">
        <v>11.5</v>
      </c>
      <c r="S57" s="65">
        <v>11.5</v>
      </c>
      <c r="T57" s="65">
        <v>11.5</v>
      </c>
      <c r="U57" s="65">
        <v>11.5</v>
      </c>
      <c r="V57" s="65">
        <v>11.5</v>
      </c>
      <c r="W57" s="65">
        <v>11.5</v>
      </c>
      <c r="X57" s="65">
        <v>11.5</v>
      </c>
      <c r="Y57" s="65">
        <v>11.5</v>
      </c>
      <c r="Z57" s="65">
        <v>11.5</v>
      </c>
      <c r="AA57" s="65">
        <v>11.5</v>
      </c>
      <c r="AB57" s="65">
        <v>11.5</v>
      </c>
      <c r="AC57" s="65">
        <v>11.5</v>
      </c>
      <c r="AD57" s="65">
        <v>11.5</v>
      </c>
      <c r="AE57" s="65">
        <v>11.5</v>
      </c>
      <c r="AF57" s="65">
        <v>11.5</v>
      </c>
      <c r="AG57" s="54">
        <v>14.1</v>
      </c>
      <c r="AH57" s="47">
        <f t="shared" si="2"/>
        <v>12.5</v>
      </c>
      <c r="AI57" s="48">
        <f t="shared" si="3"/>
        <v>11.3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5</v>
      </c>
      <c r="C58" s="65">
        <v>4.9000000000000004</v>
      </c>
      <c r="D58" s="65">
        <v>4.9000000000000004</v>
      </c>
      <c r="E58" s="65">
        <v>4.9000000000000004</v>
      </c>
      <c r="F58" s="65">
        <v>4.9000000000000004</v>
      </c>
      <c r="G58" s="65">
        <v>4.9000000000000004</v>
      </c>
      <c r="H58" s="65">
        <v>4.9000000000000004</v>
      </c>
      <c r="I58" s="65">
        <v>4.9000000000000004</v>
      </c>
      <c r="J58" s="65">
        <v>4.9000000000000004</v>
      </c>
      <c r="K58" s="65">
        <v>4.9000000000000004</v>
      </c>
      <c r="L58" s="65">
        <v>4.9000000000000004</v>
      </c>
      <c r="M58" s="65">
        <v>4.9000000000000004</v>
      </c>
      <c r="N58" s="65">
        <v>4.9000000000000004</v>
      </c>
      <c r="O58" s="65">
        <v>4.9000000000000004</v>
      </c>
      <c r="P58" s="65">
        <v>4.9000000000000004</v>
      </c>
      <c r="Q58" s="65">
        <v>4.9000000000000004</v>
      </c>
      <c r="R58" s="65">
        <v>4.9000000000000004</v>
      </c>
      <c r="S58" s="65">
        <v>4.9000000000000004</v>
      </c>
      <c r="T58" s="65">
        <v>4.9000000000000004</v>
      </c>
      <c r="U58" s="65">
        <v>3</v>
      </c>
      <c r="V58" s="65">
        <v>3</v>
      </c>
      <c r="W58" s="65">
        <v>3</v>
      </c>
      <c r="X58" s="65">
        <v>3</v>
      </c>
      <c r="Y58" s="65">
        <v>3</v>
      </c>
      <c r="Z58" s="65">
        <v>3</v>
      </c>
      <c r="AA58" s="65">
        <v>3</v>
      </c>
      <c r="AB58" s="65">
        <v>3</v>
      </c>
      <c r="AC58" s="65">
        <v>3</v>
      </c>
      <c r="AD58" s="65">
        <v>3</v>
      </c>
      <c r="AE58" s="65">
        <v>3</v>
      </c>
      <c r="AF58" s="65">
        <v>3</v>
      </c>
      <c r="AG58" s="54">
        <v>14</v>
      </c>
      <c r="AH58" s="47">
        <f t="shared" si="2"/>
        <v>5</v>
      </c>
      <c r="AI58" s="48">
        <f t="shared" si="3"/>
        <v>3</v>
      </c>
      <c r="AK58" s="49"/>
    </row>
    <row r="59" spans="1:41" x14ac:dyDescent="0.25">
      <c r="A59" s="53" t="s">
        <v>67</v>
      </c>
      <c r="B59" s="65">
        <v>5.2</v>
      </c>
      <c r="C59" s="65">
        <v>5.2</v>
      </c>
      <c r="D59" s="65">
        <v>5.2</v>
      </c>
      <c r="E59" s="65">
        <v>5.2</v>
      </c>
      <c r="F59" s="65">
        <v>5.2</v>
      </c>
      <c r="G59" s="65">
        <v>5.2</v>
      </c>
      <c r="H59" s="65">
        <v>5.2</v>
      </c>
      <c r="I59" s="65">
        <v>5.2</v>
      </c>
      <c r="J59" s="65">
        <v>5.2</v>
      </c>
      <c r="K59" s="65">
        <v>5.2</v>
      </c>
      <c r="L59" s="65">
        <v>5.2</v>
      </c>
      <c r="M59" s="65">
        <v>5.2</v>
      </c>
      <c r="N59" s="65">
        <v>5.2</v>
      </c>
      <c r="O59" s="65">
        <v>5.2</v>
      </c>
      <c r="P59" s="65">
        <v>5.2</v>
      </c>
      <c r="Q59" s="65">
        <v>5.2</v>
      </c>
      <c r="R59" s="65">
        <v>5.2</v>
      </c>
      <c r="S59" s="65">
        <v>5.2</v>
      </c>
      <c r="T59" s="65">
        <v>5.2</v>
      </c>
      <c r="U59" s="65">
        <v>5.2</v>
      </c>
      <c r="V59" s="65">
        <v>5.2</v>
      </c>
      <c r="W59" s="65">
        <v>5.2</v>
      </c>
      <c r="X59" s="65">
        <v>5.2</v>
      </c>
      <c r="Y59" s="65">
        <v>5.2</v>
      </c>
      <c r="Z59" s="65">
        <v>5.2</v>
      </c>
      <c r="AA59" s="65">
        <v>5.2</v>
      </c>
      <c r="AB59" s="65">
        <v>5.2</v>
      </c>
      <c r="AC59" s="65">
        <v>5.2</v>
      </c>
      <c r="AD59" s="65">
        <v>5.2</v>
      </c>
      <c r="AE59" s="65">
        <v>5.2</v>
      </c>
      <c r="AF59" s="65">
        <v>5.2</v>
      </c>
      <c r="AG59" s="54">
        <v>10.050000000000001</v>
      </c>
      <c r="AH59" s="47">
        <f t="shared" si="2"/>
        <v>5.2</v>
      </c>
      <c r="AI59" s="48">
        <f t="shared" si="3"/>
        <v>5.2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 t="shared" ref="B62" si="8">SUM(B49:B61)</f>
        <v>135.13999999999999</v>
      </c>
      <c r="C62" s="60">
        <f t="shared" ref="C62:AG62" si="9">SUM(C49:C61)</f>
        <v>134.04</v>
      </c>
      <c r="D62" s="60">
        <f t="shared" si="9"/>
        <v>135.23999999999998</v>
      </c>
      <c r="E62" s="60">
        <f t="shared" si="9"/>
        <v>109.24000000000001</v>
      </c>
      <c r="F62" s="60">
        <f t="shared" si="9"/>
        <v>115.74000000000001</v>
      </c>
      <c r="G62" s="60">
        <f t="shared" si="9"/>
        <v>138.73999999999998</v>
      </c>
      <c r="H62" s="60">
        <f t="shared" si="9"/>
        <v>212.54000000000002</v>
      </c>
      <c r="I62" s="60">
        <f t="shared" si="9"/>
        <v>273.84000000000003</v>
      </c>
      <c r="J62" s="60">
        <f t="shared" si="9"/>
        <v>350.64000000000004</v>
      </c>
      <c r="K62" s="60">
        <f t="shared" si="9"/>
        <v>358.74</v>
      </c>
      <c r="L62" s="60">
        <f t="shared" si="9"/>
        <v>358.74</v>
      </c>
      <c r="M62" s="60">
        <f t="shared" si="9"/>
        <v>292.94</v>
      </c>
      <c r="N62" s="60">
        <f t="shared" si="9"/>
        <v>275.64</v>
      </c>
      <c r="O62" s="60">
        <f t="shared" si="9"/>
        <v>264.44</v>
      </c>
      <c r="P62" s="60">
        <f t="shared" si="9"/>
        <v>273.04000000000002</v>
      </c>
      <c r="Q62" s="60">
        <f t="shared" si="9"/>
        <v>266.74</v>
      </c>
      <c r="R62" s="60">
        <f t="shared" si="9"/>
        <v>253.73999999999998</v>
      </c>
      <c r="S62" s="60">
        <f t="shared" si="9"/>
        <v>259.74</v>
      </c>
      <c r="T62" s="60">
        <f t="shared" si="9"/>
        <v>221.73999999999998</v>
      </c>
      <c r="U62" s="60">
        <f t="shared" si="9"/>
        <v>233.83999999999997</v>
      </c>
      <c r="V62" s="60">
        <f t="shared" si="9"/>
        <v>200.04</v>
      </c>
      <c r="W62" s="60">
        <f t="shared" si="9"/>
        <v>185.23999999999998</v>
      </c>
      <c r="X62" s="60">
        <f t="shared" si="9"/>
        <v>277.64</v>
      </c>
      <c r="Y62" s="60">
        <f t="shared" si="9"/>
        <v>341.94</v>
      </c>
      <c r="Z62" s="60">
        <f t="shared" si="9"/>
        <v>319.24</v>
      </c>
      <c r="AA62" s="60">
        <f t="shared" si="9"/>
        <v>298.53999999999996</v>
      </c>
      <c r="AB62" s="60">
        <f t="shared" si="9"/>
        <v>305.04000000000002</v>
      </c>
      <c r="AC62" s="60">
        <f t="shared" si="9"/>
        <v>248.53999999999996</v>
      </c>
      <c r="AD62" s="60">
        <f t="shared" si="9"/>
        <v>252.83999999999997</v>
      </c>
      <c r="AE62" s="60">
        <f t="shared" si="9"/>
        <v>205.03999999999996</v>
      </c>
      <c r="AF62" s="60">
        <f t="shared" si="9"/>
        <v>157.54</v>
      </c>
      <c r="AG62" s="61">
        <f t="shared" si="9"/>
        <v>489.91</v>
      </c>
      <c r="AH62" s="47">
        <f t="shared" si="2"/>
        <v>358.74</v>
      </c>
      <c r="AI62" s="48">
        <f t="shared" si="3"/>
        <v>109.24000000000001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14</v>
      </c>
      <c r="M63" s="45">
        <v>14</v>
      </c>
      <c r="N63" s="45">
        <v>10</v>
      </c>
      <c r="O63" s="45">
        <v>0</v>
      </c>
      <c r="P63" s="45">
        <v>0</v>
      </c>
      <c r="Q63" s="45">
        <v>20</v>
      </c>
      <c r="R63" s="45">
        <v>30</v>
      </c>
      <c r="S63" s="45">
        <v>30</v>
      </c>
      <c r="T63" s="45">
        <v>45</v>
      </c>
      <c r="U63" s="45">
        <v>60</v>
      </c>
      <c r="V63" s="45">
        <v>40</v>
      </c>
      <c r="W63" s="45">
        <v>40</v>
      </c>
      <c r="X63" s="45">
        <v>50</v>
      </c>
      <c r="Y63" s="45">
        <v>40</v>
      </c>
      <c r="Z63" s="45">
        <v>30</v>
      </c>
      <c r="AA63" s="45">
        <v>20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1">
        <v>60</v>
      </c>
      <c r="AH63" s="47">
        <f t="shared" si="2"/>
        <v>60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11.5</v>
      </c>
      <c r="M64" s="65">
        <v>7.5</v>
      </c>
      <c r="N64" s="65">
        <v>3.2</v>
      </c>
      <c r="O64" s="65">
        <v>0</v>
      </c>
      <c r="P64" s="65">
        <v>0</v>
      </c>
      <c r="Q64" s="45">
        <v>7.7</v>
      </c>
      <c r="R64" s="45">
        <v>13.5</v>
      </c>
      <c r="S64" s="45">
        <v>14</v>
      </c>
      <c r="T64" s="65">
        <v>19.8</v>
      </c>
      <c r="U64" s="65">
        <v>19.8</v>
      </c>
      <c r="V64" s="65">
        <v>18.3</v>
      </c>
      <c r="W64" s="65">
        <v>14.5</v>
      </c>
      <c r="X64" s="65">
        <v>28.1</v>
      </c>
      <c r="Y64" s="65">
        <v>16</v>
      </c>
      <c r="Z64" s="65">
        <v>12.8</v>
      </c>
      <c r="AA64" s="65">
        <v>8.3000000000000007</v>
      </c>
      <c r="AB64" s="65">
        <v>3.8</v>
      </c>
      <c r="AC64" s="65">
        <v>0</v>
      </c>
      <c r="AD64" s="65">
        <v>0</v>
      </c>
      <c r="AE64" s="65">
        <v>0</v>
      </c>
      <c r="AF64" s="45">
        <v>0</v>
      </c>
      <c r="AG64" s="54">
        <v>32</v>
      </c>
      <c r="AH64" s="47">
        <f t="shared" si="2"/>
        <v>28.1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4.2</v>
      </c>
      <c r="M65" s="67">
        <v>4.2</v>
      </c>
      <c r="N65" s="67">
        <v>1.2</v>
      </c>
      <c r="O65" s="67">
        <v>0</v>
      </c>
      <c r="P65" s="67">
        <v>0</v>
      </c>
      <c r="Q65" s="45">
        <v>2.8</v>
      </c>
      <c r="R65" s="45">
        <v>4.9000000000000004</v>
      </c>
      <c r="S65" s="45">
        <v>4.9000000000000004</v>
      </c>
      <c r="T65" s="67">
        <v>7.2</v>
      </c>
      <c r="U65" s="67">
        <v>7.2</v>
      </c>
      <c r="V65" s="67">
        <v>6.7</v>
      </c>
      <c r="W65" s="67">
        <v>5.3</v>
      </c>
      <c r="X65" s="67">
        <v>10.3</v>
      </c>
      <c r="Y65" s="67">
        <v>6</v>
      </c>
      <c r="Z65" s="67">
        <v>4.7</v>
      </c>
      <c r="AA65" s="67">
        <v>3</v>
      </c>
      <c r="AB65" s="67">
        <v>3</v>
      </c>
      <c r="AC65" s="67">
        <v>0</v>
      </c>
      <c r="AD65" s="67">
        <v>0</v>
      </c>
      <c r="AE65" s="67">
        <v>0</v>
      </c>
      <c r="AF65" s="45">
        <v>0</v>
      </c>
      <c r="AG65" s="68">
        <v>14</v>
      </c>
      <c r="AH65" s="47">
        <f t="shared" si="2"/>
        <v>10.3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f t="shared" ref="B66" si="10">B63+B64+B65</f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29.7</v>
      </c>
      <c r="M66" s="60">
        <f t="shared" ref="M66:AF66" si="11">M63+M64+M65</f>
        <v>25.7</v>
      </c>
      <c r="N66" s="60">
        <f t="shared" si="11"/>
        <v>14.399999999999999</v>
      </c>
      <c r="O66" s="60">
        <f t="shared" si="11"/>
        <v>0</v>
      </c>
      <c r="P66" s="60">
        <f t="shared" si="11"/>
        <v>0</v>
      </c>
      <c r="Q66" s="60">
        <f t="shared" si="11"/>
        <v>30.5</v>
      </c>
      <c r="R66" s="60">
        <f t="shared" si="11"/>
        <v>48.4</v>
      </c>
      <c r="S66" s="60">
        <f t="shared" si="11"/>
        <v>48.9</v>
      </c>
      <c r="T66" s="60">
        <f t="shared" si="11"/>
        <v>72</v>
      </c>
      <c r="U66" s="60">
        <f t="shared" si="11"/>
        <v>87</v>
      </c>
      <c r="V66" s="60">
        <f t="shared" si="11"/>
        <v>65</v>
      </c>
      <c r="W66" s="60">
        <f t="shared" si="11"/>
        <v>59.8</v>
      </c>
      <c r="X66" s="60">
        <f t="shared" si="11"/>
        <v>88.399999999999991</v>
      </c>
      <c r="Y66" s="60">
        <f t="shared" si="11"/>
        <v>62</v>
      </c>
      <c r="Z66" s="60">
        <f t="shared" si="11"/>
        <v>47.5</v>
      </c>
      <c r="AA66" s="60">
        <f t="shared" si="11"/>
        <v>31.3</v>
      </c>
      <c r="AB66" s="60">
        <f t="shared" si="11"/>
        <v>6.8</v>
      </c>
      <c r="AC66" s="60">
        <f t="shared" si="11"/>
        <v>0</v>
      </c>
      <c r="AD66" s="60">
        <f t="shared" si="11"/>
        <v>0</v>
      </c>
      <c r="AE66" s="60">
        <f t="shared" si="11"/>
        <v>0</v>
      </c>
      <c r="AF66" s="60">
        <f t="shared" si="11"/>
        <v>0</v>
      </c>
      <c r="AG66" s="61">
        <f>SUM(AG63:AG65)</f>
        <v>106</v>
      </c>
      <c r="AH66" s="47">
        <f t="shared" si="2"/>
        <v>88.399999999999991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62.6</v>
      </c>
      <c r="C67" s="45">
        <v>55.9</v>
      </c>
      <c r="D67" s="45">
        <v>65.599999999999994</v>
      </c>
      <c r="E67" s="45">
        <v>72.5</v>
      </c>
      <c r="F67" s="45">
        <v>72.5</v>
      </c>
      <c r="G67" s="45">
        <v>68</v>
      </c>
      <c r="H67" s="45">
        <v>65.8</v>
      </c>
      <c r="I67" s="45">
        <v>74</v>
      </c>
      <c r="J67" s="45">
        <v>68.900000000000006</v>
      </c>
      <c r="K67" s="45">
        <v>56.9</v>
      </c>
      <c r="L67" s="45">
        <v>64.599999999999994</v>
      </c>
      <c r="M67" s="45">
        <v>65</v>
      </c>
      <c r="N67" s="45">
        <v>59</v>
      </c>
      <c r="O67" s="45">
        <v>62</v>
      </c>
      <c r="P67" s="45">
        <v>55.4</v>
      </c>
      <c r="Q67" s="45">
        <v>59</v>
      </c>
      <c r="R67" s="45">
        <v>58</v>
      </c>
      <c r="S67" s="45">
        <v>58.3</v>
      </c>
      <c r="T67" s="45">
        <v>55.5</v>
      </c>
      <c r="U67" s="45">
        <v>57.4</v>
      </c>
      <c r="V67" s="45">
        <v>56</v>
      </c>
      <c r="W67" s="45">
        <v>55.9</v>
      </c>
      <c r="X67" s="45">
        <v>55.2</v>
      </c>
      <c r="Y67" s="45">
        <v>59</v>
      </c>
      <c r="Z67" s="45">
        <v>63.91</v>
      </c>
      <c r="AA67" s="45">
        <v>54.82</v>
      </c>
      <c r="AB67" s="45">
        <v>50.91</v>
      </c>
      <c r="AC67" s="45">
        <v>68</v>
      </c>
      <c r="AD67" s="45">
        <v>68</v>
      </c>
      <c r="AE67" s="45">
        <v>60.1</v>
      </c>
      <c r="AF67" s="45">
        <v>61</v>
      </c>
      <c r="AG67" s="51"/>
      <c r="AH67" s="47">
        <f t="shared" si="2"/>
        <v>74</v>
      </c>
      <c r="AI67" s="48">
        <f t="shared" si="3"/>
        <v>50.91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338.9</v>
      </c>
      <c r="C69" s="65">
        <v>301</v>
      </c>
      <c r="D69" s="65">
        <v>271.2</v>
      </c>
      <c r="E69" s="65">
        <v>265</v>
      </c>
      <c r="F69" s="65">
        <v>265</v>
      </c>
      <c r="G69" s="65">
        <v>265</v>
      </c>
      <c r="H69" s="65">
        <v>310</v>
      </c>
      <c r="I69" s="65">
        <v>286</v>
      </c>
      <c r="J69" s="65">
        <v>316</v>
      </c>
      <c r="K69" s="65">
        <v>210</v>
      </c>
      <c r="L69" s="65">
        <v>220</v>
      </c>
      <c r="M69" s="65">
        <v>244</v>
      </c>
      <c r="N69" s="65">
        <v>208</v>
      </c>
      <c r="O69" s="65">
        <v>219</v>
      </c>
      <c r="P69" s="65">
        <v>332</v>
      </c>
      <c r="Q69" s="65">
        <v>318</v>
      </c>
      <c r="R69" s="65">
        <v>324</v>
      </c>
      <c r="S69" s="65">
        <v>340</v>
      </c>
      <c r="T69" s="65">
        <v>350</v>
      </c>
      <c r="U69" s="65">
        <v>305</v>
      </c>
      <c r="V69" s="65">
        <v>309.60000000000002</v>
      </c>
      <c r="W69" s="65">
        <v>321.7</v>
      </c>
      <c r="X69" s="65">
        <v>277</v>
      </c>
      <c r="Y69" s="65">
        <v>273</v>
      </c>
      <c r="Z69" s="65">
        <v>249.7</v>
      </c>
      <c r="AA69" s="65">
        <v>243.4</v>
      </c>
      <c r="AB69" s="65">
        <v>282</v>
      </c>
      <c r="AC69" s="65">
        <v>274</v>
      </c>
      <c r="AD69" s="65">
        <v>274</v>
      </c>
      <c r="AE69" s="65">
        <v>291.5</v>
      </c>
      <c r="AF69" s="65">
        <v>299.39999999999998</v>
      </c>
      <c r="AG69" s="75"/>
      <c r="AH69" s="47">
        <f t="shared" si="2"/>
        <v>350</v>
      </c>
      <c r="AI69" s="48">
        <f t="shared" si="3"/>
        <v>208</v>
      </c>
      <c r="AK69" s="49"/>
    </row>
    <row r="70" spans="1:40" x14ac:dyDescent="0.25">
      <c r="A70" s="53" t="s">
        <v>78</v>
      </c>
      <c r="B70" s="65">
        <v>55.1</v>
      </c>
      <c r="C70" s="76">
        <v>52.9</v>
      </c>
      <c r="D70" s="76">
        <v>55.9</v>
      </c>
      <c r="E70" s="76">
        <v>46.8</v>
      </c>
      <c r="F70" s="76">
        <v>46.8</v>
      </c>
      <c r="G70" s="76">
        <v>46.8</v>
      </c>
      <c r="H70" s="76">
        <v>61.7</v>
      </c>
      <c r="I70" s="76">
        <v>61.7</v>
      </c>
      <c r="J70" s="76">
        <v>58.2</v>
      </c>
      <c r="K70" s="76">
        <v>53.9</v>
      </c>
      <c r="L70" s="76">
        <v>53.9</v>
      </c>
      <c r="M70" s="76">
        <v>53.2</v>
      </c>
      <c r="N70" s="76">
        <v>50.6</v>
      </c>
      <c r="O70" s="76">
        <v>63</v>
      </c>
      <c r="P70" s="76">
        <v>52.8</v>
      </c>
      <c r="Q70" s="76">
        <v>56</v>
      </c>
      <c r="R70" s="76">
        <v>58.2</v>
      </c>
      <c r="S70" s="76">
        <v>56.5</v>
      </c>
      <c r="T70" s="76">
        <v>56.5</v>
      </c>
      <c r="U70" s="76">
        <v>49.1</v>
      </c>
      <c r="V70" s="76">
        <v>55.5</v>
      </c>
      <c r="W70" s="76">
        <v>44.2</v>
      </c>
      <c r="X70" s="65">
        <v>50.5</v>
      </c>
      <c r="Y70" s="65">
        <v>47.9</v>
      </c>
      <c r="Z70" s="65">
        <v>51.7</v>
      </c>
      <c r="AA70" s="65">
        <v>55.7</v>
      </c>
      <c r="AB70" s="65">
        <v>61</v>
      </c>
      <c r="AC70" s="65">
        <v>63</v>
      </c>
      <c r="AD70" s="65">
        <v>63</v>
      </c>
      <c r="AE70" s="65">
        <v>61.2</v>
      </c>
      <c r="AF70" s="65">
        <v>53.4</v>
      </c>
      <c r="AG70" s="75"/>
      <c r="AH70" s="47">
        <f t="shared" si="2"/>
        <v>63</v>
      </c>
      <c r="AI70" s="48">
        <f t="shared" si="3"/>
        <v>44.2</v>
      </c>
      <c r="AK70" s="49"/>
    </row>
    <row r="71" spans="1:40" x14ac:dyDescent="0.25">
      <c r="A71" s="53" t="s">
        <v>79</v>
      </c>
      <c r="B71" s="45">
        <v>25</v>
      </c>
      <c r="C71" s="45">
        <v>22</v>
      </c>
      <c r="D71" s="45">
        <v>23</v>
      </c>
      <c r="E71" s="45">
        <v>23</v>
      </c>
      <c r="F71" s="45">
        <v>23</v>
      </c>
      <c r="G71" s="45">
        <v>23</v>
      </c>
      <c r="H71" s="45">
        <v>23</v>
      </c>
      <c r="I71" s="45">
        <v>23</v>
      </c>
      <c r="J71" s="45">
        <v>23</v>
      </c>
      <c r="K71" s="45">
        <v>23</v>
      </c>
      <c r="L71" s="45">
        <v>23</v>
      </c>
      <c r="M71" s="45">
        <v>51</v>
      </c>
      <c r="N71" s="45">
        <v>54</v>
      </c>
      <c r="O71" s="45">
        <v>43</v>
      </c>
      <c r="P71" s="45">
        <v>43</v>
      </c>
      <c r="Q71" s="45">
        <v>43</v>
      </c>
      <c r="R71" s="45">
        <v>43</v>
      </c>
      <c r="S71" s="45">
        <v>43</v>
      </c>
      <c r="T71" s="45">
        <v>43</v>
      </c>
      <c r="U71" s="45">
        <v>35</v>
      </c>
      <c r="V71" s="45">
        <v>35</v>
      </c>
      <c r="W71" s="45">
        <v>30</v>
      </c>
      <c r="X71" s="45">
        <v>30</v>
      </c>
      <c r="Y71" s="45">
        <v>25</v>
      </c>
      <c r="Z71" s="45">
        <v>25</v>
      </c>
      <c r="AA71" s="45">
        <v>25</v>
      </c>
      <c r="AB71" s="45">
        <v>23</v>
      </c>
      <c r="AC71" s="45">
        <v>23</v>
      </c>
      <c r="AD71" s="45">
        <v>23</v>
      </c>
      <c r="AE71" s="45">
        <v>25</v>
      </c>
      <c r="AF71" s="45">
        <v>25</v>
      </c>
      <c r="AG71" s="75"/>
      <c r="AH71" s="47">
        <f t="shared" si="2"/>
        <v>54</v>
      </c>
      <c r="AI71" s="48">
        <f t="shared" si="3"/>
        <v>22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5"/>
      <c r="AH72" s="47">
        <f t="shared" si="2"/>
        <v>5</v>
      </c>
      <c r="AI72" s="48">
        <f t="shared" si="3"/>
        <v>0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12">MAX(B75:AF75)</f>
        <v>0</v>
      </c>
      <c r="AI75" s="48">
        <f t="shared" ref="AI75:AI113" si="13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12"/>
        <v>0</v>
      </c>
      <c r="AI76" s="48">
        <f t="shared" si="13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12"/>
        <v>0</v>
      </c>
      <c r="AI77" s="48">
        <f t="shared" si="13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" si="14">SUMIF(B67:B77,"&gt;0")</f>
        <v>486.6</v>
      </c>
      <c r="C78" s="60">
        <f t="shared" ref="C78:AF78" si="15">SUMIF(C67:C77,"&gt;0")</f>
        <v>436.79999999999995</v>
      </c>
      <c r="D78" s="60">
        <f t="shared" si="15"/>
        <v>420.69999999999993</v>
      </c>
      <c r="E78" s="60">
        <f t="shared" si="15"/>
        <v>412.3</v>
      </c>
      <c r="F78" s="60">
        <f t="shared" si="15"/>
        <v>412.3</v>
      </c>
      <c r="G78" s="60">
        <f t="shared" si="15"/>
        <v>407.8</v>
      </c>
      <c r="H78" s="60">
        <f t="shared" si="15"/>
        <v>465.5</v>
      </c>
      <c r="I78" s="60">
        <f t="shared" si="15"/>
        <v>449.7</v>
      </c>
      <c r="J78" s="60">
        <f t="shared" si="15"/>
        <v>471.09999999999997</v>
      </c>
      <c r="K78" s="60">
        <f t="shared" si="15"/>
        <v>348.79999999999995</v>
      </c>
      <c r="L78" s="60">
        <f t="shared" si="15"/>
        <v>366.5</v>
      </c>
      <c r="M78" s="60">
        <f t="shared" si="15"/>
        <v>418.2</v>
      </c>
      <c r="N78" s="60">
        <f t="shared" si="15"/>
        <v>376.6</v>
      </c>
      <c r="O78" s="60">
        <f t="shared" si="15"/>
        <v>387</v>
      </c>
      <c r="P78" s="60">
        <f t="shared" si="15"/>
        <v>483.2</v>
      </c>
      <c r="Q78" s="60">
        <f t="shared" si="15"/>
        <v>476</v>
      </c>
      <c r="R78" s="60">
        <f t="shared" si="15"/>
        <v>483.2</v>
      </c>
      <c r="S78" s="60">
        <f t="shared" si="15"/>
        <v>497.8</v>
      </c>
      <c r="T78" s="60">
        <f t="shared" si="15"/>
        <v>505</v>
      </c>
      <c r="U78" s="60">
        <f t="shared" si="15"/>
        <v>446.5</v>
      </c>
      <c r="V78" s="60">
        <f t="shared" si="15"/>
        <v>456.1</v>
      </c>
      <c r="W78" s="60">
        <f>SUMIF(W67:W77,"&gt;0")</f>
        <v>451.79999999999995</v>
      </c>
      <c r="X78" s="60">
        <f t="shared" si="15"/>
        <v>412.7</v>
      </c>
      <c r="Y78" s="60">
        <f t="shared" si="15"/>
        <v>404.9</v>
      </c>
      <c r="Z78" s="60">
        <f t="shared" si="15"/>
        <v>390.31</v>
      </c>
      <c r="AA78" s="60">
        <f t="shared" si="15"/>
        <v>378.92</v>
      </c>
      <c r="AB78" s="60">
        <f t="shared" si="15"/>
        <v>416.90999999999997</v>
      </c>
      <c r="AC78" s="60">
        <f t="shared" si="15"/>
        <v>428</v>
      </c>
      <c r="AD78" s="60">
        <f t="shared" si="15"/>
        <v>428</v>
      </c>
      <c r="AE78" s="60">
        <f t="shared" si="15"/>
        <v>437.8</v>
      </c>
      <c r="AF78" s="60">
        <f t="shared" si="15"/>
        <v>438.79999999999995</v>
      </c>
      <c r="AG78" s="88">
        <f>SUM(AG67:AG77)</f>
        <v>0</v>
      </c>
      <c r="AH78" s="47">
        <f t="shared" si="12"/>
        <v>505</v>
      </c>
      <c r="AI78" s="48">
        <f t="shared" si="13"/>
        <v>348.79999999999995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12"/>
        <v>0</v>
      </c>
      <c r="AI79" s="48">
        <f t="shared" si="13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12"/>
        <v>0</v>
      </c>
      <c r="AI80" s="48">
        <f t="shared" si="13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12"/>
        <v>0</v>
      </c>
      <c r="AI81" s="48">
        <f t="shared" si="13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/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12"/>
        <v>0</v>
      </c>
      <c r="AI82" s="48">
        <f t="shared" si="13"/>
        <v>0</v>
      </c>
    </row>
    <row r="83" spans="1:37" ht="15.75" thickBot="1" x14ac:dyDescent="0.3">
      <c r="A83" s="74" t="s">
        <v>94</v>
      </c>
      <c r="B83" s="95">
        <f t="shared" ref="B83" si="16">B44+B48+B66+B62+B78+B82</f>
        <v>1082.54</v>
      </c>
      <c r="C83" s="95">
        <f t="shared" ref="C83:AG83" si="17">C44+C48+C66+C62+C78+C82</f>
        <v>1057.2399999999998</v>
      </c>
      <c r="D83" s="95">
        <f t="shared" si="17"/>
        <v>1027.04</v>
      </c>
      <c r="E83" s="95">
        <f t="shared" si="17"/>
        <v>982.6400000000001</v>
      </c>
      <c r="F83" s="95">
        <f t="shared" si="17"/>
        <v>974.1400000000001</v>
      </c>
      <c r="G83" s="95">
        <f t="shared" si="17"/>
        <v>992.6400000000001</v>
      </c>
      <c r="H83" s="95">
        <f t="shared" si="17"/>
        <v>1174.1400000000001</v>
      </c>
      <c r="I83" s="95">
        <f t="shared" si="17"/>
        <v>1241.3399999999999</v>
      </c>
      <c r="J83" s="95">
        <f t="shared" si="17"/>
        <v>1359.54</v>
      </c>
      <c r="K83" s="95">
        <f t="shared" si="17"/>
        <v>1305.3399999999999</v>
      </c>
      <c r="L83" s="95">
        <f t="shared" si="17"/>
        <v>1382.74</v>
      </c>
      <c r="M83" s="95">
        <f t="shared" si="17"/>
        <v>1309.6400000000001</v>
      </c>
      <c r="N83" s="95">
        <f t="shared" si="17"/>
        <v>1188.44</v>
      </c>
      <c r="O83" s="95">
        <f t="shared" si="17"/>
        <v>1174.24</v>
      </c>
      <c r="P83" s="95">
        <f t="shared" si="17"/>
        <v>1214.04</v>
      </c>
      <c r="Q83" s="95">
        <f t="shared" si="17"/>
        <v>1316.04</v>
      </c>
      <c r="R83" s="95">
        <f t="shared" si="17"/>
        <v>1302.54</v>
      </c>
      <c r="S83" s="95">
        <f t="shared" si="17"/>
        <v>1324.64</v>
      </c>
      <c r="T83" s="95">
        <f t="shared" si="17"/>
        <v>1316.94</v>
      </c>
      <c r="U83" s="95">
        <f t="shared" si="17"/>
        <v>1339.74</v>
      </c>
      <c r="V83" s="95">
        <f t="shared" si="17"/>
        <v>1252.54</v>
      </c>
      <c r="W83" s="95">
        <f t="shared" si="17"/>
        <v>1248.2399999999998</v>
      </c>
      <c r="X83" s="95">
        <f t="shared" si="17"/>
        <v>1355.1399999999999</v>
      </c>
      <c r="Y83" s="95">
        <f t="shared" si="17"/>
        <v>1425.3400000000001</v>
      </c>
      <c r="Z83" s="95">
        <f t="shared" si="17"/>
        <v>1383.65</v>
      </c>
      <c r="AA83" s="95">
        <f t="shared" si="17"/>
        <v>1335.36</v>
      </c>
      <c r="AB83" s="95">
        <f t="shared" si="17"/>
        <v>1315.35</v>
      </c>
      <c r="AC83" s="95">
        <f t="shared" si="17"/>
        <v>1293.1399999999999</v>
      </c>
      <c r="AD83" s="95">
        <f t="shared" si="17"/>
        <v>1287.44</v>
      </c>
      <c r="AE83" s="95">
        <f t="shared" si="17"/>
        <v>1182.4399999999998</v>
      </c>
      <c r="AF83" s="95">
        <f t="shared" si="17"/>
        <v>1113.94</v>
      </c>
      <c r="AG83" s="61">
        <f t="shared" si="17"/>
        <v>2004.1900000000003</v>
      </c>
      <c r="AH83" s="47">
        <f>MAX(B83:AF83)</f>
        <v>1425.3400000000001</v>
      </c>
      <c r="AI83" s="48">
        <f>MIN(B83:AF83)</f>
        <v>974.1400000000001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>
        <v>120</v>
      </c>
      <c r="L84" s="97">
        <v>150</v>
      </c>
      <c r="M84" s="97">
        <v>200</v>
      </c>
      <c r="N84" s="97">
        <v>200</v>
      </c>
      <c r="O84" s="97">
        <v>200</v>
      </c>
      <c r="P84" s="97"/>
      <c r="Q84" s="97"/>
      <c r="R84" s="97"/>
      <c r="S84" s="97"/>
      <c r="T84" s="97"/>
      <c r="U84" s="97"/>
      <c r="V84" s="97"/>
      <c r="W84" s="97">
        <v>100</v>
      </c>
      <c r="X84" s="97">
        <v>180</v>
      </c>
      <c r="Y84" s="97">
        <v>180</v>
      </c>
      <c r="Z84" s="97">
        <v>180</v>
      </c>
      <c r="AA84" s="97">
        <v>120</v>
      </c>
      <c r="AB84" s="97">
        <v>120</v>
      </c>
      <c r="AC84" s="97">
        <v>120</v>
      </c>
      <c r="AD84" s="97">
        <v>60</v>
      </c>
      <c r="AE84" s="97"/>
      <c r="AF84" s="97"/>
      <c r="AG84" s="88"/>
      <c r="AH84" s="47">
        <f t="shared" si="12"/>
        <v>200</v>
      </c>
      <c r="AI84" s="48">
        <f t="shared" si="13"/>
        <v>60</v>
      </c>
    </row>
    <row r="85" spans="1:37" ht="15.75" thickBot="1" x14ac:dyDescent="0.3">
      <c r="A85" s="74" t="s">
        <v>96</v>
      </c>
      <c r="B85" s="95">
        <f t="shared" ref="B85" si="18">B83+B84</f>
        <v>1082.54</v>
      </c>
      <c r="C85" s="95">
        <f t="shared" ref="C85:AF85" si="19">C83+C84</f>
        <v>1057.2399999999998</v>
      </c>
      <c r="D85" s="95">
        <f t="shared" si="19"/>
        <v>1027.04</v>
      </c>
      <c r="E85" s="95">
        <f t="shared" si="19"/>
        <v>982.6400000000001</v>
      </c>
      <c r="F85" s="95">
        <f t="shared" si="19"/>
        <v>974.1400000000001</v>
      </c>
      <c r="G85" s="95">
        <f t="shared" si="19"/>
        <v>992.6400000000001</v>
      </c>
      <c r="H85" s="95">
        <f t="shared" si="19"/>
        <v>1174.1400000000001</v>
      </c>
      <c r="I85" s="95">
        <f t="shared" si="19"/>
        <v>1241.3399999999999</v>
      </c>
      <c r="J85" s="95">
        <f t="shared" si="19"/>
        <v>1359.54</v>
      </c>
      <c r="K85" s="95">
        <f t="shared" si="19"/>
        <v>1425.34</v>
      </c>
      <c r="L85" s="95">
        <f t="shared" si="19"/>
        <v>1532.74</v>
      </c>
      <c r="M85" s="95">
        <f t="shared" si="19"/>
        <v>1509.64</v>
      </c>
      <c r="N85" s="95">
        <f t="shared" si="19"/>
        <v>1388.44</v>
      </c>
      <c r="O85" s="95">
        <f t="shared" si="19"/>
        <v>1374.24</v>
      </c>
      <c r="P85" s="95">
        <f t="shared" si="19"/>
        <v>1214.04</v>
      </c>
      <c r="Q85" s="95">
        <f t="shared" si="19"/>
        <v>1316.04</v>
      </c>
      <c r="R85" s="95">
        <f t="shared" si="19"/>
        <v>1302.54</v>
      </c>
      <c r="S85" s="95">
        <f t="shared" si="19"/>
        <v>1324.64</v>
      </c>
      <c r="T85" s="95">
        <f t="shared" si="19"/>
        <v>1316.94</v>
      </c>
      <c r="U85" s="95">
        <f t="shared" si="19"/>
        <v>1339.74</v>
      </c>
      <c r="V85" s="95">
        <f t="shared" si="19"/>
        <v>1252.54</v>
      </c>
      <c r="W85" s="95">
        <f t="shared" si="19"/>
        <v>1348.2399999999998</v>
      </c>
      <c r="X85" s="95">
        <f t="shared" si="19"/>
        <v>1535.1399999999999</v>
      </c>
      <c r="Y85" s="95">
        <f t="shared" si="19"/>
        <v>1605.3400000000001</v>
      </c>
      <c r="Z85" s="95">
        <f t="shared" si="19"/>
        <v>1563.65</v>
      </c>
      <c r="AA85" s="95">
        <f t="shared" si="19"/>
        <v>1455.36</v>
      </c>
      <c r="AB85" s="95">
        <f t="shared" si="19"/>
        <v>1435.35</v>
      </c>
      <c r="AC85" s="95">
        <f t="shared" si="19"/>
        <v>1413.1399999999999</v>
      </c>
      <c r="AD85" s="95">
        <f t="shared" si="19"/>
        <v>1347.44</v>
      </c>
      <c r="AE85" s="95">
        <f t="shared" si="19"/>
        <v>1182.4399999999998</v>
      </c>
      <c r="AF85" s="95">
        <f t="shared" si="19"/>
        <v>1113.94</v>
      </c>
      <c r="AG85" s="88">
        <f>AG82+AG78+AG66+AG62+AG44+AG84</f>
        <v>1466.0900000000001</v>
      </c>
      <c r="AH85" s="47">
        <f t="shared" si="12"/>
        <v>1605.3400000000001</v>
      </c>
      <c r="AI85" s="48">
        <f t="shared" si="13"/>
        <v>974.1400000000001</v>
      </c>
    </row>
    <row r="86" spans="1:37" ht="15.75" thickBot="1" x14ac:dyDescent="0.3">
      <c r="A86" s="74" t="s">
        <v>97</v>
      </c>
      <c r="B86" s="95">
        <f t="shared" ref="B86" si="20">B85-B93</f>
        <v>1082.54</v>
      </c>
      <c r="C86" s="95">
        <f t="shared" ref="C86:AF86" si="21">C85-C93</f>
        <v>1057.2399999999998</v>
      </c>
      <c r="D86" s="95">
        <f t="shared" si="21"/>
        <v>1027.04</v>
      </c>
      <c r="E86" s="95">
        <f t="shared" si="21"/>
        <v>982.6400000000001</v>
      </c>
      <c r="F86" s="95">
        <f t="shared" si="21"/>
        <v>974.1400000000001</v>
      </c>
      <c r="G86" s="95">
        <f t="shared" si="21"/>
        <v>992.6400000000001</v>
      </c>
      <c r="H86" s="95">
        <f t="shared" si="21"/>
        <v>1174.1400000000001</v>
      </c>
      <c r="I86" s="95">
        <f t="shared" si="21"/>
        <v>1241.3399999999999</v>
      </c>
      <c r="J86" s="95">
        <f t="shared" si="21"/>
        <v>1359.54</v>
      </c>
      <c r="K86" s="95">
        <f t="shared" si="21"/>
        <v>1425.34</v>
      </c>
      <c r="L86" s="95">
        <f t="shared" si="21"/>
        <v>1532.74</v>
      </c>
      <c r="M86" s="95">
        <f t="shared" si="21"/>
        <v>1509.64</v>
      </c>
      <c r="N86" s="95">
        <f t="shared" si="21"/>
        <v>1388.44</v>
      </c>
      <c r="O86" s="95">
        <f t="shared" si="21"/>
        <v>1374.24</v>
      </c>
      <c r="P86" s="95">
        <f t="shared" si="21"/>
        <v>1214.04</v>
      </c>
      <c r="Q86" s="95">
        <f t="shared" si="21"/>
        <v>1316.04</v>
      </c>
      <c r="R86" s="95">
        <f t="shared" si="21"/>
        <v>1302.54</v>
      </c>
      <c r="S86" s="95">
        <f t="shared" si="21"/>
        <v>1324.64</v>
      </c>
      <c r="T86" s="95">
        <f t="shared" si="21"/>
        <v>1316.94</v>
      </c>
      <c r="U86" s="95">
        <f t="shared" si="21"/>
        <v>1339.74</v>
      </c>
      <c r="V86" s="95">
        <f t="shared" si="21"/>
        <v>1252.54</v>
      </c>
      <c r="W86" s="95">
        <f t="shared" si="21"/>
        <v>1348.2399999999998</v>
      </c>
      <c r="X86" s="95">
        <f t="shared" si="21"/>
        <v>1535.1399999999999</v>
      </c>
      <c r="Y86" s="95">
        <f t="shared" si="21"/>
        <v>1605.3400000000001</v>
      </c>
      <c r="Z86" s="95">
        <f t="shared" si="21"/>
        <v>1563.65</v>
      </c>
      <c r="AA86" s="95">
        <f t="shared" si="21"/>
        <v>1455.36</v>
      </c>
      <c r="AB86" s="95">
        <f t="shared" si="21"/>
        <v>1435.35</v>
      </c>
      <c r="AC86" s="95">
        <f t="shared" si="21"/>
        <v>1413.1399999999999</v>
      </c>
      <c r="AD86" s="95">
        <f t="shared" si="21"/>
        <v>1347.44</v>
      </c>
      <c r="AE86" s="95">
        <f t="shared" si="21"/>
        <v>1182.4399999999998</v>
      </c>
      <c r="AF86" s="95">
        <f t="shared" si="21"/>
        <v>1113.94</v>
      </c>
      <c r="AG86" s="88"/>
      <c r="AH86" s="47">
        <f t="shared" si="12"/>
        <v>1605.3400000000001</v>
      </c>
      <c r="AI86" s="48">
        <f t="shared" si="13"/>
        <v>974.1400000000001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12"/>
        <v>0</v>
      </c>
      <c r="AI87" s="48">
        <f t="shared" si="13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12"/>
        <v>0</v>
      </c>
      <c r="AI88" s="48">
        <f t="shared" si="13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12"/>
        <v>0</v>
      </c>
      <c r="AI89" s="48">
        <f t="shared" si="13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12"/>
        <v>0</v>
      </c>
      <c r="AI90" s="48">
        <f t="shared" si="13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12"/>
        <v>0</v>
      </c>
      <c r="AI91" s="48">
        <f t="shared" si="13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12"/>
        <v>0</v>
      </c>
      <c r="AI92" s="48">
        <f t="shared" si="13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88"/>
      <c r="AH93" s="47">
        <f t="shared" si="12"/>
        <v>0</v>
      </c>
      <c r="AI93" s="48">
        <f t="shared" si="13"/>
        <v>0</v>
      </c>
      <c r="AK93" s="49"/>
    </row>
    <row r="94" spans="1:37" ht="15.75" thickBot="1" x14ac:dyDescent="0.3">
      <c r="A94" s="74" t="s">
        <v>102</v>
      </c>
      <c r="B94" s="60">
        <f t="shared" ref="B94" si="22">B78-B93</f>
        <v>486.6</v>
      </c>
      <c r="C94" s="60">
        <f t="shared" ref="C94:AF94" si="23">C78-C93</f>
        <v>436.79999999999995</v>
      </c>
      <c r="D94" s="60">
        <f t="shared" si="23"/>
        <v>420.69999999999993</v>
      </c>
      <c r="E94" s="60">
        <f t="shared" si="23"/>
        <v>412.3</v>
      </c>
      <c r="F94" s="60">
        <f t="shared" si="23"/>
        <v>412.3</v>
      </c>
      <c r="G94" s="60">
        <f t="shared" si="23"/>
        <v>407.8</v>
      </c>
      <c r="H94" s="60">
        <f t="shared" si="23"/>
        <v>465.5</v>
      </c>
      <c r="I94" s="60">
        <f t="shared" si="23"/>
        <v>449.7</v>
      </c>
      <c r="J94" s="60">
        <f t="shared" si="23"/>
        <v>471.09999999999997</v>
      </c>
      <c r="K94" s="60">
        <f t="shared" si="23"/>
        <v>348.79999999999995</v>
      </c>
      <c r="L94" s="60">
        <f t="shared" si="23"/>
        <v>366.5</v>
      </c>
      <c r="M94" s="60">
        <f t="shared" si="23"/>
        <v>418.2</v>
      </c>
      <c r="N94" s="60">
        <f t="shared" si="23"/>
        <v>376.6</v>
      </c>
      <c r="O94" s="60">
        <f t="shared" si="23"/>
        <v>387</v>
      </c>
      <c r="P94" s="60">
        <f t="shared" si="23"/>
        <v>483.2</v>
      </c>
      <c r="Q94" s="60">
        <f t="shared" si="23"/>
        <v>476</v>
      </c>
      <c r="R94" s="60">
        <f t="shared" si="23"/>
        <v>483.2</v>
      </c>
      <c r="S94" s="60">
        <f t="shared" si="23"/>
        <v>497.8</v>
      </c>
      <c r="T94" s="60">
        <f t="shared" si="23"/>
        <v>505</v>
      </c>
      <c r="U94" s="60">
        <f t="shared" si="23"/>
        <v>446.5</v>
      </c>
      <c r="V94" s="60">
        <f t="shared" si="23"/>
        <v>456.1</v>
      </c>
      <c r="W94" s="60">
        <f t="shared" si="23"/>
        <v>451.79999999999995</v>
      </c>
      <c r="X94" s="60">
        <f t="shared" si="23"/>
        <v>412.7</v>
      </c>
      <c r="Y94" s="60">
        <f t="shared" si="23"/>
        <v>404.9</v>
      </c>
      <c r="Z94" s="60">
        <f t="shared" si="23"/>
        <v>390.31</v>
      </c>
      <c r="AA94" s="60">
        <f t="shared" si="23"/>
        <v>378.92</v>
      </c>
      <c r="AB94" s="60">
        <f t="shared" si="23"/>
        <v>416.90999999999997</v>
      </c>
      <c r="AC94" s="60">
        <f t="shared" si="23"/>
        <v>428</v>
      </c>
      <c r="AD94" s="60">
        <f t="shared" si="23"/>
        <v>428</v>
      </c>
      <c r="AE94" s="60">
        <f t="shared" si="23"/>
        <v>437.8</v>
      </c>
      <c r="AF94" s="60">
        <f t="shared" si="23"/>
        <v>438.79999999999995</v>
      </c>
      <c r="AG94" s="88"/>
      <c r="AH94" s="47">
        <f t="shared" si="12"/>
        <v>505</v>
      </c>
      <c r="AI94" s="48">
        <f t="shared" si="13"/>
        <v>348.79999999999995</v>
      </c>
    </row>
    <row r="95" spans="1:37" x14ac:dyDescent="0.25">
      <c r="A95" s="100" t="s">
        <v>103</v>
      </c>
      <c r="B95" s="101">
        <v>50</v>
      </c>
      <c r="C95" s="101">
        <v>49.96</v>
      </c>
      <c r="D95" s="101">
        <v>49.98</v>
      </c>
      <c r="E95" s="101">
        <v>49.87</v>
      </c>
      <c r="F95" s="101">
        <v>49.87</v>
      </c>
      <c r="G95" s="101">
        <v>49.87</v>
      </c>
      <c r="H95" s="101">
        <v>49.87</v>
      </c>
      <c r="I95" s="101">
        <v>50.07</v>
      </c>
      <c r="J95" s="101">
        <v>49.91</v>
      </c>
      <c r="K95" s="101">
        <v>49.94</v>
      </c>
      <c r="L95" s="101">
        <v>50.04</v>
      </c>
      <c r="M95" s="101">
        <v>49.872999999999998</v>
      </c>
      <c r="N95" s="101">
        <v>49.795000000000002</v>
      </c>
      <c r="O95" s="101">
        <v>49.984999999999999</v>
      </c>
      <c r="P95" s="101">
        <v>50.177999999999997</v>
      </c>
      <c r="Q95" s="101">
        <v>50.033000000000001</v>
      </c>
      <c r="R95" s="101">
        <v>50.097000000000001</v>
      </c>
      <c r="S95" s="101">
        <v>50.09</v>
      </c>
      <c r="T95" s="101">
        <v>49.97</v>
      </c>
      <c r="U95" s="101">
        <v>49.832000000000001</v>
      </c>
      <c r="V95" s="101">
        <v>50.012999999999998</v>
      </c>
      <c r="W95" s="101">
        <v>50.078000000000003</v>
      </c>
      <c r="X95" s="101">
        <v>49.993000000000002</v>
      </c>
      <c r="Y95" s="101">
        <v>49.975000000000001</v>
      </c>
      <c r="Z95" s="101">
        <v>49.95</v>
      </c>
      <c r="AA95" s="101">
        <v>50.026000000000003</v>
      </c>
      <c r="AB95" s="101">
        <v>50.119</v>
      </c>
      <c r="AC95" s="101">
        <v>50.064999999999998</v>
      </c>
      <c r="AD95" s="101">
        <v>50</v>
      </c>
      <c r="AE95" s="101">
        <v>50.07</v>
      </c>
      <c r="AF95" s="101">
        <v>50.03</v>
      </c>
      <c r="AG95" s="102"/>
      <c r="AH95" s="47">
        <f t="shared" si="12"/>
        <v>50.177999999999997</v>
      </c>
      <c r="AI95" s="48">
        <f t="shared" si="13"/>
        <v>49.795000000000002</v>
      </c>
    </row>
    <row r="96" spans="1:37" x14ac:dyDescent="0.25">
      <c r="A96" s="103" t="s">
        <v>104</v>
      </c>
      <c r="B96" s="65">
        <v>129.6</v>
      </c>
      <c r="C96" s="65">
        <v>131.5</v>
      </c>
      <c r="D96" s="65">
        <v>131.30000000000001</v>
      </c>
      <c r="E96" s="65">
        <v>129.9</v>
      </c>
      <c r="F96" s="65">
        <v>129.9</v>
      </c>
      <c r="G96" s="65">
        <v>129.9</v>
      </c>
      <c r="H96" s="65">
        <v>129.9</v>
      </c>
      <c r="I96" s="65">
        <v>127.1</v>
      </c>
      <c r="J96" s="65">
        <v>125.9</v>
      </c>
      <c r="K96" s="65">
        <v>128.9</v>
      </c>
      <c r="L96" s="65">
        <v>127.2</v>
      </c>
      <c r="M96" s="65">
        <v>125.8</v>
      </c>
      <c r="N96" s="65">
        <v>126.7</v>
      </c>
      <c r="O96" s="65">
        <v>126.9</v>
      </c>
      <c r="P96" s="65">
        <v>124.4</v>
      </c>
      <c r="Q96" s="65">
        <v>124.6</v>
      </c>
      <c r="R96" s="65">
        <v>126</v>
      </c>
      <c r="S96" s="65">
        <v>127.7</v>
      </c>
      <c r="T96" s="65">
        <v>126.8</v>
      </c>
      <c r="U96" s="65">
        <v>126</v>
      </c>
      <c r="V96" s="65">
        <v>129</v>
      </c>
      <c r="W96" s="65">
        <v>128.6</v>
      </c>
      <c r="X96" s="65">
        <v>129.80000000000001</v>
      </c>
      <c r="Y96" s="65">
        <v>129</v>
      </c>
      <c r="Z96" s="65">
        <v>129</v>
      </c>
      <c r="AA96" s="65">
        <v>128.30000000000001</v>
      </c>
      <c r="AB96" s="65">
        <v>128.9</v>
      </c>
      <c r="AC96" s="65">
        <v>128</v>
      </c>
      <c r="AD96" s="65">
        <v>128.30000000000001</v>
      </c>
      <c r="AE96" s="65">
        <v>128.4</v>
      </c>
      <c r="AF96" s="65">
        <v>127.9</v>
      </c>
      <c r="AG96" s="104"/>
      <c r="AH96" s="47">
        <f t="shared" si="12"/>
        <v>131.5</v>
      </c>
      <c r="AI96" s="48">
        <f t="shared" si="13"/>
        <v>124.4</v>
      </c>
    </row>
    <row r="97" spans="1:35" x14ac:dyDescent="0.25">
      <c r="A97" s="103" t="s">
        <v>105</v>
      </c>
      <c r="B97" s="65">
        <v>133.19999999999999</v>
      </c>
      <c r="C97" s="65">
        <v>134.5</v>
      </c>
      <c r="D97" s="65">
        <v>134.80000000000001</v>
      </c>
      <c r="E97" s="65">
        <v>133.80000000000001</v>
      </c>
      <c r="F97" s="65">
        <v>133.80000000000001</v>
      </c>
      <c r="G97" s="65">
        <v>133.80000000000001</v>
      </c>
      <c r="H97" s="65">
        <v>133.80000000000001</v>
      </c>
      <c r="I97" s="65">
        <v>130.19999999999999</v>
      </c>
      <c r="J97" s="65">
        <v>129.4</v>
      </c>
      <c r="K97" s="65">
        <v>130.30000000000001</v>
      </c>
      <c r="L97" s="65">
        <v>130.30000000000001</v>
      </c>
      <c r="M97" s="65">
        <v>127.6</v>
      </c>
      <c r="N97" s="65">
        <v>128.4</v>
      </c>
      <c r="O97" s="65">
        <v>128.30000000000001</v>
      </c>
      <c r="P97" s="65">
        <v>127.3</v>
      </c>
      <c r="Q97" s="65">
        <v>127.7</v>
      </c>
      <c r="R97" s="65">
        <v>128.9</v>
      </c>
      <c r="S97" s="65">
        <v>130.4</v>
      </c>
      <c r="T97" s="65">
        <v>129.30000000000001</v>
      </c>
      <c r="U97" s="65">
        <v>129.1</v>
      </c>
      <c r="V97" s="65">
        <v>130.6</v>
      </c>
      <c r="W97" s="65">
        <v>130</v>
      </c>
      <c r="X97" s="65">
        <v>131.19999999999999</v>
      </c>
      <c r="Y97" s="65">
        <v>130.4</v>
      </c>
      <c r="Z97" s="65">
        <v>130.4</v>
      </c>
      <c r="AA97" s="65">
        <v>130.30000000000001</v>
      </c>
      <c r="AB97" s="65">
        <v>131.30000000000001</v>
      </c>
      <c r="AC97" s="65">
        <v>130.6</v>
      </c>
      <c r="AD97" s="65">
        <v>131.4</v>
      </c>
      <c r="AE97" s="65">
        <v>131.69999999999999</v>
      </c>
      <c r="AF97" s="65">
        <v>131.5</v>
      </c>
      <c r="AG97" s="104"/>
      <c r="AH97" s="47">
        <f t="shared" si="12"/>
        <v>134.80000000000001</v>
      </c>
      <c r="AI97" s="48">
        <f t="shared" si="13"/>
        <v>127.3</v>
      </c>
    </row>
    <row r="98" spans="1:35" x14ac:dyDescent="0.25">
      <c r="A98" s="103" t="s">
        <v>106</v>
      </c>
      <c r="B98" s="65">
        <v>131.1</v>
      </c>
      <c r="C98" s="65">
        <v>134.19999999999999</v>
      </c>
      <c r="D98" s="65">
        <v>134</v>
      </c>
      <c r="E98" s="65">
        <v>134.4</v>
      </c>
      <c r="F98" s="65">
        <v>134.4</v>
      </c>
      <c r="G98" s="65">
        <v>134.4</v>
      </c>
      <c r="H98" s="65">
        <v>134.4</v>
      </c>
      <c r="I98" s="65">
        <v>132</v>
      </c>
      <c r="J98" s="65">
        <v>129.69999999999999</v>
      </c>
      <c r="K98" s="65">
        <v>131.30000000000001</v>
      </c>
      <c r="L98" s="65">
        <v>131.30000000000001</v>
      </c>
      <c r="M98" s="65">
        <v>127.2</v>
      </c>
      <c r="N98" s="65">
        <v>133.30000000000001</v>
      </c>
      <c r="O98" s="65">
        <v>126.5</v>
      </c>
      <c r="P98" s="65">
        <v>132</v>
      </c>
      <c r="Q98" s="65">
        <v>122.4</v>
      </c>
      <c r="R98" s="65">
        <v>129.4</v>
      </c>
      <c r="S98" s="65">
        <v>128.6</v>
      </c>
      <c r="T98" s="65">
        <v>128.19999999999999</v>
      </c>
      <c r="U98" s="65">
        <v>128.80000000000001</v>
      </c>
      <c r="V98" s="65">
        <v>130</v>
      </c>
      <c r="W98" s="65">
        <v>128.80000000000001</v>
      </c>
      <c r="X98" s="65">
        <v>128.6</v>
      </c>
      <c r="Y98" s="65">
        <v>128.80000000000001</v>
      </c>
      <c r="Z98" s="65">
        <v>130.5</v>
      </c>
      <c r="AA98" s="65">
        <v>132.80000000000001</v>
      </c>
      <c r="AB98" s="65">
        <v>128.19999999999999</v>
      </c>
      <c r="AC98" s="65">
        <v>128</v>
      </c>
      <c r="AD98" s="65">
        <v>128.6</v>
      </c>
      <c r="AE98" s="65">
        <v>132.4</v>
      </c>
      <c r="AF98" s="65">
        <v>132</v>
      </c>
      <c r="AG98" s="104"/>
      <c r="AH98" s="47">
        <f t="shared" si="12"/>
        <v>134.4</v>
      </c>
      <c r="AI98" s="48">
        <f t="shared" si="13"/>
        <v>122.4</v>
      </c>
    </row>
    <row r="99" spans="1:35" x14ac:dyDescent="0.25">
      <c r="A99" s="105" t="s">
        <v>107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104"/>
      <c r="AH99" s="47">
        <f t="shared" si="12"/>
        <v>0</v>
      </c>
      <c r="AI99" s="48">
        <f t="shared" si="13"/>
        <v>0</v>
      </c>
    </row>
    <row r="100" spans="1:35" x14ac:dyDescent="0.25">
      <c r="A100" s="105" t="s">
        <v>108</v>
      </c>
      <c r="B100" s="106">
        <v>136.1</v>
      </c>
      <c r="C100" s="106">
        <v>134.6</v>
      </c>
      <c r="D100" s="106">
        <v>134.69999999999999</v>
      </c>
      <c r="E100" s="106">
        <v>132</v>
      </c>
      <c r="F100" s="106">
        <v>132</v>
      </c>
      <c r="G100" s="106">
        <v>132</v>
      </c>
      <c r="H100" s="106">
        <v>132</v>
      </c>
      <c r="I100" s="106">
        <v>134</v>
      </c>
      <c r="J100" s="106">
        <v>133.1</v>
      </c>
      <c r="K100" s="106">
        <v>134</v>
      </c>
      <c r="L100" s="106">
        <v>134</v>
      </c>
      <c r="M100" s="106">
        <v>132.30000000000001</v>
      </c>
      <c r="N100" s="106">
        <v>132.5</v>
      </c>
      <c r="O100" s="106">
        <v>133.1</v>
      </c>
      <c r="P100" s="106">
        <v>133.80000000000001</v>
      </c>
      <c r="Q100" s="106">
        <v>133.80000000000001</v>
      </c>
      <c r="R100" s="106">
        <v>132.1</v>
      </c>
      <c r="S100" s="106">
        <v>133.4</v>
      </c>
      <c r="T100" s="106">
        <v>130.6</v>
      </c>
      <c r="U100" s="106">
        <v>132.1</v>
      </c>
      <c r="V100" s="106">
        <v>135.9</v>
      </c>
      <c r="W100" s="106">
        <v>131.69999999999999</v>
      </c>
      <c r="X100" s="106">
        <v>135.6</v>
      </c>
      <c r="Y100" s="106">
        <v>132.4</v>
      </c>
      <c r="Z100" s="106">
        <v>133.5</v>
      </c>
      <c r="AA100" s="106">
        <v>134.9</v>
      </c>
      <c r="AB100" s="106">
        <v>135.19999999999999</v>
      </c>
      <c r="AC100" s="106">
        <v>135.4</v>
      </c>
      <c r="AD100" s="106">
        <v>135.69999999999999</v>
      </c>
      <c r="AE100" s="106">
        <v>133.80000000000001</v>
      </c>
      <c r="AF100" s="106">
        <v>129.69999999999999</v>
      </c>
      <c r="AG100" s="107"/>
      <c r="AH100" s="47">
        <f t="shared" si="12"/>
        <v>136.1</v>
      </c>
      <c r="AI100" s="48">
        <f t="shared" si="13"/>
        <v>129.69999999999999</v>
      </c>
    </row>
    <row r="101" spans="1:35" x14ac:dyDescent="0.25">
      <c r="A101" s="103" t="s">
        <v>109</v>
      </c>
      <c r="B101" s="65">
        <v>133.6</v>
      </c>
      <c r="C101" s="65">
        <v>135.4</v>
      </c>
      <c r="D101" s="65">
        <v>130.6</v>
      </c>
      <c r="E101" s="65">
        <v>126.2</v>
      </c>
      <c r="F101" s="65">
        <v>126.2</v>
      </c>
      <c r="G101" s="65">
        <v>126.2</v>
      </c>
      <c r="H101" s="65">
        <v>126.2</v>
      </c>
      <c r="I101" s="65">
        <v>128.6</v>
      </c>
      <c r="J101" s="65">
        <v>124.6</v>
      </c>
      <c r="K101" s="65">
        <v>130.69999999999999</v>
      </c>
      <c r="L101" s="65">
        <v>130.69999999999999</v>
      </c>
      <c r="M101" s="65">
        <v>125.7</v>
      </c>
      <c r="N101" s="65">
        <v>123.8</v>
      </c>
      <c r="O101" s="65">
        <v>126</v>
      </c>
      <c r="P101" s="65">
        <v>128.80000000000001</v>
      </c>
      <c r="Q101" s="65">
        <v>127.7</v>
      </c>
      <c r="R101" s="65"/>
      <c r="S101" s="65"/>
      <c r="T101" s="65"/>
      <c r="U101" s="65">
        <v>130.30000000000001</v>
      </c>
      <c r="V101" s="65">
        <v>133.30000000000001</v>
      </c>
      <c r="W101" s="65">
        <v>128.1</v>
      </c>
      <c r="X101" s="65">
        <v>128</v>
      </c>
      <c r="Y101" s="65">
        <v>133.1</v>
      </c>
      <c r="Z101" s="65">
        <v>134</v>
      </c>
      <c r="AA101" s="65">
        <v>129.9</v>
      </c>
      <c r="AB101" s="65">
        <v>131.80000000000001</v>
      </c>
      <c r="AC101" s="65">
        <v>128.5</v>
      </c>
      <c r="AD101" s="65">
        <v>129.6</v>
      </c>
      <c r="AE101" s="65">
        <v>131.69999999999999</v>
      </c>
      <c r="AF101" s="65">
        <v>126.2</v>
      </c>
      <c r="AG101" s="104"/>
      <c r="AH101" s="47">
        <f t="shared" si="12"/>
        <v>135.4</v>
      </c>
      <c r="AI101" s="48">
        <f t="shared" si="13"/>
        <v>123.8</v>
      </c>
    </row>
    <row r="102" spans="1:35" ht="15.75" thickBot="1" x14ac:dyDescent="0.3">
      <c r="A102" s="103" t="s">
        <v>110</v>
      </c>
      <c r="B102" s="92">
        <v>66.7</v>
      </c>
      <c r="C102" s="92">
        <v>67.5</v>
      </c>
      <c r="D102" s="92">
        <v>67.5</v>
      </c>
      <c r="E102" s="92">
        <v>67.2</v>
      </c>
      <c r="F102" s="92">
        <v>67.2</v>
      </c>
      <c r="G102" s="92">
        <v>67.2</v>
      </c>
      <c r="H102" s="92">
        <v>67.2</v>
      </c>
      <c r="I102" s="92">
        <v>65.099999999999994</v>
      </c>
      <c r="J102" s="92">
        <v>64.8</v>
      </c>
      <c r="K102" s="92">
        <v>65.3</v>
      </c>
      <c r="L102" s="92">
        <v>65.3</v>
      </c>
      <c r="M102" s="92">
        <v>65.3</v>
      </c>
      <c r="N102" s="92">
        <v>64.3</v>
      </c>
      <c r="O102" s="92">
        <v>64</v>
      </c>
      <c r="P102" s="92" t="s">
        <v>711</v>
      </c>
      <c r="Q102" s="92">
        <v>64.099999999999994</v>
      </c>
      <c r="R102" s="92">
        <v>64.599999999999994</v>
      </c>
      <c r="S102" s="92">
        <v>65.099999999999994</v>
      </c>
      <c r="T102" s="92">
        <v>65</v>
      </c>
      <c r="U102" s="92">
        <v>64.599999999999994</v>
      </c>
      <c r="V102" s="92">
        <v>65.400000000000006</v>
      </c>
      <c r="W102" s="92">
        <v>65.2</v>
      </c>
      <c r="X102" s="92">
        <v>65.5</v>
      </c>
      <c r="Y102" s="92">
        <v>65.099999999999994</v>
      </c>
      <c r="Z102" s="92">
        <v>65.2</v>
      </c>
      <c r="AA102" s="92">
        <v>65.2</v>
      </c>
      <c r="AB102" s="92">
        <v>65.400000000000006</v>
      </c>
      <c r="AC102" s="92">
        <v>65.2</v>
      </c>
      <c r="AD102" s="92">
        <v>65.8</v>
      </c>
      <c r="AE102" s="92">
        <v>65.900000000000006</v>
      </c>
      <c r="AF102" s="92">
        <v>65.900000000000006</v>
      </c>
      <c r="AG102" s="108"/>
      <c r="AH102" s="47">
        <f t="shared" si="12"/>
        <v>67.5</v>
      </c>
      <c r="AI102" s="48">
        <f t="shared" si="13"/>
        <v>64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12"/>
        <v>0</v>
      </c>
      <c r="AI103" s="48">
        <f t="shared" si="13"/>
        <v>0</v>
      </c>
    </row>
    <row r="104" spans="1:35" ht="15.75" thickBot="1" x14ac:dyDescent="0.3">
      <c r="A104" s="110" t="s">
        <v>112</v>
      </c>
      <c r="B104" s="111">
        <f t="shared" ref="B104" si="24">SUM(B16,B22,B25:B26,B52,B54:B55,B57,B59,B105:B109,B131,B137,B143,B152,B154,B166,B173,B176:B177,B184,B186,B188,B192:B194,B196:B198,B203,B209:B210,B212:B214,B222,B227)</f>
        <v>146.5</v>
      </c>
      <c r="C104" s="111">
        <f t="shared" ref="C104:AF104" si="25">SUM(C16,C22,C25:C26,C52,C54:C55,C57,C59,C105:C109,C131,C137,C143,C152,C154,C166,C173,C176:C177,C184,C186,C188,C192:C194,C196:C198,C203,C209:C210,C212:C214,C222,C227)</f>
        <v>137.44</v>
      </c>
      <c r="D104" s="111">
        <f t="shared" si="25"/>
        <v>129.63999999999999</v>
      </c>
      <c r="E104" s="111">
        <f t="shared" si="25"/>
        <v>124.84</v>
      </c>
      <c r="F104" s="111">
        <f t="shared" si="25"/>
        <v>124.84</v>
      </c>
      <c r="G104" s="111">
        <f t="shared" si="25"/>
        <v>124.84</v>
      </c>
      <c r="H104" s="111">
        <f t="shared" si="25"/>
        <v>124.84</v>
      </c>
      <c r="I104" s="111">
        <f t="shared" si="25"/>
        <v>138.74</v>
      </c>
      <c r="J104" s="111">
        <f t="shared" si="25"/>
        <v>172.04</v>
      </c>
      <c r="K104" s="111">
        <f t="shared" si="25"/>
        <v>349.94</v>
      </c>
      <c r="L104" s="111">
        <f t="shared" si="25"/>
        <v>303.74</v>
      </c>
      <c r="M104" s="111">
        <f t="shared" si="25"/>
        <v>375.34</v>
      </c>
      <c r="N104" s="111">
        <f t="shared" si="25"/>
        <v>338.24</v>
      </c>
      <c r="O104" s="111">
        <f t="shared" si="25"/>
        <v>335.44</v>
      </c>
      <c r="P104" s="111">
        <v>42</v>
      </c>
      <c r="Q104" s="111">
        <f t="shared" si="25"/>
        <v>293.60000000000002</v>
      </c>
      <c r="R104" s="111">
        <f t="shared" si="25"/>
        <v>279.3</v>
      </c>
      <c r="S104" s="111">
        <f t="shared" si="25"/>
        <v>263.8</v>
      </c>
      <c r="T104" s="111">
        <f t="shared" si="25"/>
        <v>262.8</v>
      </c>
      <c r="U104" s="111">
        <f t="shared" si="25"/>
        <v>263.10000000000002</v>
      </c>
      <c r="V104" s="111">
        <f t="shared" si="25"/>
        <v>274.2</v>
      </c>
      <c r="W104" s="111">
        <f t="shared" si="25"/>
        <v>302.2</v>
      </c>
      <c r="X104" s="111">
        <f t="shared" si="25"/>
        <v>343.5</v>
      </c>
      <c r="Y104" s="111">
        <f t="shared" si="25"/>
        <v>381.1</v>
      </c>
      <c r="Z104" s="111">
        <f t="shared" si="25"/>
        <v>373.6</v>
      </c>
      <c r="AA104" s="111">
        <f t="shared" si="25"/>
        <v>369.6</v>
      </c>
      <c r="AB104" s="111">
        <f t="shared" si="25"/>
        <v>366.5</v>
      </c>
      <c r="AC104" s="111">
        <f t="shared" si="25"/>
        <v>347.6</v>
      </c>
      <c r="AD104" s="111">
        <f t="shared" si="25"/>
        <v>315.59999999999997</v>
      </c>
      <c r="AE104" s="111">
        <f t="shared" si="25"/>
        <v>234.10000000000002</v>
      </c>
      <c r="AF104" s="111">
        <f t="shared" si="25"/>
        <v>173.60000000000002</v>
      </c>
      <c r="AG104" s="112"/>
      <c r="AH104" s="47">
        <f t="shared" si="12"/>
        <v>381.1</v>
      </c>
      <c r="AI104" s="48">
        <f t="shared" si="13"/>
        <v>42</v>
      </c>
    </row>
    <row r="105" spans="1:35" x14ac:dyDescent="0.25">
      <c r="A105" s="100" t="s">
        <v>113</v>
      </c>
      <c r="B105" s="113">
        <v>-4.8</v>
      </c>
      <c r="C105" s="113">
        <v>-11.5</v>
      </c>
      <c r="D105" s="113">
        <v>-12.5</v>
      </c>
      <c r="E105" s="113">
        <v>-12.7</v>
      </c>
      <c r="F105" s="113">
        <v>-12.7</v>
      </c>
      <c r="G105" s="113">
        <v>-12.7</v>
      </c>
      <c r="H105" s="113">
        <v>-12.7</v>
      </c>
      <c r="I105" s="113">
        <v>-24.2</v>
      </c>
      <c r="J105" s="113">
        <v>-22.5</v>
      </c>
      <c r="K105" s="113">
        <v>35.1</v>
      </c>
      <c r="L105" s="113">
        <v>17.600000000000001</v>
      </c>
      <c r="M105" s="113">
        <v>21</v>
      </c>
      <c r="N105" s="113">
        <v>22.6</v>
      </c>
      <c r="O105" s="113">
        <v>25.6</v>
      </c>
      <c r="P105" s="113">
        <v>32.700000000000003</v>
      </c>
      <c r="Q105" s="113">
        <v>20.399999999999999</v>
      </c>
      <c r="R105" s="113">
        <v>13.7</v>
      </c>
      <c r="S105" s="113">
        <v>8.1</v>
      </c>
      <c r="T105" s="113">
        <v>5</v>
      </c>
      <c r="U105" s="113">
        <v>5.6</v>
      </c>
      <c r="V105" s="113">
        <v>6.3</v>
      </c>
      <c r="W105" s="113">
        <v>4.3</v>
      </c>
      <c r="X105" s="113">
        <v>25.3</v>
      </c>
      <c r="Y105" s="113">
        <v>34.5</v>
      </c>
      <c r="Z105" s="113">
        <v>32.799999999999997</v>
      </c>
      <c r="AA105" s="113">
        <v>32.799999999999997</v>
      </c>
      <c r="AB105" s="113">
        <v>33.799999999999997</v>
      </c>
      <c r="AC105" s="113">
        <v>28.9</v>
      </c>
      <c r="AD105" s="113">
        <v>30.4</v>
      </c>
      <c r="AE105" s="113">
        <v>15.5</v>
      </c>
      <c r="AF105" s="113">
        <v>-6.2</v>
      </c>
      <c r="AG105" s="114">
        <v>75</v>
      </c>
      <c r="AH105" s="47">
        <f t="shared" si="12"/>
        <v>35.1</v>
      </c>
      <c r="AI105" s="48">
        <f t="shared" si="13"/>
        <v>-24.2</v>
      </c>
    </row>
    <row r="106" spans="1:35" x14ac:dyDescent="0.25">
      <c r="A106" s="103" t="s">
        <v>114</v>
      </c>
      <c r="B106" s="115">
        <v>-5</v>
      </c>
      <c r="C106" s="115">
        <v>-9.5</v>
      </c>
      <c r="D106" s="115">
        <v>-13.5</v>
      </c>
      <c r="E106" s="115">
        <v>-12.3</v>
      </c>
      <c r="F106" s="115">
        <v>-12.3</v>
      </c>
      <c r="G106" s="115">
        <v>-12.3</v>
      </c>
      <c r="H106" s="115">
        <v>-12.3</v>
      </c>
      <c r="I106" s="115">
        <v>-36</v>
      </c>
      <c r="J106" s="115">
        <v>-32.700000000000003</v>
      </c>
      <c r="K106" s="115">
        <v>42.7</v>
      </c>
      <c r="L106" s="115">
        <v>42.7</v>
      </c>
      <c r="M106" s="115">
        <v>20</v>
      </c>
      <c r="N106" s="115">
        <v>25.6</v>
      </c>
      <c r="O106" s="115">
        <v>30</v>
      </c>
      <c r="P106" s="115">
        <v>49.3</v>
      </c>
      <c r="Q106" s="115">
        <v>32</v>
      </c>
      <c r="R106" s="115">
        <v>23.9</v>
      </c>
      <c r="S106" s="115">
        <v>16.399999999999999</v>
      </c>
      <c r="T106" s="115">
        <v>11.4</v>
      </c>
      <c r="U106" s="115">
        <v>12.2</v>
      </c>
      <c r="V106" s="115">
        <v>5.9</v>
      </c>
      <c r="W106" s="115">
        <v>2.7</v>
      </c>
      <c r="X106" s="115">
        <v>28.9</v>
      </c>
      <c r="Y106" s="115">
        <v>40.5</v>
      </c>
      <c r="Z106" s="115">
        <v>38.9</v>
      </c>
      <c r="AA106" s="115">
        <v>38.299999999999997</v>
      </c>
      <c r="AB106" s="115">
        <v>40.9</v>
      </c>
      <c r="AC106" s="115">
        <v>34</v>
      </c>
      <c r="AD106" s="115">
        <v>38</v>
      </c>
      <c r="AE106" s="115">
        <v>20.6</v>
      </c>
      <c r="AF106" s="115">
        <v>-1.8</v>
      </c>
      <c r="AG106" s="114">
        <v>240</v>
      </c>
      <c r="AH106" s="47">
        <f t="shared" si="12"/>
        <v>49.3</v>
      </c>
      <c r="AI106" s="48">
        <f t="shared" si="13"/>
        <v>-36</v>
      </c>
    </row>
    <row r="107" spans="1:35" x14ac:dyDescent="0.25">
      <c r="A107" s="103" t="s">
        <v>115</v>
      </c>
      <c r="B107" s="115">
        <f>-18.8-20.6</f>
        <v>-39.400000000000006</v>
      </c>
      <c r="C107" s="115">
        <f>-15.7-17.2</f>
        <v>-32.9</v>
      </c>
      <c r="D107" s="115">
        <f>-14.5-15.9</f>
        <v>-30.4</v>
      </c>
      <c r="E107" s="115">
        <f>-16.9-18</f>
        <v>-34.9</v>
      </c>
      <c r="F107" s="115">
        <f t="shared" ref="F107:H107" si="26">-16.9-18</f>
        <v>-34.9</v>
      </c>
      <c r="G107" s="115">
        <f t="shared" si="26"/>
        <v>-34.9</v>
      </c>
      <c r="H107" s="115">
        <f t="shared" si="26"/>
        <v>-34.9</v>
      </c>
      <c r="I107" s="115">
        <f>-9.2-9.8</f>
        <v>-19</v>
      </c>
      <c r="J107" s="115">
        <f>1.4+0</f>
        <v>1.4</v>
      </c>
      <c r="K107" s="115">
        <f>6.4+14.2</f>
        <v>20.6</v>
      </c>
      <c r="L107" s="115">
        <f>17</f>
        <v>17</v>
      </c>
      <c r="M107" s="115">
        <f>39+41</f>
        <v>80</v>
      </c>
      <c r="N107" s="115">
        <v>62.5</v>
      </c>
      <c r="O107" s="115">
        <v>64</v>
      </c>
      <c r="P107" s="115">
        <v>15</v>
      </c>
      <c r="Q107" s="115">
        <v>-0.5</v>
      </c>
      <c r="R107" s="115">
        <v>-1</v>
      </c>
      <c r="S107" s="115">
        <v>-16.7</v>
      </c>
      <c r="T107" s="115">
        <f>-23-0</f>
        <v>-23</v>
      </c>
      <c r="U107" s="115">
        <v>-26</v>
      </c>
      <c r="V107" s="115">
        <v>8.1999999999999993</v>
      </c>
      <c r="W107" s="115">
        <v>25</v>
      </c>
      <c r="X107" s="115">
        <v>33</v>
      </c>
      <c r="Y107" s="115">
        <v>33</v>
      </c>
      <c r="Z107" s="115">
        <v>48</v>
      </c>
      <c r="AA107" s="115">
        <v>60</v>
      </c>
      <c r="AB107" s="115">
        <v>42</v>
      </c>
      <c r="AC107" s="115">
        <v>45</v>
      </c>
      <c r="AD107" s="115">
        <v>8</v>
      </c>
      <c r="AE107" s="115">
        <f>-9.3-10.2</f>
        <v>-19.5</v>
      </c>
      <c r="AF107" s="115">
        <f>-14.3-15.2</f>
        <v>-29.5</v>
      </c>
      <c r="AG107" s="114">
        <v>240</v>
      </c>
      <c r="AH107" s="47">
        <f t="shared" si="12"/>
        <v>80</v>
      </c>
      <c r="AI107" s="48">
        <f t="shared" si="13"/>
        <v>-39.400000000000006</v>
      </c>
    </row>
    <row r="108" spans="1:35" x14ac:dyDescent="0.25">
      <c r="A108" s="103" t="s">
        <v>116</v>
      </c>
      <c r="B108" s="115">
        <v>-2.4</v>
      </c>
      <c r="C108" s="115">
        <v>-1.4</v>
      </c>
      <c r="D108" s="115">
        <v>-3.9</v>
      </c>
      <c r="E108" s="115">
        <v>-0.3</v>
      </c>
      <c r="F108" s="115">
        <v>-0.3</v>
      </c>
      <c r="G108" s="115">
        <v>-0.3</v>
      </c>
      <c r="H108" s="115">
        <v>-0.3</v>
      </c>
      <c r="I108" s="115">
        <v>6.8</v>
      </c>
      <c r="J108" s="115">
        <v>10.4</v>
      </c>
      <c r="K108" s="115">
        <v>29.9</v>
      </c>
      <c r="L108" s="115" t="s">
        <v>710</v>
      </c>
      <c r="M108" s="115">
        <v>32</v>
      </c>
      <c r="N108" s="115">
        <v>31.6</v>
      </c>
      <c r="O108" s="115">
        <v>27.2</v>
      </c>
      <c r="P108" s="115">
        <v>15</v>
      </c>
      <c r="Q108" s="115">
        <v>21.7</v>
      </c>
      <c r="R108" s="115">
        <v>23.9</v>
      </c>
      <c r="S108" s="115">
        <v>32.6</v>
      </c>
      <c r="T108" s="115">
        <v>36.5</v>
      </c>
      <c r="U108" s="115">
        <v>44.4</v>
      </c>
      <c r="V108" s="115">
        <v>34</v>
      </c>
      <c r="W108" s="115">
        <v>41.5</v>
      </c>
      <c r="X108" s="115">
        <v>54.8</v>
      </c>
      <c r="Y108" s="115">
        <v>55.8</v>
      </c>
      <c r="Z108" s="115">
        <v>43.6</v>
      </c>
      <c r="AA108" s="115">
        <v>38.6</v>
      </c>
      <c r="AB108" s="115">
        <v>21.8</v>
      </c>
      <c r="AC108" s="115">
        <v>20.2</v>
      </c>
      <c r="AD108" s="115">
        <v>13.2</v>
      </c>
      <c r="AE108" s="115">
        <v>4.5</v>
      </c>
      <c r="AF108" s="115">
        <v>2.2000000000000002</v>
      </c>
      <c r="AG108" s="114">
        <v>60</v>
      </c>
      <c r="AH108" s="47">
        <f t="shared" si="12"/>
        <v>55.8</v>
      </c>
      <c r="AI108" s="48">
        <f t="shared" si="13"/>
        <v>-3.9</v>
      </c>
    </row>
    <row r="109" spans="1:35" x14ac:dyDescent="0.25">
      <c r="A109" s="116" t="s">
        <v>117</v>
      </c>
      <c r="B109" s="117">
        <v>85.6</v>
      </c>
      <c r="C109" s="117">
        <v>81.2</v>
      </c>
      <c r="D109" s="117">
        <v>78.5</v>
      </c>
      <c r="E109" s="117">
        <v>73.599999999999994</v>
      </c>
      <c r="F109" s="117">
        <v>73.599999999999994</v>
      </c>
      <c r="G109" s="117">
        <v>73.599999999999994</v>
      </c>
      <c r="H109" s="117">
        <v>73.599999999999994</v>
      </c>
      <c r="I109" s="117">
        <v>99.7</v>
      </c>
      <c r="J109" s="117">
        <v>104</v>
      </c>
      <c r="K109" s="117">
        <v>110.2</v>
      </c>
      <c r="L109" s="117">
        <v>115</v>
      </c>
      <c r="M109" s="117">
        <v>109.6</v>
      </c>
      <c r="N109" s="117">
        <v>83.2</v>
      </c>
      <c r="O109" s="117">
        <v>75.2</v>
      </c>
      <c r="P109" s="117">
        <v>76.900000000000006</v>
      </c>
      <c r="Q109" s="117">
        <v>107.5</v>
      </c>
      <c r="R109" s="117">
        <v>106.3</v>
      </c>
      <c r="S109" s="117">
        <v>104.9</v>
      </c>
      <c r="T109" s="117">
        <v>112.4</v>
      </c>
      <c r="U109" s="117">
        <v>112.2</v>
      </c>
      <c r="V109" s="117">
        <v>109.3</v>
      </c>
      <c r="W109" s="117">
        <v>118.2</v>
      </c>
      <c r="X109" s="117">
        <v>90</v>
      </c>
      <c r="Y109" s="117">
        <v>107.8</v>
      </c>
      <c r="Z109" s="117">
        <v>100.8</v>
      </c>
      <c r="AA109" s="117">
        <v>90.4</v>
      </c>
      <c r="AB109" s="117">
        <v>122</v>
      </c>
      <c r="AC109" s="117">
        <v>112</v>
      </c>
      <c r="AD109" s="117">
        <v>114.2</v>
      </c>
      <c r="AE109" s="117">
        <v>98.2</v>
      </c>
      <c r="AF109" s="117">
        <v>95.3</v>
      </c>
      <c r="AG109" s="118">
        <v>120</v>
      </c>
      <c r="AH109" s="47">
        <f t="shared" si="12"/>
        <v>122</v>
      </c>
      <c r="AI109" s="48">
        <f t="shared" si="13"/>
        <v>73.599999999999994</v>
      </c>
    </row>
    <row r="110" spans="1:35" x14ac:dyDescent="0.25">
      <c r="A110" s="116" t="s">
        <v>118</v>
      </c>
      <c r="B110" s="117">
        <v>90.3</v>
      </c>
      <c r="C110" s="117">
        <v>88.7</v>
      </c>
      <c r="D110" s="117">
        <v>81.2</v>
      </c>
      <c r="E110" s="117">
        <v>76</v>
      </c>
      <c r="F110" s="117">
        <v>76</v>
      </c>
      <c r="G110" s="117">
        <v>76</v>
      </c>
      <c r="H110" s="117">
        <v>76</v>
      </c>
      <c r="I110" s="117">
        <v>93.4</v>
      </c>
      <c r="J110" s="117">
        <v>98</v>
      </c>
      <c r="K110" s="117">
        <v>80</v>
      </c>
      <c r="L110" s="117">
        <v>104</v>
      </c>
      <c r="M110" s="117">
        <v>104</v>
      </c>
      <c r="N110" s="117">
        <v>82.1</v>
      </c>
      <c r="O110" s="117">
        <v>82.3</v>
      </c>
      <c r="P110" s="117">
        <v>92.6</v>
      </c>
      <c r="Q110" s="117">
        <v>95.5</v>
      </c>
      <c r="R110" s="117">
        <v>96</v>
      </c>
      <c r="S110" s="117">
        <v>95.7</v>
      </c>
      <c r="T110" s="117">
        <v>98.5</v>
      </c>
      <c r="U110" s="117">
        <v>97.8</v>
      </c>
      <c r="V110" s="117">
        <v>87.9</v>
      </c>
      <c r="W110" s="117">
        <v>88.3</v>
      </c>
      <c r="X110" s="117">
        <v>87</v>
      </c>
      <c r="Y110" s="117">
        <v>85</v>
      </c>
      <c r="Z110" s="117">
        <v>90.2</v>
      </c>
      <c r="AA110" s="117">
        <v>98.9</v>
      </c>
      <c r="AB110" s="117">
        <v>86.3</v>
      </c>
      <c r="AC110" s="117">
        <v>95</v>
      </c>
      <c r="AD110" s="117">
        <v>93</v>
      </c>
      <c r="AE110" s="117">
        <v>97.6</v>
      </c>
      <c r="AF110" s="117">
        <v>97.2</v>
      </c>
      <c r="AG110" s="118"/>
      <c r="AH110" s="47">
        <f t="shared" si="12"/>
        <v>104</v>
      </c>
      <c r="AI110" s="48">
        <f t="shared" si="13"/>
        <v>76</v>
      </c>
    </row>
    <row r="111" spans="1:35" x14ac:dyDescent="0.25">
      <c r="A111" s="116" t="s">
        <v>119</v>
      </c>
      <c r="B111" s="117">
        <v>35.6</v>
      </c>
      <c r="C111" s="117">
        <v>45.1</v>
      </c>
      <c r="D111" s="117">
        <v>42.5</v>
      </c>
      <c r="E111" s="117">
        <v>38.299999999999997</v>
      </c>
      <c r="F111" s="117">
        <v>38.299999999999997</v>
      </c>
      <c r="G111" s="117">
        <v>38.299999999999997</v>
      </c>
      <c r="H111" s="117">
        <v>38.299999999999997</v>
      </c>
      <c r="I111" s="117">
        <v>-17</v>
      </c>
      <c r="J111" s="117">
        <v>-17</v>
      </c>
      <c r="K111" s="117">
        <v>-7.8</v>
      </c>
      <c r="L111" s="117">
        <v>-21.6</v>
      </c>
      <c r="M111" s="117">
        <v>21.6</v>
      </c>
      <c r="N111" s="117">
        <v>14.8</v>
      </c>
      <c r="O111" s="117">
        <v>13</v>
      </c>
      <c r="P111" s="117">
        <v>-2.2999999999999998</v>
      </c>
      <c r="Q111" s="117">
        <v>6.9</v>
      </c>
      <c r="R111" s="117">
        <v>14.4</v>
      </c>
      <c r="S111" s="117">
        <v>19.3</v>
      </c>
      <c r="T111" s="117">
        <v>30.4</v>
      </c>
      <c r="U111" s="117">
        <v>28.3</v>
      </c>
      <c r="V111" s="117">
        <v>24.5</v>
      </c>
      <c r="W111" s="117">
        <v>28.4</v>
      </c>
      <c r="X111" s="117">
        <v>11.6</v>
      </c>
      <c r="Y111" s="117">
        <v>3.8</v>
      </c>
      <c r="Z111" s="117">
        <v>3.6</v>
      </c>
      <c r="AA111" s="117">
        <v>7</v>
      </c>
      <c r="AB111" s="117">
        <v>6.1</v>
      </c>
      <c r="AC111" s="117">
        <v>17</v>
      </c>
      <c r="AD111" s="117">
        <v>15</v>
      </c>
      <c r="AE111" s="117">
        <v>25.4</v>
      </c>
      <c r="AF111" s="117">
        <v>40.200000000000003</v>
      </c>
      <c r="AG111" s="119"/>
      <c r="AH111" s="47">
        <f t="shared" si="12"/>
        <v>45.1</v>
      </c>
      <c r="AI111" s="48">
        <f t="shared" si="13"/>
        <v>-21.6</v>
      </c>
    </row>
    <row r="112" spans="1:35" x14ac:dyDescent="0.25">
      <c r="A112" s="120" t="s">
        <v>120</v>
      </c>
      <c r="B112" s="106">
        <v>22.2</v>
      </c>
      <c r="C112" s="106">
        <v>25.4</v>
      </c>
      <c r="D112" s="106">
        <v>28.7</v>
      </c>
      <c r="E112" s="106">
        <v>-30.6</v>
      </c>
      <c r="F112" s="106">
        <v>-30.6</v>
      </c>
      <c r="G112" s="106">
        <v>-30.6</v>
      </c>
      <c r="H112" s="106">
        <v>-30.6</v>
      </c>
      <c r="I112" s="106">
        <v>-15.1</v>
      </c>
      <c r="J112" s="106">
        <v>-20.100000000000001</v>
      </c>
      <c r="K112" s="106">
        <v>-35.6</v>
      </c>
      <c r="L112" s="106">
        <v>-23.4</v>
      </c>
      <c r="M112" s="106">
        <v>-31.9</v>
      </c>
      <c r="N112" s="106">
        <v>0.7</v>
      </c>
      <c r="O112" s="106">
        <v>25.3</v>
      </c>
      <c r="P112" s="106">
        <v>-6.3</v>
      </c>
      <c r="Q112" s="106">
        <v>-6.5</v>
      </c>
      <c r="R112" s="106">
        <v>0</v>
      </c>
      <c r="S112" s="106">
        <v>0</v>
      </c>
      <c r="T112" s="106">
        <v>-9.1999999999999993</v>
      </c>
      <c r="U112" s="106">
        <v>-10.4</v>
      </c>
      <c r="V112" s="106">
        <v>-20</v>
      </c>
      <c r="W112" s="106">
        <v>-33.799999999999997</v>
      </c>
      <c r="X112" s="106">
        <v>-59.9</v>
      </c>
      <c r="Y112" s="106">
        <v>-45.4</v>
      </c>
      <c r="Z112" s="106">
        <v>-40.9</v>
      </c>
      <c r="AA112" s="106">
        <v>-30.8</v>
      </c>
      <c r="AB112" s="106">
        <v>-17.3</v>
      </c>
      <c r="AC112" s="106">
        <v>-12</v>
      </c>
      <c r="AD112" s="106">
        <v>-8</v>
      </c>
      <c r="AE112" s="106">
        <v>10</v>
      </c>
      <c r="AF112" s="106">
        <v>19.7</v>
      </c>
      <c r="AG112" s="119"/>
      <c r="AH112" s="47">
        <f t="shared" si="12"/>
        <v>28.7</v>
      </c>
      <c r="AI112" s="48">
        <f t="shared" si="13"/>
        <v>-59.9</v>
      </c>
    </row>
    <row r="113" spans="1:37" ht="15.75" thickBot="1" x14ac:dyDescent="0.3">
      <c r="A113" s="120" t="s">
        <v>121</v>
      </c>
      <c r="B113" s="106">
        <v>15.1</v>
      </c>
      <c r="C113" s="106">
        <v>7.2</v>
      </c>
      <c r="D113" s="106">
        <v>2.4</v>
      </c>
      <c r="E113" s="106">
        <v>8</v>
      </c>
      <c r="F113" s="106">
        <v>8</v>
      </c>
      <c r="G113" s="106">
        <v>8</v>
      </c>
      <c r="H113" s="106">
        <v>8</v>
      </c>
      <c r="I113" s="106">
        <v>11.6</v>
      </c>
      <c r="J113" s="106">
        <v>-3.5</v>
      </c>
      <c r="K113" s="106">
        <v>-13.6</v>
      </c>
      <c r="L113" s="106">
        <v>-53.7</v>
      </c>
      <c r="M113" s="106">
        <v>-62</v>
      </c>
      <c r="N113" s="106">
        <v>-45</v>
      </c>
      <c r="O113" s="106">
        <v>-47.2</v>
      </c>
      <c r="P113" s="106">
        <v>-4.7</v>
      </c>
      <c r="Q113" s="106">
        <v>3.9</v>
      </c>
      <c r="R113" s="106">
        <v>7.1</v>
      </c>
      <c r="S113" s="106">
        <v>6.1</v>
      </c>
      <c r="T113" s="106">
        <v>-5.0999999999999996</v>
      </c>
      <c r="U113" s="106">
        <v>10.6</v>
      </c>
      <c r="V113" s="106">
        <v>-19.399999999999999</v>
      </c>
      <c r="W113" s="106">
        <v>-31.5</v>
      </c>
      <c r="X113" s="106">
        <v>-26.9</v>
      </c>
      <c r="Y113" s="106">
        <v>-18.3</v>
      </c>
      <c r="Z113" s="106">
        <v>-31.4</v>
      </c>
      <c r="AA113" s="106">
        <v>-40.5</v>
      </c>
      <c r="AB113" s="106">
        <v>-28</v>
      </c>
      <c r="AC113" s="106">
        <v>-33.1</v>
      </c>
      <c r="AD113" s="106">
        <v>-10</v>
      </c>
      <c r="AE113" s="106">
        <v>8.5</v>
      </c>
      <c r="AF113" s="106">
        <v>10.5</v>
      </c>
      <c r="AG113" s="119"/>
      <c r="AH113" s="47">
        <f t="shared" si="12"/>
        <v>15.1</v>
      </c>
      <c r="AI113" s="48">
        <f t="shared" si="13"/>
        <v>-62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27">SUM(B115:B219)</f>
        <v>0</v>
      </c>
      <c r="C220" s="136">
        <f t="shared" si="27"/>
        <v>0</v>
      </c>
      <c r="D220" s="136">
        <f t="shared" si="27"/>
        <v>0</v>
      </c>
      <c r="E220" s="136">
        <f t="shared" si="27"/>
        <v>0</v>
      </c>
      <c r="F220" s="136">
        <f t="shared" si="27"/>
        <v>0</v>
      </c>
      <c r="G220" s="136">
        <f t="shared" si="27"/>
        <v>0</v>
      </c>
      <c r="H220" s="136">
        <f t="shared" si="27"/>
        <v>0</v>
      </c>
      <c r="I220" s="136">
        <f t="shared" si="27"/>
        <v>0</v>
      </c>
      <c r="J220" s="136">
        <f t="shared" si="27"/>
        <v>0</v>
      </c>
      <c r="K220" s="136">
        <f t="shared" si="27"/>
        <v>0</v>
      </c>
      <c r="L220" s="136">
        <f t="shared" si="27"/>
        <v>0</v>
      </c>
      <c r="M220" s="136">
        <f t="shared" si="27"/>
        <v>0</v>
      </c>
      <c r="N220" s="136">
        <f t="shared" si="27"/>
        <v>0</v>
      </c>
      <c r="O220" s="136">
        <f t="shared" si="27"/>
        <v>0</v>
      </c>
      <c r="P220" s="136">
        <f t="shared" si="27"/>
        <v>0</v>
      </c>
      <c r="Q220" s="136">
        <f t="shared" si="27"/>
        <v>0</v>
      </c>
      <c r="R220" s="136">
        <f t="shared" si="27"/>
        <v>0</v>
      </c>
      <c r="S220" s="136">
        <f t="shared" si="27"/>
        <v>0</v>
      </c>
      <c r="T220" s="136">
        <f t="shared" si="27"/>
        <v>0</v>
      </c>
      <c r="U220" s="136">
        <f t="shared" si="27"/>
        <v>0</v>
      </c>
      <c r="V220" s="136">
        <f t="shared" si="27"/>
        <v>0</v>
      </c>
      <c r="W220" s="136">
        <f t="shared" si="27"/>
        <v>0</v>
      </c>
      <c r="X220" s="136">
        <f t="shared" si="27"/>
        <v>0</v>
      </c>
      <c r="Y220" s="136">
        <f t="shared" si="27"/>
        <v>0</v>
      </c>
      <c r="Z220" s="136">
        <f t="shared" si="27"/>
        <v>0</v>
      </c>
      <c r="AA220" s="136">
        <f t="shared" si="27"/>
        <v>0</v>
      </c>
      <c r="AB220" s="136">
        <f t="shared" si="27"/>
        <v>0</v>
      </c>
      <c r="AC220" s="136">
        <f t="shared" si="27"/>
        <v>0</v>
      </c>
      <c r="AD220" s="136">
        <f t="shared" si="27"/>
        <v>0</v>
      </c>
      <c r="AE220" s="136">
        <f t="shared" si="27"/>
        <v>0</v>
      </c>
      <c r="AF220" s="137">
        <f t="shared" si="27"/>
        <v>0</v>
      </c>
      <c r="AG220" s="138">
        <f t="shared" si="27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28">AF222</f>
        <v>0</v>
      </c>
      <c r="C222" s="140">
        <v>0.3</v>
      </c>
      <c r="D222" s="140">
        <f t="shared" ref="D222:P227" si="29">C222</f>
        <v>0.3</v>
      </c>
      <c r="E222" s="140">
        <f t="shared" si="29"/>
        <v>0.3</v>
      </c>
      <c r="F222" s="140">
        <f t="shared" si="29"/>
        <v>0.3</v>
      </c>
      <c r="G222" s="140">
        <f t="shared" si="29"/>
        <v>0.3</v>
      </c>
      <c r="H222" s="140">
        <f t="shared" si="29"/>
        <v>0.3</v>
      </c>
      <c r="I222" s="140">
        <f t="shared" si="29"/>
        <v>0.3</v>
      </c>
      <c r="J222" s="140">
        <f t="shared" si="29"/>
        <v>0.3</v>
      </c>
      <c r="K222" s="140">
        <f t="shared" si="29"/>
        <v>0.3</v>
      </c>
      <c r="L222" s="140">
        <f t="shared" si="29"/>
        <v>0.3</v>
      </c>
      <c r="M222" s="140">
        <f t="shared" si="29"/>
        <v>0.3</v>
      </c>
      <c r="N222" s="140">
        <f t="shared" si="29"/>
        <v>0.3</v>
      </c>
      <c r="O222" s="140">
        <f t="shared" si="29"/>
        <v>0.3</v>
      </c>
      <c r="P222" s="140">
        <f t="shared" si="29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28"/>
        <v>0</v>
      </c>
      <c r="C223" s="128">
        <v>0.4</v>
      </c>
      <c r="D223" s="128">
        <f t="shared" si="29"/>
        <v>0.4</v>
      </c>
      <c r="E223" s="128">
        <f t="shared" si="29"/>
        <v>0.4</v>
      </c>
      <c r="F223" s="128">
        <f t="shared" si="29"/>
        <v>0.4</v>
      </c>
      <c r="G223" s="128">
        <f t="shared" si="29"/>
        <v>0.4</v>
      </c>
      <c r="H223" s="128">
        <f t="shared" si="29"/>
        <v>0.4</v>
      </c>
      <c r="I223" s="128">
        <f t="shared" si="29"/>
        <v>0.4</v>
      </c>
      <c r="J223" s="128">
        <f t="shared" si="29"/>
        <v>0.4</v>
      </c>
      <c r="K223" s="128">
        <f t="shared" si="29"/>
        <v>0.4</v>
      </c>
      <c r="L223" s="128">
        <f t="shared" si="29"/>
        <v>0.4</v>
      </c>
      <c r="M223" s="128">
        <f t="shared" si="29"/>
        <v>0.4</v>
      </c>
      <c r="N223" s="128">
        <f t="shared" si="29"/>
        <v>0.4</v>
      </c>
      <c r="O223" s="128">
        <f t="shared" si="29"/>
        <v>0.4</v>
      </c>
      <c r="P223" s="128">
        <f t="shared" si="29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28"/>
        <v>0</v>
      </c>
      <c r="C224" s="128">
        <v>1.5</v>
      </c>
      <c r="D224" s="128">
        <f t="shared" si="29"/>
        <v>1.5</v>
      </c>
      <c r="E224" s="128">
        <f t="shared" si="29"/>
        <v>1.5</v>
      </c>
      <c r="F224" s="128">
        <f t="shared" si="29"/>
        <v>1.5</v>
      </c>
      <c r="G224" s="128">
        <f t="shared" si="29"/>
        <v>1.5</v>
      </c>
      <c r="H224" s="128">
        <f t="shared" si="29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29"/>
        <v>1.5</v>
      </c>
      <c r="K224" s="128">
        <f t="shared" ca="1" si="29"/>
        <v>1.5</v>
      </c>
      <c r="L224" s="128">
        <f t="shared" ca="1" si="29"/>
        <v>1.5</v>
      </c>
      <c r="M224" s="128">
        <f t="shared" ca="1" si="29"/>
        <v>1.5</v>
      </c>
      <c r="N224" s="128">
        <f t="shared" ca="1" si="29"/>
        <v>1.5</v>
      </c>
      <c r="O224" s="128">
        <f t="shared" ca="1" si="29"/>
        <v>1.5</v>
      </c>
      <c r="P224" s="128">
        <f t="shared" ca="1" si="29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28"/>
        <v>0</v>
      </c>
      <c r="C225" s="128">
        <v>0.3</v>
      </c>
      <c r="D225" s="128">
        <f t="shared" si="29"/>
        <v>0.3</v>
      </c>
      <c r="E225" s="128">
        <f t="shared" si="29"/>
        <v>0.3</v>
      </c>
      <c r="F225" s="128">
        <f t="shared" si="29"/>
        <v>0.3</v>
      </c>
      <c r="G225" s="128">
        <f t="shared" si="29"/>
        <v>0.3</v>
      </c>
      <c r="H225" s="128">
        <f t="shared" si="29"/>
        <v>0.3</v>
      </c>
      <c r="I225" s="128">
        <f t="shared" si="29"/>
        <v>0.3</v>
      </c>
      <c r="J225" s="128">
        <f t="shared" si="29"/>
        <v>0.3</v>
      </c>
      <c r="K225" s="128">
        <f t="shared" si="29"/>
        <v>0.3</v>
      </c>
      <c r="L225" s="128">
        <f t="shared" si="29"/>
        <v>0.3</v>
      </c>
      <c r="M225" s="128">
        <f t="shared" si="29"/>
        <v>0.3</v>
      </c>
      <c r="N225" s="128">
        <f t="shared" si="29"/>
        <v>0.3</v>
      </c>
      <c r="O225" s="128">
        <f t="shared" si="29"/>
        <v>0.3</v>
      </c>
      <c r="P225" s="128">
        <f t="shared" si="29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28"/>
        <v>0</v>
      </c>
      <c r="C226" s="128">
        <v>0.4</v>
      </c>
      <c r="D226" s="128">
        <f t="shared" si="29"/>
        <v>0.4</v>
      </c>
      <c r="E226" s="128">
        <f t="shared" si="29"/>
        <v>0.4</v>
      </c>
      <c r="F226" s="128">
        <f t="shared" si="29"/>
        <v>0.4</v>
      </c>
      <c r="G226" s="128">
        <f t="shared" si="29"/>
        <v>0.4</v>
      </c>
      <c r="H226" s="128">
        <f t="shared" si="29"/>
        <v>0.4</v>
      </c>
      <c r="I226" s="128">
        <f t="shared" si="29"/>
        <v>0.4</v>
      </c>
      <c r="J226" s="128">
        <f t="shared" si="29"/>
        <v>0.4</v>
      </c>
      <c r="K226" s="128">
        <f t="shared" si="29"/>
        <v>0.4</v>
      </c>
      <c r="L226" s="128">
        <f t="shared" si="29"/>
        <v>0.4</v>
      </c>
      <c r="M226" s="128">
        <f t="shared" si="29"/>
        <v>0.4</v>
      </c>
      <c r="N226" s="128">
        <f t="shared" si="29"/>
        <v>0.4</v>
      </c>
      <c r="O226" s="128">
        <f t="shared" si="29"/>
        <v>0.4</v>
      </c>
      <c r="P226" s="128">
        <f t="shared" si="29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28"/>
        <v>0</v>
      </c>
      <c r="C227" s="132">
        <v>0.64</v>
      </c>
      <c r="D227" s="132">
        <f t="shared" si="29"/>
        <v>0.64</v>
      </c>
      <c r="E227" s="132">
        <f t="shared" si="29"/>
        <v>0.64</v>
      </c>
      <c r="F227" s="132">
        <f t="shared" si="29"/>
        <v>0.64</v>
      </c>
      <c r="G227" s="132">
        <f t="shared" si="29"/>
        <v>0.64</v>
      </c>
      <c r="H227" s="132">
        <f t="shared" si="29"/>
        <v>0.64</v>
      </c>
      <c r="I227" s="132">
        <f t="shared" si="29"/>
        <v>0.64</v>
      </c>
      <c r="J227" s="132">
        <f t="shared" si="29"/>
        <v>0.64</v>
      </c>
      <c r="K227" s="132">
        <f t="shared" si="29"/>
        <v>0.64</v>
      </c>
      <c r="L227" s="132">
        <f t="shared" si="29"/>
        <v>0.64</v>
      </c>
      <c r="M227" s="132">
        <f t="shared" si="29"/>
        <v>0.64</v>
      </c>
      <c r="N227" s="132">
        <f t="shared" si="29"/>
        <v>0.64</v>
      </c>
      <c r="O227" s="132">
        <f t="shared" si="29"/>
        <v>0.64</v>
      </c>
      <c r="P227" s="132">
        <f t="shared" si="29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30">SUM(B222:B227)</f>
        <v>0</v>
      </c>
      <c r="C228" s="136">
        <f t="shared" si="30"/>
        <v>3.54</v>
      </c>
      <c r="D228" s="136">
        <f t="shared" si="30"/>
        <v>3.54</v>
      </c>
      <c r="E228" s="136">
        <f t="shared" si="30"/>
        <v>3.54</v>
      </c>
      <c r="F228" s="136">
        <f t="shared" si="30"/>
        <v>3.54</v>
      </c>
      <c r="G228" s="136">
        <f t="shared" si="30"/>
        <v>3.54</v>
      </c>
      <c r="H228" s="136">
        <f t="shared" si="30"/>
        <v>3.54</v>
      </c>
      <c r="I228" s="136">
        <f t="shared" ca="1" si="30"/>
        <v>3.54</v>
      </c>
      <c r="J228" s="136">
        <f t="shared" ca="1" si="30"/>
        <v>3.54</v>
      </c>
      <c r="K228" s="136">
        <f t="shared" ca="1" si="30"/>
        <v>3.54</v>
      </c>
      <c r="L228" s="136">
        <f t="shared" ca="1" si="30"/>
        <v>3.54</v>
      </c>
      <c r="M228" s="136">
        <f t="shared" ca="1" si="30"/>
        <v>3.54</v>
      </c>
      <c r="N228" s="136">
        <f t="shared" ca="1" si="30"/>
        <v>3.54</v>
      </c>
      <c r="O228" s="136">
        <f t="shared" ca="1" si="30"/>
        <v>3.54</v>
      </c>
      <c r="P228" s="136">
        <f t="shared" ca="1" si="30"/>
        <v>3.54</v>
      </c>
      <c r="Q228" s="136">
        <f t="shared" si="30"/>
        <v>0</v>
      </c>
      <c r="R228" s="136">
        <f t="shared" si="30"/>
        <v>0</v>
      </c>
      <c r="S228" s="136">
        <f t="shared" si="30"/>
        <v>0</v>
      </c>
      <c r="T228" s="136">
        <f t="shared" si="30"/>
        <v>0</v>
      </c>
      <c r="U228" s="136">
        <f t="shared" si="30"/>
        <v>0</v>
      </c>
      <c r="V228" s="136">
        <f t="shared" si="30"/>
        <v>0</v>
      </c>
      <c r="W228" s="136">
        <f t="shared" si="30"/>
        <v>0</v>
      </c>
      <c r="X228" s="136">
        <f t="shared" si="30"/>
        <v>0</v>
      </c>
      <c r="Y228" s="136">
        <f t="shared" si="30"/>
        <v>0</v>
      </c>
      <c r="Z228" s="136">
        <f t="shared" si="30"/>
        <v>0</v>
      </c>
      <c r="AA228" s="136">
        <f t="shared" si="30"/>
        <v>0</v>
      </c>
      <c r="AB228" s="136">
        <f t="shared" si="30"/>
        <v>0</v>
      </c>
      <c r="AC228" s="136">
        <f t="shared" si="30"/>
        <v>0</v>
      </c>
      <c r="AD228" s="136">
        <f t="shared" si="30"/>
        <v>0</v>
      </c>
      <c r="AE228" s="136">
        <f t="shared" si="30"/>
        <v>0</v>
      </c>
      <c r="AF228" s="136">
        <f t="shared" si="30"/>
        <v>0</v>
      </c>
      <c r="AG228" s="145">
        <f t="shared" si="30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1532.74</v>
      </c>
      <c r="C237" s="161">
        <f>INDEX(G9:N9,1,MATCH(MAX(G85:N85),G85:N85,0))</f>
        <v>0.3125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17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str">
        <f ca="1">"Pie Chart of Daily Peak Demand(Inclusive of Export) of Nepal ("&amp;A4&amp;" "&amp;B4&amp;")"</f>
        <v>Pie Chart of Daily Peak Demand(Inclusive of Export) of Nepal (Nepali Date: 2079/09/17)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2079/09/17)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31">B85</f>
        <v>1082.54</v>
      </c>
      <c r="U242" s="170">
        <f t="shared" si="31"/>
        <v>1057.2399999999998</v>
      </c>
      <c r="V242" s="170">
        <f t="shared" si="31"/>
        <v>1027.04</v>
      </c>
      <c r="W242" s="170">
        <f t="shared" si="31"/>
        <v>982.6400000000001</v>
      </c>
      <c r="X242" s="170">
        <f t="shared" si="31"/>
        <v>974.1400000000001</v>
      </c>
      <c r="Y242" s="170">
        <f t="shared" si="31"/>
        <v>992.6400000000001</v>
      </c>
      <c r="Z242" s="170">
        <f t="shared" si="31"/>
        <v>1174.1400000000001</v>
      </c>
      <c r="AA242" s="170">
        <f t="shared" si="31"/>
        <v>1241.3399999999999</v>
      </c>
      <c r="AB242" s="170">
        <f t="shared" si="31"/>
        <v>1359.54</v>
      </c>
      <c r="AC242" s="170">
        <f t="shared" si="31"/>
        <v>1425.34</v>
      </c>
      <c r="AD242" s="170">
        <f t="shared" si="31"/>
        <v>1532.74</v>
      </c>
      <c r="AE242" s="170">
        <f t="shared" si="31"/>
        <v>1509.64</v>
      </c>
      <c r="AF242" s="170">
        <f t="shared" si="31"/>
        <v>1388.44</v>
      </c>
      <c r="AG242" s="170">
        <f t="shared" si="31"/>
        <v>1374.24</v>
      </c>
      <c r="AH242" s="170">
        <f t="shared" si="31"/>
        <v>1214.04</v>
      </c>
      <c r="AI242" s="170">
        <f t="shared" si="31"/>
        <v>1316.04</v>
      </c>
      <c r="AJ242" s="170">
        <f t="shared" si="31"/>
        <v>1302.54</v>
      </c>
      <c r="AK242" s="170">
        <f t="shared" si="31"/>
        <v>1324.64</v>
      </c>
      <c r="AL242" s="170">
        <f t="shared" si="31"/>
        <v>1316.94</v>
      </c>
      <c r="AM242" s="170">
        <f t="shared" si="31"/>
        <v>1339.74</v>
      </c>
      <c r="AN242" s="170">
        <f t="shared" si="31"/>
        <v>1252.54</v>
      </c>
      <c r="AO242" s="170">
        <f t="shared" si="31"/>
        <v>1348.2399999999998</v>
      </c>
      <c r="AP242" s="170">
        <f t="shared" si="31"/>
        <v>1535.1399999999999</v>
      </c>
      <c r="AQ242" s="170">
        <f t="shared" si="31"/>
        <v>1605.3400000000001</v>
      </c>
      <c r="AR242" s="170">
        <f t="shared" si="31"/>
        <v>1563.65</v>
      </c>
      <c r="AS242" s="170">
        <f t="shared" si="31"/>
        <v>1455.36</v>
      </c>
      <c r="AT242" s="170">
        <f t="shared" si="31"/>
        <v>1435.35</v>
      </c>
      <c r="AU242" s="170">
        <f t="shared" si="31"/>
        <v>1413.1399999999999</v>
      </c>
      <c r="AV242" s="170">
        <f t="shared" si="31"/>
        <v>1347.44</v>
      </c>
      <c r="AW242" s="170">
        <f t="shared" si="31"/>
        <v>1182.4399999999998</v>
      </c>
      <c r="AX242" s="170">
        <f t="shared" si="31"/>
        <v>1113.94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32">C227</f>
        <v>0.64</v>
      </c>
      <c r="C263" s="173">
        <f t="shared" si="32"/>
        <v>0.64</v>
      </c>
      <c r="D263" s="173">
        <f t="shared" si="32"/>
        <v>0.64</v>
      </c>
      <c r="E263" s="173">
        <f t="shared" si="32"/>
        <v>0.64</v>
      </c>
      <c r="F263" s="173">
        <f t="shared" si="32"/>
        <v>0.64</v>
      </c>
      <c r="G263" s="173">
        <f t="shared" si="32"/>
        <v>0.64</v>
      </c>
      <c r="H263" s="173">
        <f t="shared" si="32"/>
        <v>0.64</v>
      </c>
      <c r="I263" s="173">
        <f t="shared" si="32"/>
        <v>0.64</v>
      </c>
      <c r="J263" s="173">
        <f t="shared" si="32"/>
        <v>0.64</v>
      </c>
      <c r="K263" s="173">
        <f t="shared" si="32"/>
        <v>0.64</v>
      </c>
      <c r="L263" s="173">
        <f t="shared" si="32"/>
        <v>0.64</v>
      </c>
      <c r="M263" s="173">
        <f t="shared" si="32"/>
        <v>0.64</v>
      </c>
      <c r="N263" s="173">
        <f t="shared" si="32"/>
        <v>0.64</v>
      </c>
      <c r="O263" s="173">
        <f t="shared" si="32"/>
        <v>0.64</v>
      </c>
      <c r="P263" s="173">
        <f t="shared" si="32"/>
        <v>0</v>
      </c>
      <c r="Q263" s="173">
        <f t="shared" si="32"/>
        <v>0</v>
      </c>
      <c r="R263" s="173">
        <f t="shared" si="32"/>
        <v>0</v>
      </c>
      <c r="S263" s="173">
        <f t="shared" si="32"/>
        <v>0</v>
      </c>
      <c r="T263" s="173">
        <f t="shared" si="32"/>
        <v>0</v>
      </c>
      <c r="U263" s="173">
        <f t="shared" si="32"/>
        <v>0</v>
      </c>
      <c r="V263" s="173">
        <f t="shared" si="32"/>
        <v>0</v>
      </c>
      <c r="W263" s="173">
        <f t="shared" si="32"/>
        <v>0</v>
      </c>
      <c r="X263" s="173">
        <f t="shared" si="32"/>
        <v>0</v>
      </c>
      <c r="Y263" s="173">
        <f t="shared" si="32"/>
        <v>0</v>
      </c>
      <c r="Z263" s="173">
        <f t="shared" si="32"/>
        <v>0</v>
      </c>
      <c r="AA263" s="173">
        <f t="shared" si="32"/>
        <v>0</v>
      </c>
      <c r="AB263" s="173">
        <f t="shared" si="32"/>
        <v>0</v>
      </c>
      <c r="AC263" s="173">
        <f t="shared" si="32"/>
        <v>0</v>
      </c>
      <c r="AD263" s="173">
        <f t="shared" si="32"/>
        <v>0</v>
      </c>
      <c r="AE263" s="173">
        <f t="shared" si="32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33">IF(B231&lt;100,"",B231-520)</f>
        <v/>
      </c>
      <c r="C264" s="174" t="str">
        <f t="shared" si="33"/>
        <v/>
      </c>
      <c r="D264" s="174" t="str">
        <f t="shared" si="33"/>
        <v/>
      </c>
      <c r="E264" s="174" t="str">
        <f t="shared" si="33"/>
        <v/>
      </c>
      <c r="F264" s="174" t="str">
        <f t="shared" si="33"/>
        <v/>
      </c>
      <c r="G264" s="174" t="str">
        <f t="shared" si="33"/>
        <v/>
      </c>
      <c r="H264" s="174" t="str">
        <f t="shared" si="33"/>
        <v/>
      </c>
      <c r="I264" s="174" t="str">
        <f t="shared" si="33"/>
        <v/>
      </c>
      <c r="J264" s="174" t="str">
        <f t="shared" si="33"/>
        <v/>
      </c>
      <c r="K264" s="174" t="str">
        <f t="shared" si="33"/>
        <v/>
      </c>
      <c r="L264" s="174" t="str">
        <f t="shared" si="33"/>
        <v/>
      </c>
      <c r="M264" s="174" t="str">
        <f t="shared" si="33"/>
        <v/>
      </c>
      <c r="N264" s="174" t="str">
        <f t="shared" si="33"/>
        <v/>
      </c>
      <c r="O264" s="174" t="str">
        <f t="shared" si="33"/>
        <v/>
      </c>
      <c r="P264" s="174" t="str">
        <f t="shared" si="33"/>
        <v/>
      </c>
      <c r="Q264" s="174" t="str">
        <f t="shared" si="33"/>
        <v/>
      </c>
      <c r="R264" s="174" t="str">
        <f t="shared" si="33"/>
        <v/>
      </c>
      <c r="S264" s="174" t="str">
        <f t="shared" si="33"/>
        <v/>
      </c>
      <c r="T264" s="174" t="str">
        <f t="shared" si="33"/>
        <v/>
      </c>
      <c r="U264" s="174" t="str">
        <f t="shared" si="33"/>
        <v/>
      </c>
      <c r="V264" s="174" t="str">
        <f t="shared" si="33"/>
        <v/>
      </c>
      <c r="W264" s="174" t="str">
        <f t="shared" si="33"/>
        <v/>
      </c>
      <c r="X264" s="174" t="str">
        <f t="shared" si="33"/>
        <v/>
      </c>
      <c r="Y264" s="174" t="str">
        <f t="shared" si="33"/>
        <v/>
      </c>
      <c r="Z264" s="174" t="str">
        <f t="shared" si="33"/>
        <v/>
      </c>
      <c r="AA264" s="174" t="str">
        <f t="shared" si="33"/>
        <v/>
      </c>
      <c r="AB264" s="174" t="str">
        <f t="shared" si="33"/>
        <v/>
      </c>
      <c r="AC264" s="174" t="str">
        <f t="shared" si="33"/>
        <v/>
      </c>
      <c r="AD264" s="174" t="str">
        <f t="shared" si="33"/>
        <v/>
      </c>
      <c r="AE264" s="174" t="str">
        <f t="shared" si="33"/>
        <v/>
      </c>
      <c r="AF264" s="174" t="str">
        <f t="shared" si="33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34">IF(B232&lt;100,"",B232-620)</f>
        <v/>
      </c>
      <c r="C265" s="174" t="str">
        <f t="shared" si="34"/>
        <v/>
      </c>
      <c r="D265" s="174" t="str">
        <f t="shared" si="34"/>
        <v/>
      </c>
      <c r="E265" s="174" t="str">
        <f t="shared" si="34"/>
        <v/>
      </c>
      <c r="F265" s="174" t="str">
        <f t="shared" si="34"/>
        <v/>
      </c>
      <c r="G265" s="174" t="str">
        <f t="shared" si="34"/>
        <v/>
      </c>
      <c r="H265" s="174" t="str">
        <f t="shared" si="34"/>
        <v/>
      </c>
      <c r="I265" s="174" t="str">
        <f t="shared" si="34"/>
        <v/>
      </c>
      <c r="J265" s="174" t="str">
        <f t="shared" si="34"/>
        <v/>
      </c>
      <c r="K265" s="174" t="str">
        <f t="shared" si="34"/>
        <v/>
      </c>
      <c r="L265" s="174" t="str">
        <f t="shared" si="34"/>
        <v/>
      </c>
      <c r="M265" s="174" t="str">
        <f t="shared" si="34"/>
        <v/>
      </c>
      <c r="N265" s="174" t="str">
        <f t="shared" si="34"/>
        <v/>
      </c>
      <c r="O265" s="174" t="str">
        <f t="shared" si="34"/>
        <v/>
      </c>
      <c r="P265" s="174" t="str">
        <f t="shared" si="34"/>
        <v/>
      </c>
      <c r="Q265" s="174" t="str">
        <f t="shared" si="34"/>
        <v/>
      </c>
      <c r="R265" s="174" t="str">
        <f t="shared" si="34"/>
        <v/>
      </c>
      <c r="S265" s="174" t="str">
        <f t="shared" si="34"/>
        <v/>
      </c>
      <c r="T265" s="174" t="str">
        <f t="shared" si="34"/>
        <v/>
      </c>
      <c r="U265" s="174" t="str">
        <f t="shared" si="34"/>
        <v/>
      </c>
      <c r="V265" s="174" t="str">
        <f t="shared" si="34"/>
        <v/>
      </c>
      <c r="W265" s="174" t="str">
        <f t="shared" si="34"/>
        <v/>
      </c>
      <c r="X265" s="174" t="str">
        <f t="shared" si="34"/>
        <v/>
      </c>
      <c r="Y265" s="174" t="str">
        <f t="shared" si="34"/>
        <v/>
      </c>
      <c r="Z265" s="174" t="str">
        <f t="shared" si="34"/>
        <v/>
      </c>
      <c r="AA265" s="174" t="str">
        <f t="shared" si="34"/>
        <v/>
      </c>
      <c r="AB265" s="174" t="str">
        <f t="shared" si="34"/>
        <v/>
      </c>
      <c r="AC265" s="174" t="str">
        <f t="shared" si="34"/>
        <v/>
      </c>
      <c r="AD265" s="174" t="str">
        <f t="shared" si="34"/>
        <v/>
      </c>
      <c r="AE265" s="174" t="str">
        <f t="shared" si="34"/>
        <v/>
      </c>
      <c r="AF265" s="174" t="str">
        <f t="shared" si="34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35">IF(B233&lt;100,"",B233-330)</f>
        <v/>
      </c>
      <c r="C266" s="174" t="str">
        <f t="shared" si="35"/>
        <v/>
      </c>
      <c r="D266" s="174" t="str">
        <f t="shared" si="35"/>
        <v/>
      </c>
      <c r="E266" s="174" t="str">
        <f t="shared" si="35"/>
        <v/>
      </c>
      <c r="F266" s="174" t="str">
        <f t="shared" si="35"/>
        <v/>
      </c>
      <c r="G266" s="174" t="str">
        <f t="shared" si="35"/>
        <v/>
      </c>
      <c r="H266" s="174" t="str">
        <f t="shared" si="35"/>
        <v/>
      </c>
      <c r="I266" s="174" t="str">
        <f t="shared" si="35"/>
        <v/>
      </c>
      <c r="J266" s="174" t="str">
        <f t="shared" si="35"/>
        <v/>
      </c>
      <c r="K266" s="174" t="str">
        <f t="shared" si="35"/>
        <v/>
      </c>
      <c r="L266" s="174" t="str">
        <f t="shared" si="35"/>
        <v/>
      </c>
      <c r="M266" s="174" t="str">
        <f t="shared" si="35"/>
        <v/>
      </c>
      <c r="N266" s="174" t="str">
        <f t="shared" si="35"/>
        <v/>
      </c>
      <c r="O266" s="174" t="str">
        <f t="shared" si="35"/>
        <v/>
      </c>
      <c r="P266" s="174" t="str">
        <f t="shared" si="35"/>
        <v/>
      </c>
      <c r="Q266" s="174" t="str">
        <f t="shared" si="35"/>
        <v/>
      </c>
      <c r="R266" s="174" t="str">
        <f t="shared" si="35"/>
        <v/>
      </c>
      <c r="S266" s="174" t="str">
        <f t="shared" si="35"/>
        <v/>
      </c>
      <c r="T266" s="174" t="str">
        <f t="shared" si="35"/>
        <v/>
      </c>
      <c r="U266" s="174" t="str">
        <f t="shared" si="35"/>
        <v/>
      </c>
      <c r="V266" s="174" t="str">
        <f t="shared" si="35"/>
        <v/>
      </c>
      <c r="W266" s="174" t="str">
        <f t="shared" si="35"/>
        <v/>
      </c>
      <c r="X266" s="174" t="str">
        <f t="shared" si="35"/>
        <v/>
      </c>
      <c r="Y266" s="174" t="str">
        <f t="shared" si="35"/>
        <v/>
      </c>
      <c r="Z266" s="174" t="str">
        <f t="shared" si="35"/>
        <v/>
      </c>
      <c r="AA266" s="174" t="str">
        <f t="shared" si="35"/>
        <v/>
      </c>
      <c r="AB266" s="174" t="str">
        <f t="shared" si="35"/>
        <v/>
      </c>
      <c r="AC266" s="174" t="str">
        <f t="shared" si="35"/>
        <v/>
      </c>
      <c r="AD266" s="174" t="str">
        <f t="shared" si="35"/>
        <v/>
      </c>
      <c r="AE266" s="174" t="str">
        <f t="shared" si="35"/>
        <v/>
      </c>
      <c r="AF266" s="174" t="str">
        <f t="shared" si="35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36">IF(B234&lt;100,"",B234-1500)</f>
        <v/>
      </c>
      <c r="C267" s="174" t="str">
        <f t="shared" si="36"/>
        <v/>
      </c>
      <c r="D267" s="174" t="str">
        <f t="shared" si="36"/>
        <v/>
      </c>
      <c r="E267" s="174" t="str">
        <f t="shared" si="36"/>
        <v/>
      </c>
      <c r="F267" s="174" t="str">
        <f t="shared" si="36"/>
        <v/>
      </c>
      <c r="G267" s="174" t="str">
        <f t="shared" si="36"/>
        <v/>
      </c>
      <c r="H267" s="174" t="str">
        <f t="shared" si="36"/>
        <v/>
      </c>
      <c r="I267" s="174" t="str">
        <f t="shared" si="36"/>
        <v/>
      </c>
      <c r="J267" s="174" t="str">
        <f t="shared" si="36"/>
        <v/>
      </c>
      <c r="K267" s="174" t="str">
        <f t="shared" si="36"/>
        <v/>
      </c>
      <c r="L267" s="174" t="str">
        <f t="shared" si="36"/>
        <v/>
      </c>
      <c r="M267" s="174" t="str">
        <f t="shared" si="36"/>
        <v/>
      </c>
      <c r="N267" s="174" t="str">
        <f t="shared" si="36"/>
        <v/>
      </c>
      <c r="O267" s="174" t="str">
        <f t="shared" si="36"/>
        <v/>
      </c>
      <c r="P267" s="174" t="str">
        <f t="shared" si="36"/>
        <v/>
      </c>
      <c r="Q267" s="174" t="str">
        <f t="shared" si="36"/>
        <v/>
      </c>
      <c r="R267" s="174" t="str">
        <f t="shared" si="36"/>
        <v/>
      </c>
      <c r="S267" s="174" t="str">
        <f t="shared" si="36"/>
        <v/>
      </c>
      <c r="T267" s="174" t="str">
        <f t="shared" si="36"/>
        <v/>
      </c>
      <c r="U267" s="174" t="str">
        <f t="shared" si="36"/>
        <v/>
      </c>
      <c r="V267" s="174" t="str">
        <f t="shared" si="36"/>
        <v/>
      </c>
      <c r="W267" s="174" t="str">
        <f t="shared" si="36"/>
        <v/>
      </c>
      <c r="X267" s="174" t="str">
        <f t="shared" si="36"/>
        <v/>
      </c>
      <c r="Y267" s="174" t="str">
        <f t="shared" si="36"/>
        <v/>
      </c>
      <c r="Z267" s="174" t="str">
        <f t="shared" si="36"/>
        <v/>
      </c>
      <c r="AA267" s="174" t="str">
        <f t="shared" si="36"/>
        <v/>
      </c>
      <c r="AB267" s="174" t="str">
        <f t="shared" si="36"/>
        <v/>
      </c>
      <c r="AC267" s="174" t="str">
        <f t="shared" si="36"/>
        <v/>
      </c>
      <c r="AD267" s="174" t="str">
        <f t="shared" si="36"/>
        <v/>
      </c>
      <c r="AE267" s="174" t="str">
        <f t="shared" si="36"/>
        <v/>
      </c>
      <c r="AF267" s="174" t="str">
        <f t="shared" si="36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2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5:AF105 D107:AF112 Y11:AF41">
    <cfRule type="expression" dxfId="5162" priority="323">
      <formula>B$9&gt;=20/24</formula>
    </cfRule>
    <cfRule type="expression" dxfId="5161" priority="324">
      <formula>AND(B$9&gt;=14/24,B$9&lt;20/24)</formula>
    </cfRule>
    <cfRule type="expression" dxfId="5160" priority="325">
      <formula>AND(B$9&gt;=8/24,B$9&lt;14/24)</formula>
    </cfRule>
    <cfRule type="expression" dxfId="5159" priority="326">
      <formula>B$9&lt;8/24</formula>
    </cfRule>
  </conditionalFormatting>
  <conditionalFormatting sqref="AL4:AL6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AG61 Y11:AF41">
    <cfRule type="expression" dxfId="5158" priority="321">
      <formula>Y11&gt;$AG11</formula>
    </cfRule>
  </conditionalFormatting>
  <conditionalFormatting sqref="A95:A105 A55:A82 A91:A93 A198:A228 A42:A53 A114:A185 A38:A39 A87:A89 A84:A85 A107:A109 A35:A36 A17:A18 A11:A15 A20:A33">
    <cfRule type="expression" dxfId="5157" priority="320">
      <formula>$AH11=0</formula>
    </cfRule>
  </conditionalFormatting>
  <conditionalFormatting sqref="A110">
    <cfRule type="expression" dxfId="5156" priority="319">
      <formula>$AH110=0</formula>
    </cfRule>
  </conditionalFormatting>
  <conditionalFormatting sqref="AL39">
    <cfRule type="iconSet" priority="318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5155" priority="317">
      <formula>$AH41=0</formula>
    </cfRule>
  </conditionalFormatting>
  <conditionalFormatting sqref="A94">
    <cfRule type="expression" dxfId="5154" priority="316">
      <formula>$AH94=0</formula>
    </cfRule>
  </conditionalFormatting>
  <conditionalFormatting sqref="A16">
    <cfRule type="expression" dxfId="5153" priority="315">
      <formula>$AH16=0</formula>
    </cfRule>
  </conditionalFormatting>
  <conditionalFormatting sqref="A192:A197">
    <cfRule type="expression" dxfId="5152" priority="314">
      <formula>$AH192=0</formula>
    </cfRule>
  </conditionalFormatting>
  <conditionalFormatting sqref="A186:A191">
    <cfRule type="expression" dxfId="5151" priority="313">
      <formula>$AH186=0</formula>
    </cfRule>
  </conditionalFormatting>
  <conditionalFormatting sqref="A54">
    <cfRule type="expression" dxfId="5150" priority="312">
      <formula>$AH54=0</formula>
    </cfRule>
  </conditionalFormatting>
  <conditionalFormatting sqref="A90">
    <cfRule type="expression" dxfId="5149" priority="311">
      <formula>$AH90=0</formula>
    </cfRule>
  </conditionalFormatting>
  <conditionalFormatting sqref="AD95:AF95 E95:X95">
    <cfRule type="expression" dxfId="5148" priority="307">
      <formula>E$9&gt;=20/24</formula>
    </cfRule>
    <cfRule type="expression" dxfId="5147" priority="308">
      <formula>AND(E$9&gt;=14/24,E$9&lt;20/24)</formula>
    </cfRule>
    <cfRule type="expression" dxfId="5146" priority="309">
      <formula>AND(E$9&gt;=8/24,E$9&lt;14/24)</formula>
    </cfRule>
    <cfRule type="expression" dxfId="5145" priority="310">
      <formula>E$9&lt;8/24</formula>
    </cfRule>
  </conditionalFormatting>
  <conditionalFormatting sqref="AL40">
    <cfRule type="iconSet" priority="30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144" priority="329">
      <formula>C$9&gt;=20/24</formula>
    </cfRule>
    <cfRule type="expression" dxfId="5143" priority="330">
      <formula>AND(C$9&gt;=14/24,C$9&lt;20/24)</formula>
    </cfRule>
    <cfRule type="expression" dxfId="5142" priority="331">
      <formula>AND(C$9&gt;=8/24,C$9&lt;14/24)</formula>
    </cfRule>
    <cfRule type="expression" dxfId="5141" priority="332">
      <formula>C$9&lt;8/24</formula>
    </cfRule>
  </conditionalFormatting>
  <conditionalFormatting sqref="A229">
    <cfRule type="expression" dxfId="5140" priority="333">
      <formula>$AH229=0</formula>
    </cfRule>
  </conditionalFormatting>
  <conditionalFormatting sqref="AG241">
    <cfRule type="expression" dxfId="5139" priority="334">
      <formula>B$9&gt;=20/24</formula>
    </cfRule>
    <cfRule type="expression" dxfId="5138" priority="335">
      <formula>AND(B$9&gt;=14/24,B$9&lt;20/24)</formula>
    </cfRule>
    <cfRule type="expression" dxfId="5137" priority="336">
      <formula>AND(B$9&gt;=8/24,B$9&lt;14/24)</formula>
    </cfRule>
    <cfRule type="expression" dxfId="5136" priority="337">
      <formula>B$9&lt;8/24</formula>
    </cfRule>
  </conditionalFormatting>
  <conditionalFormatting sqref="S8">
    <cfRule type="expression" dxfId="5135" priority="302">
      <formula>U$9&gt;=20/24</formula>
    </cfRule>
    <cfRule type="expression" dxfId="5134" priority="303">
      <formula>AND(U$9&gt;=14/24,U$9&lt;20/24)</formula>
    </cfRule>
    <cfRule type="expression" dxfId="5133" priority="304">
      <formula>AND(U$9&gt;=8/24,U$9&lt;14/24)</formula>
    </cfRule>
    <cfRule type="expression" dxfId="5132" priority="305">
      <formula>U$9&lt;8/24</formula>
    </cfRule>
  </conditionalFormatting>
  <conditionalFormatting sqref="AB8">
    <cfRule type="expression" dxfId="5131" priority="298">
      <formula>AD$9&gt;=20/24</formula>
    </cfRule>
    <cfRule type="expression" dxfId="5130" priority="299">
      <formula>AND(AD$9&gt;=14/24,AD$9&lt;20/24)</formula>
    </cfRule>
    <cfRule type="expression" dxfId="5129" priority="300">
      <formula>AND(AD$9&gt;=8/24,AD$9&lt;14/24)</formula>
    </cfRule>
    <cfRule type="expression" dxfId="5128" priority="301">
      <formula>AD$9&lt;8/24</formula>
    </cfRule>
  </conditionalFormatting>
  <conditionalFormatting sqref="AH241:AX241">
    <cfRule type="expression" dxfId="5127" priority="338">
      <formula>AG$9&gt;=20/24</formula>
    </cfRule>
    <cfRule type="expression" dxfId="5126" priority="339">
      <formula>AND(AG$9&gt;=14/24,AG$9&lt;20/24)</formula>
    </cfRule>
    <cfRule type="expression" dxfId="5125" priority="340">
      <formula>AND(AG$9&gt;=8/24,AG$9&lt;14/24)</formula>
    </cfRule>
    <cfRule type="expression" dxfId="5124" priority="341">
      <formula>AG$9&lt;8/24</formula>
    </cfRule>
  </conditionalFormatting>
  <conditionalFormatting sqref="T241">
    <cfRule type="expression" dxfId="5123" priority="342">
      <formula>AX$9&gt;=20/24</formula>
    </cfRule>
    <cfRule type="expression" dxfId="5122" priority="343">
      <formula>AND(AX$9&gt;=14/24,AX$9&lt;20/24)</formula>
    </cfRule>
    <cfRule type="expression" dxfId="5121" priority="344">
      <formula>AND(AX$9&gt;=8/24,AX$9&lt;14/24)</formula>
    </cfRule>
    <cfRule type="expression" dxfId="5120" priority="345">
      <formula>AX$9&lt;8/24</formula>
    </cfRule>
  </conditionalFormatting>
  <conditionalFormatting sqref="A111:A112">
    <cfRule type="expression" dxfId="5119" priority="297">
      <formula>$AH111=0</formula>
    </cfRule>
  </conditionalFormatting>
  <conditionalFormatting sqref="X52:Y52 M50:T56 Y53 U55:X56 AB50:AC51 Z52:AC53 H67:AF67 AD50:AF53">
    <cfRule type="expression" dxfId="5118" priority="293">
      <formula>H$9&gt;=20/24</formula>
    </cfRule>
    <cfRule type="expression" dxfId="5117" priority="294">
      <formula>AND(H$9&gt;=14/24,H$9&lt;20/24)</formula>
    </cfRule>
    <cfRule type="expression" dxfId="5116" priority="295">
      <formula>AND(H$9&gt;=8/24,H$9&lt;14/24)</formula>
    </cfRule>
    <cfRule type="expression" dxfId="5115" priority="296">
      <formula>H$9&lt;8/24</formula>
    </cfRule>
  </conditionalFormatting>
  <conditionalFormatting sqref="M49:T49 AB49:AF49">
    <cfRule type="expression" dxfId="5114" priority="289">
      <formula>M$9&gt;=20/24</formula>
    </cfRule>
    <cfRule type="expression" dxfId="5113" priority="290">
      <formula>AND(M$9&gt;=14/24,M$9&lt;20/24)</formula>
    </cfRule>
    <cfRule type="expression" dxfId="5112" priority="291">
      <formula>AND(M$9&gt;=8/24,M$9&lt;14/24)</formula>
    </cfRule>
    <cfRule type="expression" dxfId="5111" priority="292">
      <formula>M$9&lt;8/24</formula>
    </cfRule>
  </conditionalFormatting>
  <conditionalFormatting sqref="X52:Y52 M49:T56 Y53 U55:X56 AB49:AC51 Z52:AC53 AD49:AF53">
    <cfRule type="expression" dxfId="5110" priority="288">
      <formula>M49&gt;$AG49</formula>
    </cfRule>
  </conditionalFormatting>
  <conditionalFormatting sqref="D82:AF82 X70:AA70 X43:AF43 X92:AF92 AD96:AF102 M96:X102 H68:AA69 X63:AF65 AB68:AF70">
    <cfRule type="expression" dxfId="5109" priority="284">
      <formula>D$9&gt;=20/24</formula>
    </cfRule>
    <cfRule type="expression" dxfId="5108" priority="285">
      <formula>AND(D$9&gt;=14/24,D$9&lt;20/24)</formula>
    </cfRule>
    <cfRule type="expression" dxfId="5107" priority="286">
      <formula>AND(D$9&gt;=8/24,D$9&lt;14/24)</formula>
    </cfRule>
    <cfRule type="expression" dxfId="5106" priority="287">
      <formula>D$9&lt;8/24</formula>
    </cfRule>
  </conditionalFormatting>
  <conditionalFormatting sqref="X43:AF43 X63:AF65">
    <cfRule type="expression" dxfId="5105" priority="283">
      <formula>X43&gt;$AG43</formula>
    </cfRule>
  </conditionalFormatting>
  <conditionalFormatting sqref="U52:W54 X53:X54 U49:AA51">
    <cfRule type="expression" dxfId="5104" priority="279">
      <formula>U$9&gt;=20/24</formula>
    </cfRule>
    <cfRule type="expression" dxfId="5103" priority="280">
      <formula>AND(U$9&gt;=14/24,U$9&lt;20/24)</formula>
    </cfRule>
    <cfRule type="expression" dxfId="5102" priority="281">
      <formula>AND(U$9&gt;=8/24,U$9&lt;14/24)</formula>
    </cfRule>
    <cfRule type="expression" dxfId="5101" priority="282">
      <formula>U$9&lt;8/24</formula>
    </cfRule>
  </conditionalFormatting>
  <conditionalFormatting sqref="U52:W54 X53:X54 U49:AA51">
    <cfRule type="expression" dxfId="5100" priority="278">
      <formula>U49&gt;$AG49</formula>
    </cfRule>
  </conditionalFormatting>
  <conditionalFormatting sqref="C93:AF93 C84:AF84">
    <cfRule type="expression" dxfId="5099" priority="274">
      <formula>C$9&gt;=20/24</formula>
    </cfRule>
    <cfRule type="expression" dxfId="5098" priority="275">
      <formula>AND(C$9&gt;=14/24,C$9&lt;20/24)</formula>
    </cfRule>
    <cfRule type="expression" dxfId="5097" priority="276">
      <formula>AND(C$9&gt;=8/24,C$9&lt;14/24)</formula>
    </cfRule>
    <cfRule type="expression" dxfId="5096" priority="277">
      <formula>C$9&lt;8/24</formula>
    </cfRule>
  </conditionalFormatting>
  <conditionalFormatting sqref="T43:W43">
    <cfRule type="expression" dxfId="5095" priority="270">
      <formula>T$9&gt;=20/24</formula>
    </cfRule>
    <cfRule type="expression" dxfId="5094" priority="271">
      <formula>AND(T$9&gt;=14/24,T$9&lt;20/24)</formula>
    </cfRule>
    <cfRule type="expression" dxfId="5093" priority="272">
      <formula>AND(T$9&gt;=8/24,T$9&lt;14/24)</formula>
    </cfRule>
    <cfRule type="expression" dxfId="5092" priority="273">
      <formula>T$9&lt;8/24</formula>
    </cfRule>
  </conditionalFormatting>
  <conditionalFormatting sqref="T43:W43">
    <cfRule type="expression" dxfId="5091" priority="269">
      <formula>T43&gt;$AG43</formula>
    </cfRule>
  </conditionalFormatting>
  <conditionalFormatting sqref="K50:L51 Y42:AF42">
    <cfRule type="expression" dxfId="5090" priority="265">
      <formula>K$9&gt;=20/24</formula>
    </cfRule>
    <cfRule type="expression" dxfId="5089" priority="266">
      <formula>AND(K$9&gt;=14/24,K$9&lt;20/24)</formula>
    </cfRule>
    <cfRule type="expression" dxfId="5088" priority="267">
      <formula>AND(K$9&gt;=8/24,K$9&lt;14/24)</formula>
    </cfRule>
    <cfRule type="expression" dxfId="5087" priority="268">
      <formula>K$9&lt;8/24</formula>
    </cfRule>
  </conditionalFormatting>
  <conditionalFormatting sqref="K49:L49">
    <cfRule type="expression" dxfId="5086" priority="261">
      <formula>K$9&gt;=20/24</formula>
    </cfRule>
    <cfRule type="expression" dxfId="5085" priority="262">
      <formula>AND(K$9&gt;=14/24,K$9&lt;20/24)</formula>
    </cfRule>
    <cfRule type="expression" dxfId="5084" priority="263">
      <formula>AND(K$9&gt;=8/24,K$9&lt;14/24)</formula>
    </cfRule>
    <cfRule type="expression" dxfId="5083" priority="264">
      <formula>K$9&lt;8/24</formula>
    </cfRule>
  </conditionalFormatting>
  <conditionalFormatting sqref="K49:L51 Y42:AF42">
    <cfRule type="expression" dxfId="5082" priority="260">
      <formula>K42&gt;$AG42</formula>
    </cfRule>
  </conditionalFormatting>
  <conditionalFormatting sqref="AG66 AG83 E96:L102 Q63:W65">
    <cfRule type="expression" dxfId="5081" priority="256">
      <formula>E$9&gt;=20/24</formula>
    </cfRule>
    <cfRule type="expression" dxfId="5080" priority="257">
      <formula>AND(E$9&gt;=14/24,E$9&lt;20/24)</formula>
    </cfRule>
    <cfRule type="expression" dxfId="5079" priority="258">
      <formula>AND(E$9&gt;=8/24,E$9&lt;14/24)</formula>
    </cfRule>
    <cfRule type="expression" dxfId="5078" priority="259">
      <formula>E$9&lt;8/24</formula>
    </cfRule>
  </conditionalFormatting>
  <conditionalFormatting sqref="AG44 AG62 AG66 Q63:W65">
    <cfRule type="expression" dxfId="5077" priority="255">
      <formula>Q44&gt;$AG44</formula>
    </cfRule>
  </conditionalFormatting>
  <conditionalFormatting sqref="Y54:AF54">
    <cfRule type="expression" dxfId="5076" priority="251">
      <formula>Y$9&gt;=20/24</formula>
    </cfRule>
    <cfRule type="expression" dxfId="5075" priority="252">
      <formula>AND(Y$9&gt;=14/24,Y$9&lt;20/24)</formula>
    </cfRule>
    <cfRule type="expression" dxfId="5074" priority="253">
      <formula>AND(Y$9&gt;=8/24,Y$9&lt;14/24)</formula>
    </cfRule>
    <cfRule type="expression" dxfId="5073" priority="254">
      <formula>Y$9&lt;8/24</formula>
    </cfRule>
  </conditionalFormatting>
  <conditionalFormatting sqref="Y54:AF54">
    <cfRule type="expression" dxfId="5072" priority="250">
      <formula>Y54&gt;$AG54</formula>
    </cfRule>
  </conditionalFormatting>
  <conditionalFormatting sqref="A40">
    <cfRule type="expression" dxfId="5071" priority="249">
      <formula>$AH40=0</formula>
    </cfRule>
  </conditionalFormatting>
  <conditionalFormatting sqref="X87:AF91">
    <cfRule type="expression" dxfId="5070" priority="245">
      <formula>X$9&gt;=20/24</formula>
    </cfRule>
    <cfRule type="expression" dxfId="5069" priority="246">
      <formula>AND(X$9&gt;=14/24,X$9&lt;20/24)</formula>
    </cfRule>
    <cfRule type="expression" dxfId="5068" priority="247">
      <formula>AND(X$9&gt;=8/24,X$9&lt;14/24)</formula>
    </cfRule>
    <cfRule type="expression" dxfId="5067" priority="248">
      <formula>X$9&lt;8/24</formula>
    </cfRule>
  </conditionalFormatting>
  <conditionalFormatting sqref="AL41 AL38 AL20:AL33 AL35:AL36 AL7:AL18">
    <cfRule type="iconSet" priority="346">
      <iconSet iconSet="3TrafficLights2" reverse="1">
        <cfvo type="percent" val="0"/>
        <cfvo type="num" val="1"/>
        <cfvo type="num" val="1"/>
      </iconSet>
    </cfRule>
  </conditionalFormatting>
  <conditionalFormatting sqref="E45:R45 J46:R47 S45:AF47">
    <cfRule type="expression" dxfId="5066" priority="241">
      <formula>E$9&gt;=20/24</formula>
    </cfRule>
    <cfRule type="expression" dxfId="5065" priority="242">
      <formula>AND(E$9&gt;=14/24,E$9&lt;20/24)</formula>
    </cfRule>
    <cfRule type="expression" dxfId="5064" priority="243">
      <formula>AND(E$9&gt;=8/24,E$9&lt;14/24)</formula>
    </cfRule>
    <cfRule type="expression" dxfId="5063" priority="244">
      <formula>E$9&lt;8/24</formula>
    </cfRule>
  </conditionalFormatting>
  <conditionalFormatting sqref="E45:R45 J46:R47 S45:AF47">
    <cfRule type="expression" dxfId="5062" priority="240">
      <formula>E45&gt;$AG45</formula>
    </cfRule>
  </conditionalFormatting>
  <conditionalFormatting sqref="AG48">
    <cfRule type="expression" dxfId="5061" priority="236">
      <formula>AG$9&gt;=20/24</formula>
    </cfRule>
    <cfRule type="expression" dxfId="5060" priority="237">
      <formula>AND(AG$9&gt;=14/24,AG$9&lt;20/24)</formula>
    </cfRule>
    <cfRule type="expression" dxfId="5059" priority="238">
      <formula>AND(AG$9&gt;=8/24,AG$9&lt;14/24)</formula>
    </cfRule>
    <cfRule type="expression" dxfId="5058" priority="239">
      <formula>AG$9&lt;8/24</formula>
    </cfRule>
  </conditionalFormatting>
  <conditionalFormatting sqref="AG48">
    <cfRule type="expression" dxfId="5057" priority="235">
      <formula>AG48&gt;$AG48</formula>
    </cfRule>
  </conditionalFormatting>
  <conditionalFormatting sqref="C103:AF103">
    <cfRule type="expression" dxfId="5056" priority="231">
      <formula>C$9&gt;=20/24</formula>
    </cfRule>
    <cfRule type="expression" dxfId="5055" priority="232">
      <formula>AND(C$9&gt;=14/24,C$9&lt;20/24)</formula>
    </cfRule>
    <cfRule type="expression" dxfId="5054" priority="233">
      <formula>AND(C$9&gt;=8/24,C$9&lt;14/24)</formula>
    </cfRule>
    <cfRule type="expression" dxfId="5053" priority="234">
      <formula>C$9&lt;8/24</formula>
    </cfRule>
  </conditionalFormatting>
  <conditionalFormatting sqref="AL37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5052" priority="229">
      <formula>$AH37=0</formula>
    </cfRule>
  </conditionalFormatting>
  <conditionalFormatting sqref="A86">
    <cfRule type="expression" dxfId="5051" priority="227">
      <formula>$AH86=0</formula>
    </cfRule>
  </conditionalFormatting>
  <conditionalFormatting sqref="A83">
    <cfRule type="expression" dxfId="5050" priority="228">
      <formula>$AH83=0</formula>
    </cfRule>
  </conditionalFormatting>
  <conditionalFormatting sqref="A113">
    <cfRule type="expression" dxfId="5049" priority="218">
      <formula>$AH113=0</formula>
    </cfRule>
  </conditionalFormatting>
  <conditionalFormatting sqref="D106:AF106">
    <cfRule type="expression" dxfId="5048" priority="214">
      <formula>D$9&gt;=20/24</formula>
    </cfRule>
    <cfRule type="expression" dxfId="5047" priority="215">
      <formula>AND(D$9&gt;=14/24,D$9&lt;20/24)</formula>
    </cfRule>
    <cfRule type="expression" dxfId="5046" priority="216">
      <formula>AND(D$9&gt;=8/24,D$9&lt;14/24)</formula>
    </cfRule>
    <cfRule type="expression" dxfId="5045" priority="217">
      <formula>D$9&lt;8/24</formula>
    </cfRule>
  </conditionalFormatting>
  <conditionalFormatting sqref="A106">
    <cfRule type="expression" dxfId="5044" priority="213">
      <formula>$AH106=0</formula>
    </cfRule>
  </conditionalFormatting>
  <conditionalFormatting sqref="A19">
    <cfRule type="expression" dxfId="5043" priority="211">
      <formula>$AH19=0</formula>
    </cfRule>
  </conditionalFormatting>
  <conditionalFormatting sqref="AL19">
    <cfRule type="iconSet" priority="212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5042" priority="209">
      <formula>$AH34=0</formula>
    </cfRule>
  </conditionalFormatting>
  <conditionalFormatting sqref="AL34">
    <cfRule type="iconSet" priority="210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5041" priority="205">
      <formula>Y$9&gt;=20/24</formula>
    </cfRule>
    <cfRule type="expression" dxfId="5040" priority="206">
      <formula>AND(Y$9&gt;=14/24,Y$9&lt;20/24)</formula>
    </cfRule>
    <cfRule type="expression" dxfId="5039" priority="207">
      <formula>AND(Y$9&gt;=8/24,Y$9&lt;14/24)</formula>
    </cfRule>
    <cfRule type="expression" dxfId="5038" priority="208">
      <formula>Y$9&lt;8/24</formula>
    </cfRule>
  </conditionalFormatting>
  <conditionalFormatting sqref="Y96:AC102">
    <cfRule type="expression" dxfId="5037" priority="201">
      <formula>Y$9&gt;=20/24</formula>
    </cfRule>
    <cfRule type="expression" dxfId="5036" priority="202">
      <formula>AND(Y$9&gt;=14/24,Y$9&lt;20/24)</formula>
    </cfRule>
    <cfRule type="expression" dxfId="5035" priority="203">
      <formula>AND(Y$9&gt;=8/24,Y$9&lt;14/24)</formula>
    </cfRule>
    <cfRule type="expression" dxfId="5034" priority="204">
      <formula>Y$9&lt;8/24</formula>
    </cfRule>
  </conditionalFormatting>
  <conditionalFormatting sqref="C105 C107:C112">
    <cfRule type="expression" dxfId="5033" priority="197">
      <formula>C$9&gt;=20/24</formula>
    </cfRule>
    <cfRule type="expression" dxfId="5032" priority="198">
      <formula>AND(C$9&gt;=14/24,C$9&lt;20/24)</formula>
    </cfRule>
    <cfRule type="expression" dxfId="5031" priority="199">
      <formula>AND(C$9&gt;=8/24,C$9&lt;14/24)</formula>
    </cfRule>
    <cfRule type="expression" dxfId="5030" priority="200">
      <formula>C$9&lt;8/24</formula>
    </cfRule>
  </conditionalFormatting>
  <conditionalFormatting sqref="C43:S43">
    <cfRule type="expression" dxfId="5029" priority="193">
      <formula>C$9&gt;=20/24</formula>
    </cfRule>
    <cfRule type="expression" dxfId="5028" priority="194">
      <formula>AND(C$9&gt;=14/24,C$9&lt;20/24)</formula>
    </cfRule>
    <cfRule type="expression" dxfId="5027" priority="195">
      <formula>AND(C$9&gt;=8/24,C$9&lt;14/24)</formula>
    </cfRule>
    <cfRule type="expression" dxfId="5026" priority="196">
      <formula>C$9&lt;8/24</formula>
    </cfRule>
  </conditionalFormatting>
  <conditionalFormatting sqref="C43:S43">
    <cfRule type="expression" dxfId="5025" priority="192">
      <formula>C43&gt;$AG43</formula>
    </cfRule>
  </conditionalFormatting>
  <conditionalFormatting sqref="C95:D95">
    <cfRule type="expression" dxfId="5024" priority="188">
      <formula>C$9&gt;=20/24</formula>
    </cfRule>
    <cfRule type="expression" dxfId="5023" priority="189">
      <formula>AND(C$9&gt;=14/24,C$9&lt;20/24)</formula>
    </cfRule>
    <cfRule type="expression" dxfId="5022" priority="190">
      <formula>AND(C$9&gt;=8/24,C$9&lt;14/24)</formula>
    </cfRule>
    <cfRule type="expression" dxfId="5021" priority="191">
      <formula>C$9&lt;8/24</formula>
    </cfRule>
  </conditionalFormatting>
  <conditionalFormatting sqref="C67:G67 C50:J51">
    <cfRule type="expression" dxfId="5020" priority="184">
      <formula>C$9&gt;=20/24</formula>
    </cfRule>
    <cfRule type="expression" dxfId="5019" priority="185">
      <formula>AND(C$9&gt;=14/24,C$9&lt;20/24)</formula>
    </cfRule>
    <cfRule type="expression" dxfId="5018" priority="186">
      <formula>AND(C$9&gt;=8/24,C$9&lt;14/24)</formula>
    </cfRule>
    <cfRule type="expression" dxfId="5017" priority="187">
      <formula>C$9&lt;8/24</formula>
    </cfRule>
  </conditionalFormatting>
  <conditionalFormatting sqref="C49:J49">
    <cfRule type="expression" dxfId="5016" priority="180">
      <formula>C$9&gt;=20/24</formula>
    </cfRule>
    <cfRule type="expression" dxfId="5015" priority="181">
      <formula>AND(C$9&gt;=14/24,C$9&lt;20/24)</formula>
    </cfRule>
    <cfRule type="expression" dxfId="5014" priority="182">
      <formula>AND(C$9&gt;=8/24,C$9&lt;14/24)</formula>
    </cfRule>
    <cfRule type="expression" dxfId="5013" priority="183">
      <formula>C$9&lt;8/24</formula>
    </cfRule>
  </conditionalFormatting>
  <conditionalFormatting sqref="C49:J51">
    <cfRule type="expression" dxfId="5012" priority="179">
      <formula>C49&gt;$AG49</formula>
    </cfRule>
  </conditionalFormatting>
  <conditionalFormatting sqref="C82 C96:D102 C92:W92 C79:AF81 C68:G72 C63:P65 W70 H70:V72 W71:AF72">
    <cfRule type="expression" dxfId="5011" priority="175">
      <formula>C$9&gt;=20/24</formula>
    </cfRule>
    <cfRule type="expression" dxfId="5010" priority="176">
      <formula>AND(C$9&gt;=14/24,C$9&lt;20/24)</formula>
    </cfRule>
    <cfRule type="expression" dxfId="5009" priority="177">
      <formula>AND(C$9&gt;=8/24,C$9&lt;14/24)</formula>
    </cfRule>
    <cfRule type="expression" dxfId="5008" priority="178">
      <formula>C$9&lt;8/24</formula>
    </cfRule>
  </conditionalFormatting>
  <conditionalFormatting sqref="C52:L53 C63:P65">
    <cfRule type="expression" dxfId="5007" priority="174">
      <formula>C52&gt;$AG52</formula>
    </cfRule>
  </conditionalFormatting>
  <conditionalFormatting sqref="C54:L54">
    <cfRule type="expression" dxfId="5006" priority="170">
      <formula>C$9&gt;=20/24</formula>
    </cfRule>
    <cfRule type="expression" dxfId="5005" priority="171">
      <formula>AND(C$9&gt;=14/24,C$9&lt;20/24)</formula>
    </cfRule>
    <cfRule type="expression" dxfId="5004" priority="172">
      <formula>AND(C$9&gt;=8/24,C$9&lt;14/24)</formula>
    </cfRule>
    <cfRule type="expression" dxfId="5003" priority="173">
      <formula>C$9&lt;8/24</formula>
    </cfRule>
  </conditionalFormatting>
  <conditionalFormatting sqref="C54:L54">
    <cfRule type="expression" dxfId="5002" priority="169">
      <formula>C54&gt;$AG54</formula>
    </cfRule>
  </conditionalFormatting>
  <conditionalFormatting sqref="C66:AF66 C83:AF83 C85:AF85 C94:AF94">
    <cfRule type="expression" dxfId="5001" priority="156">
      <formula>C$9&gt;=20/24</formula>
    </cfRule>
    <cfRule type="expression" dxfId="5000" priority="157">
      <formula>AND(C$9&gt;=14/24,C$9&lt;20/24)</formula>
    </cfRule>
    <cfRule type="expression" dxfId="4999" priority="158">
      <formula>AND(C$9&gt;=8/24,C$9&lt;14/24)</formula>
    </cfRule>
    <cfRule type="expression" dxfId="4998" priority="159">
      <formula>C$9&lt;8/24</formula>
    </cfRule>
  </conditionalFormatting>
  <conditionalFormatting sqref="C44:AF44 C61:AF62 C66:AF66">
    <cfRule type="expression" dxfId="4997" priority="155">
      <formula>C44&gt;$AG44</formula>
    </cfRule>
  </conditionalFormatting>
  <conditionalFormatting sqref="C78:AF78">
    <cfRule type="expression" dxfId="4996" priority="151">
      <formula>C$9&gt;=20/24</formula>
    </cfRule>
    <cfRule type="expression" dxfId="4995" priority="152">
      <formula>AND(C$9&gt;=14/24,C$9&lt;20/24)</formula>
    </cfRule>
    <cfRule type="expression" dxfId="4994" priority="153">
      <formula>AND(C$9&gt;=8/24,C$9&lt;14/24)</formula>
    </cfRule>
    <cfRule type="expression" dxfId="4993" priority="154">
      <formula>C$9&lt;8/24</formula>
    </cfRule>
  </conditionalFormatting>
  <conditionalFormatting sqref="C87:W91">
    <cfRule type="expression" dxfId="4992" priority="147">
      <formula>C$9&gt;=20/24</formula>
    </cfRule>
    <cfRule type="expression" dxfId="4991" priority="148">
      <formula>AND(C$9&gt;=14/24,C$9&lt;20/24)</formula>
    </cfRule>
    <cfRule type="expression" dxfId="4990" priority="149">
      <formula>AND(C$9&gt;=8/24,C$9&lt;14/24)</formula>
    </cfRule>
    <cfRule type="expression" dxfId="4989" priority="150">
      <formula>C$9&lt;8/24</formula>
    </cfRule>
  </conditionalFormatting>
  <conditionalFormatting sqref="C45:D47 E46:I47">
    <cfRule type="expression" dxfId="4988" priority="143">
      <formula>C$9&gt;=20/24</formula>
    </cfRule>
    <cfRule type="expression" dxfId="4987" priority="144">
      <formula>AND(C$9&gt;=14/24,C$9&lt;20/24)</formula>
    </cfRule>
    <cfRule type="expression" dxfId="4986" priority="145">
      <formula>AND(C$9&gt;=8/24,C$9&lt;14/24)</formula>
    </cfRule>
    <cfRule type="expression" dxfId="4985" priority="146">
      <formula>C$9&lt;8/24</formula>
    </cfRule>
  </conditionalFormatting>
  <conditionalFormatting sqref="C45:D47 E46:I47">
    <cfRule type="expression" dxfId="4984" priority="142">
      <formula>C45&gt;$AG45</formula>
    </cfRule>
  </conditionalFormatting>
  <conditionalFormatting sqref="C48:AF48">
    <cfRule type="expression" dxfId="4983" priority="138">
      <formula>C$9&gt;=20/24</formula>
    </cfRule>
    <cfRule type="expression" dxfId="4982" priority="139">
      <formula>AND(C$9&gt;=14/24,C$9&lt;20/24)</formula>
    </cfRule>
    <cfRule type="expression" dxfId="4981" priority="140">
      <formula>AND(C$9&gt;=8/24,C$9&lt;14/24)</formula>
    </cfRule>
    <cfRule type="expression" dxfId="4980" priority="141">
      <formula>C$9&lt;8/24</formula>
    </cfRule>
  </conditionalFormatting>
  <conditionalFormatting sqref="C48:AF48">
    <cfRule type="expression" dxfId="4979" priority="137">
      <formula>C48&gt;$AG48</formula>
    </cfRule>
  </conditionalFormatting>
  <conditionalFormatting sqref="C106">
    <cfRule type="expression" dxfId="4978" priority="121">
      <formula>C$9&gt;=20/24</formula>
    </cfRule>
    <cfRule type="expression" dxfId="4977" priority="122">
      <formula>AND(C$9&gt;=14/24,C$9&lt;20/24)</formula>
    </cfRule>
    <cfRule type="expression" dxfId="4976" priority="123">
      <formula>AND(C$9&gt;=8/24,C$9&lt;14/24)</formula>
    </cfRule>
    <cfRule type="expression" dxfId="4975" priority="124">
      <formula>C$9&lt;8/24</formula>
    </cfRule>
  </conditionalFormatting>
  <conditionalFormatting sqref="C55:L60 M57:X60 Y55:AF60">
    <cfRule type="expression" dxfId="4974" priority="117">
      <formula>C$9&gt;=20/24</formula>
    </cfRule>
    <cfRule type="expression" dxfId="4973" priority="118">
      <formula>AND(C$9&gt;=14/24,C$9&lt;20/24)</formula>
    </cfRule>
    <cfRule type="expression" dxfId="4972" priority="119">
      <formula>AND(C$9&gt;=8/24,C$9&lt;14/24)</formula>
    </cfRule>
    <cfRule type="expression" dxfId="4971" priority="120">
      <formula>C$9&lt;8/24</formula>
    </cfRule>
  </conditionalFormatting>
  <conditionalFormatting sqref="C55:L60 M57:X60 Y55:AF60">
    <cfRule type="expression" dxfId="4970" priority="116">
      <formula>C55&gt;$AG55</formula>
    </cfRule>
  </conditionalFormatting>
  <conditionalFormatting sqref="C73:AF77">
    <cfRule type="expression" dxfId="4969" priority="98">
      <formula>C$9&gt;=20/24</formula>
    </cfRule>
    <cfRule type="expression" dxfId="4968" priority="99">
      <formula>AND(C$9&gt;=14/24,C$9&lt;20/24)</formula>
    </cfRule>
    <cfRule type="expression" dxfId="4967" priority="100">
      <formula>AND(C$9&gt;=8/24,C$9&lt;14/24)</formula>
    </cfRule>
    <cfRule type="expression" dxfId="4966" priority="101">
      <formula>C$9&lt;8/24</formula>
    </cfRule>
  </conditionalFormatting>
  <conditionalFormatting sqref="AL74:AN74 AL80:AN80 AN75:AN76">
    <cfRule type="expression" dxfId="4965" priority="94">
      <formula>AL$9&gt;=20/24</formula>
    </cfRule>
    <cfRule type="expression" dxfId="4964" priority="95">
      <formula>AND(AL$9&gt;=14/24,AL$9&lt;20/24)</formula>
    </cfRule>
    <cfRule type="expression" dxfId="4963" priority="96">
      <formula>AND(AL$9&gt;=8/24,AL$9&lt;14/24)</formula>
    </cfRule>
    <cfRule type="expression" dxfId="4962" priority="97">
      <formula>AL$9&lt;8/24</formula>
    </cfRule>
  </conditionalFormatting>
  <conditionalFormatting sqref="AN77:AN78">
    <cfRule type="expression" dxfId="4961" priority="90">
      <formula>AN$9&gt;=20/24</formula>
    </cfRule>
    <cfRule type="expression" dxfId="4960" priority="91">
      <formula>AND(AN$9&gt;=14/24,AN$9&lt;20/24)</formula>
    </cfRule>
    <cfRule type="expression" dxfId="4959" priority="92">
      <formula>AND(AN$9&gt;=8/24,AN$9&lt;14/24)</formula>
    </cfRule>
    <cfRule type="expression" dxfId="4958" priority="93">
      <formula>AN$9&lt;8/24</formula>
    </cfRule>
  </conditionalFormatting>
  <conditionalFormatting sqref="AL75:AM79">
    <cfRule type="expression" dxfId="4957" priority="347">
      <formula>AJ$9&gt;=20/24</formula>
    </cfRule>
    <cfRule type="expression" dxfId="4956" priority="348">
      <formula>AND(AJ$9&gt;=14/24,AJ$9&lt;20/24)</formula>
    </cfRule>
    <cfRule type="expression" dxfId="4955" priority="349">
      <formula>AND(AJ$9&gt;=8/24,AJ$9&lt;14/24)</formula>
    </cfRule>
    <cfRule type="expression" dxfId="4954" priority="350">
      <formula>AJ$9&lt;8/24</formula>
    </cfRule>
  </conditionalFormatting>
  <conditionalFormatting sqref="B107:B112 B105 B11:X41">
    <cfRule type="expression" dxfId="4953" priority="86">
      <formula>B$9&gt;=20/24</formula>
    </cfRule>
    <cfRule type="expression" dxfId="4952" priority="87">
      <formula>AND(B$9&gt;=14/24,B$9&lt;20/24)</formula>
    </cfRule>
    <cfRule type="expression" dxfId="4951" priority="88">
      <formula>AND(B$9&gt;=8/24,B$9&lt;14/24)</formula>
    </cfRule>
    <cfRule type="expression" dxfId="4950" priority="89">
      <formula>B$9&lt;8/24</formula>
    </cfRule>
  </conditionalFormatting>
  <conditionalFormatting sqref="B11:X41">
    <cfRule type="expression" dxfId="4949" priority="85">
      <formula>B11&gt;$AG11</formula>
    </cfRule>
  </conditionalFormatting>
  <conditionalFormatting sqref="B95">
    <cfRule type="expression" dxfId="4948" priority="81">
      <formula>B$9&gt;=20/24</formula>
    </cfRule>
    <cfRule type="expression" dxfId="4947" priority="82">
      <formula>AND(B$9&gt;=14/24,B$9&lt;20/24)</formula>
    </cfRule>
    <cfRule type="expression" dxfId="4946" priority="83">
      <formula>AND(B$9&gt;=8/24,B$9&lt;14/24)</formula>
    </cfRule>
    <cfRule type="expression" dxfId="4945" priority="84">
      <formula>B$9&lt;8/24</formula>
    </cfRule>
  </conditionalFormatting>
  <conditionalFormatting sqref="B50:B53 B67">
    <cfRule type="expression" dxfId="4944" priority="77">
      <formula>B$9&gt;=20/24</formula>
    </cfRule>
    <cfRule type="expression" dxfId="4943" priority="78">
      <formula>AND(B$9&gt;=14/24,B$9&lt;20/24)</formula>
    </cfRule>
    <cfRule type="expression" dxfId="4942" priority="79">
      <formula>AND(B$9&gt;=8/24,B$9&lt;14/24)</formula>
    </cfRule>
    <cfRule type="expression" dxfId="4941" priority="80">
      <formula>B$9&lt;8/24</formula>
    </cfRule>
  </conditionalFormatting>
  <conditionalFormatting sqref="B49">
    <cfRule type="expression" dxfId="4940" priority="73">
      <formula>B$9&gt;=20/24</formula>
    </cfRule>
    <cfRule type="expression" dxfId="4939" priority="74">
      <formula>AND(B$9&gt;=14/24,B$9&lt;20/24)</formula>
    </cfRule>
    <cfRule type="expression" dxfId="4938" priority="75">
      <formula>AND(B$9&gt;=8/24,B$9&lt;14/24)</formula>
    </cfRule>
    <cfRule type="expression" dxfId="4937" priority="76">
      <formula>B$9&lt;8/24</formula>
    </cfRule>
  </conditionalFormatting>
  <conditionalFormatting sqref="B49:B53">
    <cfRule type="expression" dxfId="4936" priority="72">
      <formula>B49&gt;$AG49</formula>
    </cfRule>
  </conditionalFormatting>
  <conditionalFormatting sqref="B96:B102 B92 B82 B68:B70 B63:B65 B43">
    <cfRule type="expression" dxfId="4935" priority="68">
      <formula>B$9&gt;=20/24</formula>
    </cfRule>
    <cfRule type="expression" dxfId="4934" priority="69">
      <formula>AND(B$9&gt;=14/24,B$9&lt;20/24)</formula>
    </cfRule>
    <cfRule type="expression" dxfId="4933" priority="70">
      <formula>AND(B$9&gt;=8/24,B$9&lt;14/24)</formula>
    </cfRule>
    <cfRule type="expression" dxfId="4932" priority="71">
      <formula>B$9&lt;8/24</formula>
    </cfRule>
  </conditionalFormatting>
  <conditionalFormatting sqref="B63:B65 B43">
    <cfRule type="expression" dxfId="4931" priority="67">
      <formula>B43&gt;$AG43</formula>
    </cfRule>
  </conditionalFormatting>
  <conditionalFormatting sqref="B93 B84">
    <cfRule type="expression" dxfId="4930" priority="63">
      <formula>B$9&gt;=20/24</formula>
    </cfRule>
    <cfRule type="expression" dxfId="4929" priority="64">
      <formula>AND(B$9&gt;=14/24,B$9&lt;20/24)</formula>
    </cfRule>
    <cfRule type="expression" dxfId="4928" priority="65">
      <formula>AND(B$9&gt;=8/24,B$9&lt;14/24)</formula>
    </cfRule>
    <cfRule type="expression" dxfId="4927" priority="66">
      <formula>B$9&lt;8/24</formula>
    </cfRule>
  </conditionalFormatting>
  <conditionalFormatting sqref="B42:X42">
    <cfRule type="expression" dxfId="4926" priority="59">
      <formula>B$9&gt;=20/24</formula>
    </cfRule>
    <cfRule type="expression" dxfId="4925" priority="60">
      <formula>AND(B$9&gt;=14/24,B$9&lt;20/24)</formula>
    </cfRule>
    <cfRule type="expression" dxfId="4924" priority="61">
      <formula>AND(B$9&gt;=8/24,B$9&lt;14/24)</formula>
    </cfRule>
    <cfRule type="expression" dxfId="4923" priority="62">
      <formula>B$9&lt;8/24</formula>
    </cfRule>
  </conditionalFormatting>
  <conditionalFormatting sqref="B42:X42">
    <cfRule type="expression" dxfId="4922" priority="58">
      <formula>B42&gt;$AG42</formula>
    </cfRule>
  </conditionalFormatting>
  <conditionalFormatting sqref="B54">
    <cfRule type="expression" dxfId="4921" priority="54">
      <formula>B$9&gt;=20/24</formula>
    </cfRule>
    <cfRule type="expression" dxfId="4920" priority="55">
      <formula>AND(B$9&gt;=14/24,B$9&lt;20/24)</formula>
    </cfRule>
    <cfRule type="expression" dxfId="4919" priority="56">
      <formula>AND(B$9&gt;=8/24,B$9&lt;14/24)</formula>
    </cfRule>
    <cfRule type="expression" dxfId="4918" priority="57">
      <formula>B$9&lt;8/24</formula>
    </cfRule>
  </conditionalFormatting>
  <conditionalFormatting sqref="B54">
    <cfRule type="expression" dxfId="4917" priority="53">
      <formula>B54&gt;$AG54</formula>
    </cfRule>
  </conditionalFormatting>
  <conditionalFormatting sqref="B87:B91">
    <cfRule type="expression" dxfId="4916" priority="49">
      <formula>B$9&gt;=20/24</formula>
    </cfRule>
    <cfRule type="expression" dxfId="4915" priority="50">
      <formula>AND(B$9&gt;=14/24,B$9&lt;20/24)</formula>
    </cfRule>
    <cfRule type="expression" dxfId="4914" priority="51">
      <formula>AND(B$9&gt;=8/24,B$9&lt;14/24)</formula>
    </cfRule>
    <cfRule type="expression" dxfId="4913" priority="52">
      <formula>B$9&lt;8/24</formula>
    </cfRule>
  </conditionalFormatting>
  <conditionalFormatting sqref="B45:B47">
    <cfRule type="expression" dxfId="4912" priority="45">
      <formula>B$9&gt;=20/24</formula>
    </cfRule>
    <cfRule type="expression" dxfId="4911" priority="46">
      <formula>AND(B$9&gt;=14/24,B$9&lt;20/24)</formula>
    </cfRule>
    <cfRule type="expression" dxfId="4910" priority="47">
      <formula>AND(B$9&gt;=8/24,B$9&lt;14/24)</formula>
    </cfRule>
    <cfRule type="expression" dxfId="4909" priority="48">
      <formula>B$9&lt;8/24</formula>
    </cfRule>
  </conditionalFormatting>
  <conditionalFormatting sqref="B45:B47">
    <cfRule type="expression" dxfId="4908" priority="44">
      <formula>B45&gt;$AG45</formula>
    </cfRule>
  </conditionalFormatting>
  <conditionalFormatting sqref="B103">
    <cfRule type="expression" dxfId="4907" priority="40">
      <formula>B$9&gt;=20/24</formula>
    </cfRule>
    <cfRule type="expression" dxfId="4906" priority="41">
      <formula>AND(B$9&gt;=14/24,B$9&lt;20/24)</formula>
    </cfRule>
    <cfRule type="expression" dxfId="4905" priority="42">
      <formula>AND(B$9&gt;=8/24,B$9&lt;14/24)</formula>
    </cfRule>
    <cfRule type="expression" dxfId="4904" priority="43">
      <formula>B$9&lt;8/24</formula>
    </cfRule>
  </conditionalFormatting>
  <conditionalFormatting sqref="B106">
    <cfRule type="expression" dxfId="4903" priority="32">
      <formula>B$9&gt;=20/24</formula>
    </cfRule>
    <cfRule type="expression" dxfId="4902" priority="33">
      <formula>AND(B$9&gt;=14/24,B$9&lt;20/24)</formula>
    </cfRule>
    <cfRule type="expression" dxfId="4901" priority="34">
      <formula>AND(B$9&gt;=8/24,B$9&lt;14/24)</formula>
    </cfRule>
    <cfRule type="expression" dxfId="4900" priority="35">
      <formula>B$9&lt;8/24</formula>
    </cfRule>
  </conditionalFormatting>
  <conditionalFormatting sqref="B79:B81 B71:B72">
    <cfRule type="expression" dxfId="4899" priority="28">
      <formula>B$9&gt;=20/24</formula>
    </cfRule>
    <cfRule type="expression" dxfId="4898" priority="29">
      <formula>AND(B$9&gt;=14/24,B$9&lt;20/24)</formula>
    </cfRule>
    <cfRule type="expression" dxfId="4897" priority="30">
      <formula>AND(B$9&gt;=8/24,B$9&lt;14/24)</formula>
    </cfRule>
    <cfRule type="expression" dxfId="4896" priority="31">
      <formula>B$9&lt;8/24</formula>
    </cfRule>
  </conditionalFormatting>
  <conditionalFormatting sqref="B94 B85 B83 B66">
    <cfRule type="expression" dxfId="4895" priority="24">
      <formula>B$9&gt;=20/24</formula>
    </cfRule>
    <cfRule type="expression" dxfId="4894" priority="25">
      <formula>AND(B$9&gt;=14/24,B$9&lt;20/24)</formula>
    </cfRule>
    <cfRule type="expression" dxfId="4893" priority="26">
      <formula>AND(B$9&gt;=8/24,B$9&lt;14/24)</formula>
    </cfRule>
    <cfRule type="expression" dxfId="4892" priority="27">
      <formula>B$9&lt;8/24</formula>
    </cfRule>
  </conditionalFormatting>
  <conditionalFormatting sqref="B66 B61:B62 B44">
    <cfRule type="expression" dxfId="4891" priority="23">
      <formula>B44&gt;$AG44</formula>
    </cfRule>
  </conditionalFormatting>
  <conditionalFormatting sqref="B78">
    <cfRule type="expression" dxfId="4890" priority="19">
      <formula>B$9&gt;=20/24</formula>
    </cfRule>
    <cfRule type="expression" dxfId="4889" priority="20">
      <formula>AND(B$9&gt;=14/24,B$9&lt;20/24)</formula>
    </cfRule>
    <cfRule type="expression" dxfId="4888" priority="21">
      <formula>AND(B$9&gt;=8/24,B$9&lt;14/24)</formula>
    </cfRule>
    <cfRule type="expression" dxfId="4887" priority="22">
      <formula>B$9&lt;8/24</formula>
    </cfRule>
  </conditionalFormatting>
  <conditionalFormatting sqref="B48">
    <cfRule type="expression" dxfId="4886" priority="15">
      <formula>B$9&gt;=20/24</formula>
    </cfRule>
    <cfRule type="expression" dxfId="4885" priority="16">
      <formula>AND(B$9&gt;=14/24,B$9&lt;20/24)</formula>
    </cfRule>
    <cfRule type="expression" dxfId="4884" priority="17">
      <formula>AND(B$9&gt;=8/24,B$9&lt;14/24)</formula>
    </cfRule>
    <cfRule type="expression" dxfId="4883" priority="18">
      <formula>B$9&lt;8/24</formula>
    </cfRule>
  </conditionalFormatting>
  <conditionalFormatting sqref="B48">
    <cfRule type="expression" dxfId="4882" priority="14">
      <formula>B48&gt;$AG48</formula>
    </cfRule>
  </conditionalFormatting>
  <conditionalFormatting sqref="B55:B60">
    <cfRule type="expression" dxfId="4881" priority="6">
      <formula>B$9&gt;=20/24</formula>
    </cfRule>
    <cfRule type="expression" dxfId="4880" priority="7">
      <formula>AND(B$9&gt;=14/24,B$9&lt;20/24)</formula>
    </cfRule>
    <cfRule type="expression" dxfId="4879" priority="8">
      <formula>AND(B$9&gt;=8/24,B$9&lt;14/24)</formula>
    </cfRule>
    <cfRule type="expression" dxfId="4878" priority="9">
      <formula>B$9&lt;8/24</formula>
    </cfRule>
  </conditionalFormatting>
  <conditionalFormatting sqref="B55:B60">
    <cfRule type="expression" dxfId="4877" priority="5">
      <formula>B55&gt;$AG55</formula>
    </cfRule>
  </conditionalFormatting>
  <conditionalFormatting sqref="B73:B77">
    <cfRule type="expression" dxfId="4876" priority="1">
      <formula>B$9&gt;=20/24</formula>
    </cfRule>
    <cfRule type="expression" dxfId="4875" priority="2">
      <formula>AND(B$9&gt;=14/24,B$9&lt;20/24)</formula>
    </cfRule>
    <cfRule type="expression" dxfId="4874" priority="3">
      <formula>AND(B$9&gt;=8/24,B$9&lt;14/24)</formula>
    </cfRule>
    <cfRule type="expression" dxfId="4873" priority="4">
      <formula>B$9&lt;8/24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3" id="{1D22DD45-F998-4655-9AC3-8710BA64DDEB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24" id="{325A8819-0C01-4C90-9477-37CA7DCFB292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25" id="{188A8269-4862-4A4F-9199-2118414613F4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26" id="{37C18970-A169-4199-BC6F-4FCF7F2B21A7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219" id="{D0C1002B-3682-48DB-8B1C-7C8641B3C91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20" id="{9AB57239-81E6-4381-A76E-546213B08D6F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21" id="{7BE01340-38A9-4260-9A98-D10F5BB00FE4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22" id="{696DE6B8-6C2B-40B6-973B-A72153CB2711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129" id="{C3B705FC-4779-4A3F-9874-01D6A85FE17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0" id="{5F9D6A16-99ED-431D-AE46-122F1FEA8204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1" id="{F762286A-2F4E-4372-B8EF-6142B1A926A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2" id="{1DE2D438-E64F-4410-A33F-5DE7AD26CEC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C86:AF86</xm:sqref>
        </x14:conditionalFormatting>
        <x14:conditionalFormatting xmlns:xm="http://schemas.microsoft.com/office/excel/2006/main">
          <x14:cfRule type="expression" priority="36" id="{2F562EDD-FF0B-469D-9C1C-3515668E0A97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9994BB21-A093-4350-AEDE-F74D57C43E6C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C0D34A7C-6771-4F15-8D82-19C616D6DE76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4049B54B-D195-4EDE-A49C-F8BD9BB06B28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  <x14:conditionalFormatting xmlns:xm="http://schemas.microsoft.com/office/excel/2006/main">
          <x14:cfRule type="expression" priority="10" id="{CC4E58AD-1FCD-469B-965F-9DB82DF83774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1" id="{EA3E03BE-5E7B-4049-9EEA-E4B5D08C756C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2" id="{BFBA7693-27F0-4DE0-A4F7-4BC8E0335D7A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" id="{AEF8093D-EA08-4507-9155-8BC32E293C9B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J274"/>
  <sheetViews>
    <sheetView zoomScale="90" zoomScaleNormal="90" workbookViewId="0">
      <pane ySplit="10" topLeftCell="A62" activePane="bottomLeft" state="frozen"/>
      <selection activeCell="U80" sqref="U80"/>
      <selection pane="bottomLeft" activeCell="AC84" sqref="AC84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/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str">
        <f ca="1">"2079/"&amp;"09/"&amp;INT(MID(CELL("filename",D6),FIND("]",CELL("filename",D6))+1,200))</f>
        <v>2079/09/18</v>
      </c>
      <c r="C4" s="771"/>
      <c r="D4" s="771"/>
      <c r="E4" s="772" t="str">
        <f ca="1">"2079/"&amp;"09/"&amp;INT(MID(CELL("filename",G6),FIND("]",CELL("filename",G6))+1,200))</f>
        <v>2079/09/18</v>
      </c>
      <c r="F4" s="772"/>
      <c r="G4" s="772"/>
      <c r="H4" s="772" t="str">
        <f ca="1">TEXT(E4,"dddd")</f>
        <v>Monday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431.59999999999997</v>
      </c>
      <c r="C5" s="30">
        <f t="shared" si="0"/>
        <v>405.34000000000003</v>
      </c>
      <c r="D5" s="30">
        <f t="shared" si="0"/>
        <v>394.44000000000005</v>
      </c>
      <c r="E5" s="30">
        <f t="shared" si="0"/>
        <v>391.5</v>
      </c>
      <c r="F5" s="30">
        <f t="shared" si="0"/>
        <v>407.3</v>
      </c>
      <c r="G5" s="30">
        <f t="shared" si="0"/>
        <v>435.01</v>
      </c>
      <c r="H5" s="30">
        <f t="shared" si="0"/>
        <v>438.2</v>
      </c>
      <c r="I5" s="30">
        <f t="shared" si="0"/>
        <v>463.84999999999997</v>
      </c>
      <c r="J5" s="30">
        <f t="shared" si="0"/>
        <v>334</v>
      </c>
      <c r="K5" s="30">
        <f t="shared" si="0"/>
        <v>371</v>
      </c>
      <c r="L5" s="30">
        <f t="shared" si="0"/>
        <v>368.2</v>
      </c>
      <c r="M5" s="30">
        <f t="shared" si="0"/>
        <v>385.4</v>
      </c>
      <c r="N5" s="30">
        <f t="shared" si="0"/>
        <v>371.6</v>
      </c>
      <c r="O5" s="30">
        <f t="shared" si="0"/>
        <v>459.1</v>
      </c>
      <c r="P5" s="30">
        <f t="shared" si="0"/>
        <v>447.6</v>
      </c>
      <c r="Q5" s="30">
        <f t="shared" si="0"/>
        <v>498.6</v>
      </c>
      <c r="R5" s="30">
        <f t="shared" si="0"/>
        <v>495.6</v>
      </c>
      <c r="S5" s="30">
        <f t="shared" si="0"/>
        <v>481.93</v>
      </c>
      <c r="T5" s="30">
        <f t="shared" si="0"/>
        <v>454.5</v>
      </c>
      <c r="U5" s="30">
        <f t="shared" si="0"/>
        <v>455.5</v>
      </c>
      <c r="V5" s="30">
        <f t="shared" si="0"/>
        <v>460.5</v>
      </c>
      <c r="W5" s="30">
        <f t="shared" si="0"/>
        <v>460.5</v>
      </c>
      <c r="X5" s="30">
        <f t="shared" si="0"/>
        <v>348.6</v>
      </c>
      <c r="Y5" s="30">
        <f t="shared" si="0"/>
        <v>233</v>
      </c>
      <c r="Z5" s="30">
        <f t="shared" si="0"/>
        <v>267.7</v>
      </c>
      <c r="AA5" s="30">
        <f t="shared" si="0"/>
        <v>433.5</v>
      </c>
      <c r="AB5" s="30">
        <f t="shared" si="0"/>
        <v>407.2</v>
      </c>
      <c r="AC5" s="30">
        <f t="shared" si="0"/>
        <v>439.2</v>
      </c>
      <c r="AD5" s="30">
        <f t="shared" si="0"/>
        <v>448</v>
      </c>
      <c r="AE5" s="30">
        <f t="shared" si="0"/>
        <v>438.3</v>
      </c>
      <c r="AF5" s="30">
        <f>B78</f>
        <v>424.4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1467MW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Load=1014</v>
      </c>
      <c r="B7" s="35">
        <f t="shared" ref="B7:AF7" si="1">B85</f>
        <v>1066.94</v>
      </c>
      <c r="C7" s="35">
        <f t="shared" si="1"/>
        <v>1014.3399999999999</v>
      </c>
      <c r="D7" s="35">
        <f t="shared" si="1"/>
        <v>1048.2800000000002</v>
      </c>
      <c r="E7" s="35">
        <f t="shared" si="1"/>
        <v>1022.3800000000001</v>
      </c>
      <c r="F7" s="35">
        <f t="shared" si="1"/>
        <v>1021.74</v>
      </c>
      <c r="G7" s="35">
        <f t="shared" si="1"/>
        <v>1077.6399999999999</v>
      </c>
      <c r="H7" s="35">
        <f t="shared" si="1"/>
        <v>1150.3499999999999</v>
      </c>
      <c r="I7" s="35">
        <f t="shared" si="1"/>
        <v>1247.74</v>
      </c>
      <c r="J7" s="35">
        <f t="shared" si="1"/>
        <v>1349.3899999999999</v>
      </c>
      <c r="K7" s="35">
        <f t="shared" si="1"/>
        <v>1278.54</v>
      </c>
      <c r="L7" s="35">
        <f t="shared" si="1"/>
        <v>1467.3400000000001</v>
      </c>
      <c r="M7" s="35">
        <f t="shared" si="1"/>
        <v>1425.0300000000002</v>
      </c>
      <c r="N7" s="35">
        <f>N85</f>
        <v>1373.8400000000001</v>
      </c>
      <c r="O7" s="35">
        <f t="shared" si="1"/>
        <v>1322.74</v>
      </c>
      <c r="P7" s="35">
        <f t="shared" si="1"/>
        <v>1237.44</v>
      </c>
      <c r="Q7" s="35">
        <f t="shared" si="1"/>
        <v>1305.24</v>
      </c>
      <c r="R7" s="35">
        <f t="shared" si="1"/>
        <v>1337.7400000000002</v>
      </c>
      <c r="S7" s="35">
        <f t="shared" si="1"/>
        <v>1313.2400000000002</v>
      </c>
      <c r="T7" s="35">
        <f t="shared" si="1"/>
        <v>1285.47</v>
      </c>
      <c r="U7" s="35">
        <f t="shared" si="1"/>
        <v>1309.6399999999999</v>
      </c>
      <c r="V7" s="35">
        <f t="shared" si="1"/>
        <v>1259.04</v>
      </c>
      <c r="W7" s="35">
        <f t="shared" si="1"/>
        <v>1222.04</v>
      </c>
      <c r="X7" s="35">
        <f t="shared" si="1"/>
        <v>1385.04</v>
      </c>
      <c r="Y7" s="35">
        <f t="shared" si="1"/>
        <v>1573.04</v>
      </c>
      <c r="Z7" s="35">
        <f t="shared" si="1"/>
        <v>1542.44</v>
      </c>
      <c r="AA7" s="35">
        <f t="shared" si="1"/>
        <v>1469.14</v>
      </c>
      <c r="AB7" s="35">
        <f t="shared" si="1"/>
        <v>1439.24</v>
      </c>
      <c r="AC7" s="35">
        <f t="shared" si="1"/>
        <v>1367.24</v>
      </c>
      <c r="AD7" s="35">
        <f t="shared" si="1"/>
        <v>1244.6400000000001</v>
      </c>
      <c r="AE7" s="35">
        <f t="shared" si="1"/>
        <v>1200.3399999999999</v>
      </c>
      <c r="AF7" s="35">
        <f t="shared" si="1"/>
        <v>1091.74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17.5</v>
      </c>
      <c r="C11" s="45">
        <v>17.2</v>
      </c>
      <c r="D11" s="45">
        <v>17.3</v>
      </c>
      <c r="E11" s="45">
        <v>17.3</v>
      </c>
      <c r="F11" s="45">
        <v>17.3</v>
      </c>
      <c r="G11" s="45">
        <v>17.3</v>
      </c>
      <c r="H11" s="45">
        <v>17.3</v>
      </c>
      <c r="I11" s="45">
        <v>17.3</v>
      </c>
      <c r="J11" s="45">
        <v>17.3</v>
      </c>
      <c r="K11" s="45">
        <v>17.3</v>
      </c>
      <c r="L11" s="45">
        <v>17.3</v>
      </c>
      <c r="M11" s="45">
        <v>17.3</v>
      </c>
      <c r="N11" s="45">
        <v>17.3</v>
      </c>
      <c r="O11" s="45">
        <v>17.100000000000001</v>
      </c>
      <c r="P11" s="45">
        <v>17.100000000000001</v>
      </c>
      <c r="Q11" s="45">
        <v>17.100000000000001</v>
      </c>
      <c r="R11" s="45">
        <v>17.100000000000001</v>
      </c>
      <c r="S11" s="45">
        <v>17.100000000000001</v>
      </c>
      <c r="T11" s="45">
        <v>16.600000000000001</v>
      </c>
      <c r="U11" s="45">
        <v>16.600000000000001</v>
      </c>
      <c r="V11" s="45">
        <v>16.600000000000001</v>
      </c>
      <c r="W11" s="45">
        <v>16.600000000000001</v>
      </c>
      <c r="X11" s="45">
        <v>17.100000000000001</v>
      </c>
      <c r="Y11" s="45">
        <v>17.2</v>
      </c>
      <c r="Z11" s="45">
        <v>17.2</v>
      </c>
      <c r="AA11" s="45">
        <v>16.3</v>
      </c>
      <c r="AB11" s="45">
        <v>16.3</v>
      </c>
      <c r="AC11" s="45">
        <v>16.3</v>
      </c>
      <c r="AD11" s="45">
        <v>16.3</v>
      </c>
      <c r="AE11" s="45">
        <v>16.3</v>
      </c>
      <c r="AF11" s="45">
        <v>16.3</v>
      </c>
      <c r="AG11" s="46">
        <v>52.4</v>
      </c>
      <c r="AH11" s="47">
        <f t="shared" ref="AH11:AH74" si="2">MAX(B11:AF11)</f>
        <v>17.5</v>
      </c>
      <c r="AI11" s="48">
        <f t="shared" ref="AI11:AI74" si="3">MIN(B11:AF11)</f>
        <v>16.3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31.7</v>
      </c>
      <c r="C12" s="45">
        <v>31.9</v>
      </c>
      <c r="D12" s="45">
        <v>31.9</v>
      </c>
      <c r="E12" s="45">
        <v>31.9</v>
      </c>
      <c r="F12" s="45">
        <v>31.9</v>
      </c>
      <c r="G12" s="45">
        <v>31.9</v>
      </c>
      <c r="H12" s="45">
        <v>31.9</v>
      </c>
      <c r="I12" s="45">
        <v>31.9</v>
      </c>
      <c r="J12" s="45">
        <v>31.9</v>
      </c>
      <c r="K12" s="45">
        <v>31.9</v>
      </c>
      <c r="L12" s="45">
        <v>31.9</v>
      </c>
      <c r="M12" s="45">
        <v>31.9</v>
      </c>
      <c r="N12" s="45">
        <v>31.9</v>
      </c>
      <c r="O12" s="45">
        <v>33.799999999999997</v>
      </c>
      <c r="P12" s="45">
        <v>33.799999999999997</v>
      </c>
      <c r="Q12" s="45">
        <v>33.799999999999997</v>
      </c>
      <c r="R12" s="45">
        <v>33.799999999999997</v>
      </c>
      <c r="S12" s="45">
        <v>33.799999999999997</v>
      </c>
      <c r="T12" s="45">
        <v>33.799999999999997</v>
      </c>
      <c r="U12" s="45">
        <v>33.799999999999997</v>
      </c>
      <c r="V12" s="45">
        <v>33.799999999999997</v>
      </c>
      <c r="W12" s="45">
        <v>33.799999999999997</v>
      </c>
      <c r="X12" s="45">
        <v>32.5</v>
      </c>
      <c r="Y12" s="45">
        <v>31.5</v>
      </c>
      <c r="Z12" s="45">
        <v>31.5</v>
      </c>
      <c r="AA12" s="45">
        <v>32</v>
      </c>
      <c r="AB12" s="45">
        <v>32</v>
      </c>
      <c r="AC12" s="45">
        <v>32</v>
      </c>
      <c r="AD12" s="45">
        <v>32</v>
      </c>
      <c r="AE12" s="45">
        <v>32</v>
      </c>
      <c r="AF12" s="45">
        <v>32</v>
      </c>
      <c r="AG12" s="50">
        <v>50</v>
      </c>
      <c r="AH12" s="47">
        <f t="shared" si="2"/>
        <v>33.799999999999997</v>
      </c>
      <c r="AI12" s="48">
        <f t="shared" si="3"/>
        <v>31.5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19</v>
      </c>
      <c r="C13" s="45">
        <v>19.100000000000001</v>
      </c>
      <c r="D13" s="45">
        <v>19.2</v>
      </c>
      <c r="E13" s="45">
        <v>19.2</v>
      </c>
      <c r="F13" s="45">
        <v>19.2</v>
      </c>
      <c r="G13" s="45">
        <v>19.2</v>
      </c>
      <c r="H13" s="45">
        <v>19.2</v>
      </c>
      <c r="I13" s="45">
        <v>19.2</v>
      </c>
      <c r="J13" s="45">
        <v>19.2</v>
      </c>
      <c r="K13" s="45">
        <v>19.2</v>
      </c>
      <c r="L13" s="45">
        <v>19.2</v>
      </c>
      <c r="M13" s="45">
        <v>19.2</v>
      </c>
      <c r="N13" s="45">
        <v>19.2</v>
      </c>
      <c r="O13" s="45">
        <v>16</v>
      </c>
      <c r="P13" s="45">
        <v>16</v>
      </c>
      <c r="Q13" s="45">
        <v>16</v>
      </c>
      <c r="R13" s="45">
        <v>16</v>
      </c>
      <c r="S13" s="45">
        <v>16</v>
      </c>
      <c r="T13" s="45">
        <v>16</v>
      </c>
      <c r="U13" s="45">
        <v>16</v>
      </c>
      <c r="V13" s="45">
        <v>16</v>
      </c>
      <c r="W13" s="45">
        <v>16</v>
      </c>
      <c r="X13" s="45">
        <v>20.7</v>
      </c>
      <c r="Y13" s="45">
        <v>20.100000000000001</v>
      </c>
      <c r="Z13" s="45">
        <v>20.100000000000001</v>
      </c>
      <c r="AA13" s="45">
        <v>20.399999999999999</v>
      </c>
      <c r="AB13" s="45">
        <v>20.399999999999999</v>
      </c>
      <c r="AC13" s="45">
        <v>20.399999999999999</v>
      </c>
      <c r="AD13" s="45">
        <v>20.399999999999999</v>
      </c>
      <c r="AE13" s="45">
        <v>20.399999999999999</v>
      </c>
      <c r="AF13" s="45">
        <v>20.399999999999999</v>
      </c>
      <c r="AG13" s="50">
        <v>45</v>
      </c>
      <c r="AH13" s="47">
        <f t="shared" si="2"/>
        <v>20.7</v>
      </c>
      <c r="AI13" s="48">
        <f t="shared" si="3"/>
        <v>16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9</v>
      </c>
      <c r="C14" s="45">
        <v>9</v>
      </c>
      <c r="D14" s="45">
        <v>9</v>
      </c>
      <c r="E14" s="45">
        <v>9</v>
      </c>
      <c r="F14" s="45">
        <v>9</v>
      </c>
      <c r="G14" s="45">
        <v>9</v>
      </c>
      <c r="H14" s="45">
        <v>9</v>
      </c>
      <c r="I14" s="45">
        <v>9</v>
      </c>
      <c r="J14" s="45">
        <v>9</v>
      </c>
      <c r="K14" s="45">
        <v>9</v>
      </c>
      <c r="L14" s="45">
        <v>9</v>
      </c>
      <c r="M14" s="45">
        <v>9</v>
      </c>
      <c r="N14" s="45">
        <v>9</v>
      </c>
      <c r="O14" s="45">
        <v>9</v>
      </c>
      <c r="P14" s="45">
        <v>9</v>
      </c>
      <c r="Q14" s="45">
        <v>9</v>
      </c>
      <c r="R14" s="45">
        <v>9</v>
      </c>
      <c r="S14" s="45">
        <v>9</v>
      </c>
      <c r="T14" s="45">
        <v>9</v>
      </c>
      <c r="U14" s="45">
        <v>9</v>
      </c>
      <c r="V14" s="45">
        <v>9</v>
      </c>
      <c r="W14" s="45">
        <v>9</v>
      </c>
      <c r="X14" s="45">
        <v>9</v>
      </c>
      <c r="Y14" s="45">
        <v>9</v>
      </c>
      <c r="Z14" s="45">
        <v>9</v>
      </c>
      <c r="AA14" s="45">
        <v>9</v>
      </c>
      <c r="AB14" s="45">
        <v>9</v>
      </c>
      <c r="AC14" s="45">
        <v>9</v>
      </c>
      <c r="AD14" s="45">
        <v>9</v>
      </c>
      <c r="AE14" s="45">
        <v>9</v>
      </c>
      <c r="AF14" s="45">
        <v>9</v>
      </c>
      <c r="AG14" s="50">
        <v>42</v>
      </c>
      <c r="AH14" s="47">
        <f t="shared" si="2"/>
        <v>9</v>
      </c>
      <c r="AI14" s="48">
        <f t="shared" si="3"/>
        <v>9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13</v>
      </c>
      <c r="C15" s="45">
        <v>13</v>
      </c>
      <c r="D15" s="45">
        <v>13</v>
      </c>
      <c r="E15" s="45">
        <v>13</v>
      </c>
      <c r="F15" s="45">
        <v>13</v>
      </c>
      <c r="G15" s="45">
        <v>13</v>
      </c>
      <c r="H15" s="45">
        <v>13</v>
      </c>
      <c r="I15" s="45">
        <v>13</v>
      </c>
      <c r="J15" s="45">
        <v>13</v>
      </c>
      <c r="K15" s="45">
        <v>13</v>
      </c>
      <c r="L15" s="45">
        <v>13</v>
      </c>
      <c r="M15" s="45">
        <v>13</v>
      </c>
      <c r="N15" s="45">
        <v>13</v>
      </c>
      <c r="O15" s="45">
        <v>13</v>
      </c>
      <c r="P15" s="45">
        <v>13</v>
      </c>
      <c r="Q15" s="45">
        <v>13</v>
      </c>
      <c r="R15" s="45">
        <v>13</v>
      </c>
      <c r="S15" s="45">
        <v>13</v>
      </c>
      <c r="T15" s="45">
        <v>13</v>
      </c>
      <c r="U15" s="45">
        <v>13</v>
      </c>
      <c r="V15" s="45">
        <v>13</v>
      </c>
      <c r="W15" s="45">
        <v>13</v>
      </c>
      <c r="X15" s="45">
        <v>13</v>
      </c>
      <c r="Y15" s="45">
        <v>13</v>
      </c>
      <c r="Z15" s="45">
        <v>13</v>
      </c>
      <c r="AA15" s="45">
        <v>13</v>
      </c>
      <c r="AB15" s="45">
        <v>13</v>
      </c>
      <c r="AC15" s="45">
        <v>13</v>
      </c>
      <c r="AD15" s="45">
        <v>13</v>
      </c>
      <c r="AE15" s="45">
        <v>13</v>
      </c>
      <c r="AF15" s="45">
        <v>13</v>
      </c>
      <c r="AG15" s="50">
        <v>36</v>
      </c>
      <c r="AH15" s="47">
        <f t="shared" si="2"/>
        <v>13</v>
      </c>
      <c r="AI15" s="48">
        <f t="shared" si="3"/>
        <v>13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8.5</v>
      </c>
      <c r="C16" s="45">
        <v>8.5</v>
      </c>
      <c r="D16" s="45">
        <v>8.5</v>
      </c>
      <c r="E16" s="45">
        <v>8.5</v>
      </c>
      <c r="F16" s="45">
        <v>8.5</v>
      </c>
      <c r="G16" s="45">
        <v>8.5</v>
      </c>
      <c r="H16" s="45">
        <v>8.5</v>
      </c>
      <c r="I16" s="45">
        <v>8.5</v>
      </c>
      <c r="J16" s="45">
        <v>8.5</v>
      </c>
      <c r="K16" s="45">
        <v>8.5</v>
      </c>
      <c r="L16" s="45">
        <v>8.5</v>
      </c>
      <c r="M16" s="45">
        <v>8.5</v>
      </c>
      <c r="N16" s="45">
        <v>8.5</v>
      </c>
      <c r="O16" s="45">
        <v>8.5</v>
      </c>
      <c r="P16" s="45">
        <v>8.5</v>
      </c>
      <c r="Q16" s="45">
        <v>8.5</v>
      </c>
      <c r="R16" s="45">
        <v>8.5</v>
      </c>
      <c r="S16" s="45">
        <v>8.5</v>
      </c>
      <c r="T16" s="45">
        <v>8.5</v>
      </c>
      <c r="U16" s="45">
        <v>8.5</v>
      </c>
      <c r="V16" s="45">
        <v>8.5</v>
      </c>
      <c r="W16" s="45">
        <v>8.5</v>
      </c>
      <c r="X16" s="45">
        <v>8.5</v>
      </c>
      <c r="Y16" s="45">
        <v>8.5</v>
      </c>
      <c r="Z16" s="45">
        <v>8.5</v>
      </c>
      <c r="AA16" s="45">
        <v>8.5</v>
      </c>
      <c r="AB16" s="45">
        <v>8.5</v>
      </c>
      <c r="AC16" s="45">
        <v>8.5</v>
      </c>
      <c r="AD16" s="45">
        <v>8.5</v>
      </c>
      <c r="AE16" s="45">
        <v>8.5</v>
      </c>
      <c r="AF16" s="45">
        <v>8.5</v>
      </c>
      <c r="AG16" s="51">
        <v>30</v>
      </c>
      <c r="AH16" s="47">
        <f t="shared" si="2"/>
        <v>8.5</v>
      </c>
      <c r="AI16" s="48">
        <f t="shared" si="3"/>
        <v>8.5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7.7</v>
      </c>
      <c r="C17" s="45">
        <v>7.7</v>
      </c>
      <c r="D17" s="45">
        <v>7.7</v>
      </c>
      <c r="E17" s="45">
        <v>7.7</v>
      </c>
      <c r="F17" s="45">
        <v>7.7</v>
      </c>
      <c r="G17" s="45">
        <v>7.7</v>
      </c>
      <c r="H17" s="45">
        <v>7.7</v>
      </c>
      <c r="I17" s="45">
        <v>7.7</v>
      </c>
      <c r="J17" s="45">
        <v>7.7</v>
      </c>
      <c r="K17" s="45">
        <v>7.7</v>
      </c>
      <c r="L17" s="45">
        <v>7.7</v>
      </c>
      <c r="M17" s="45">
        <v>7.7</v>
      </c>
      <c r="N17" s="45">
        <v>7.7</v>
      </c>
      <c r="O17" s="45">
        <v>7.7</v>
      </c>
      <c r="P17" s="45">
        <v>7.7</v>
      </c>
      <c r="Q17" s="45">
        <v>7.7</v>
      </c>
      <c r="R17" s="45">
        <v>7.7</v>
      </c>
      <c r="S17" s="45">
        <v>7.7</v>
      </c>
      <c r="T17" s="45">
        <v>7.7</v>
      </c>
      <c r="U17" s="45">
        <v>7.7</v>
      </c>
      <c r="V17" s="45">
        <v>7.7</v>
      </c>
      <c r="W17" s="45">
        <v>7.7</v>
      </c>
      <c r="X17" s="45">
        <v>7.7</v>
      </c>
      <c r="Y17" s="45">
        <v>7.7</v>
      </c>
      <c r="Z17" s="45">
        <v>7.7</v>
      </c>
      <c r="AA17" s="45">
        <v>7.7</v>
      </c>
      <c r="AB17" s="45">
        <v>7.7</v>
      </c>
      <c r="AC17" s="45">
        <v>7.7</v>
      </c>
      <c r="AD17" s="45">
        <v>7.7</v>
      </c>
      <c r="AE17" s="45">
        <v>7.7</v>
      </c>
      <c r="AF17" s="45">
        <v>7.7</v>
      </c>
      <c r="AG17" s="50">
        <v>24.2</v>
      </c>
      <c r="AH17" s="47">
        <f t="shared" si="2"/>
        <v>7.7</v>
      </c>
      <c r="AI17" s="48">
        <f t="shared" si="3"/>
        <v>7.7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50">
        <v>28</v>
      </c>
      <c r="AH18" s="47">
        <f t="shared" si="2"/>
        <v>8</v>
      </c>
      <c r="AI18" s="48">
        <f t="shared" si="3"/>
        <v>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9.4</v>
      </c>
      <c r="C20" s="45">
        <v>9.4</v>
      </c>
      <c r="D20" s="45">
        <v>9.4</v>
      </c>
      <c r="E20" s="45">
        <v>9.4</v>
      </c>
      <c r="F20" s="45">
        <v>9.4</v>
      </c>
      <c r="G20" s="45">
        <v>9.4</v>
      </c>
      <c r="H20" s="45">
        <v>9.4</v>
      </c>
      <c r="I20" s="45">
        <v>9.4</v>
      </c>
      <c r="J20" s="45">
        <v>9.4</v>
      </c>
      <c r="K20" s="45">
        <v>9.4</v>
      </c>
      <c r="L20" s="45">
        <v>9.4</v>
      </c>
      <c r="M20" s="45">
        <v>9.4</v>
      </c>
      <c r="N20" s="45">
        <v>9.4</v>
      </c>
      <c r="O20" s="45">
        <v>9.4</v>
      </c>
      <c r="P20" s="45">
        <v>9.4</v>
      </c>
      <c r="Q20" s="45">
        <v>9.4</v>
      </c>
      <c r="R20" s="45">
        <v>9.4</v>
      </c>
      <c r="S20" s="45">
        <v>9.4</v>
      </c>
      <c r="T20" s="45">
        <v>9.4</v>
      </c>
      <c r="U20" s="45">
        <v>9.4</v>
      </c>
      <c r="V20" s="45">
        <v>9.4</v>
      </c>
      <c r="W20" s="45">
        <v>9.4</v>
      </c>
      <c r="X20" s="45">
        <v>9.4</v>
      </c>
      <c r="Y20" s="45">
        <v>9.4</v>
      </c>
      <c r="Z20" s="45">
        <v>9.4</v>
      </c>
      <c r="AA20" s="45">
        <v>9.4</v>
      </c>
      <c r="AB20" s="45">
        <v>9.4</v>
      </c>
      <c r="AC20" s="45">
        <v>9.4</v>
      </c>
      <c r="AD20" s="45">
        <v>9.4</v>
      </c>
      <c r="AE20" s="45">
        <v>9.4</v>
      </c>
      <c r="AF20" s="45">
        <v>9.4</v>
      </c>
      <c r="AG20" s="50">
        <v>25</v>
      </c>
      <c r="AH20" s="47">
        <f t="shared" si="2"/>
        <v>9.4</v>
      </c>
      <c r="AI20" s="48">
        <f t="shared" si="3"/>
        <v>9.4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0">
        <v>25</v>
      </c>
      <c r="AH22" s="47">
        <f t="shared" si="2"/>
        <v>11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7.9</v>
      </c>
      <c r="C24" s="45">
        <v>7.6</v>
      </c>
      <c r="D24" s="45">
        <v>7.6</v>
      </c>
      <c r="E24" s="45">
        <v>7.6</v>
      </c>
      <c r="F24" s="45">
        <v>7.6</v>
      </c>
      <c r="G24" s="45">
        <v>7.6</v>
      </c>
      <c r="H24" s="45">
        <v>7.6</v>
      </c>
      <c r="I24" s="45">
        <v>7.6</v>
      </c>
      <c r="J24" s="45">
        <v>7.6</v>
      </c>
      <c r="K24" s="45">
        <v>7.6</v>
      </c>
      <c r="L24" s="45">
        <v>7.6</v>
      </c>
      <c r="M24" s="45">
        <v>7.6</v>
      </c>
      <c r="N24" s="45">
        <v>7.6</v>
      </c>
      <c r="O24" s="45">
        <v>7.6</v>
      </c>
      <c r="P24" s="45">
        <v>7.6</v>
      </c>
      <c r="Q24" s="45">
        <v>7.6</v>
      </c>
      <c r="R24" s="45">
        <v>7.6</v>
      </c>
      <c r="S24" s="45">
        <v>7.6</v>
      </c>
      <c r="T24" s="45">
        <v>7.6</v>
      </c>
      <c r="U24" s="45">
        <v>7.6</v>
      </c>
      <c r="V24" s="45">
        <v>7.6</v>
      </c>
      <c r="W24" s="45">
        <v>7.6</v>
      </c>
      <c r="X24" s="45">
        <v>7.6</v>
      </c>
      <c r="Y24" s="45">
        <v>7.6</v>
      </c>
      <c r="Z24" s="45">
        <v>7.6</v>
      </c>
      <c r="AA24" s="45">
        <v>7.6</v>
      </c>
      <c r="AB24" s="45">
        <v>7.6</v>
      </c>
      <c r="AC24" s="45">
        <v>7.6</v>
      </c>
      <c r="AD24" s="45">
        <v>7.6</v>
      </c>
      <c r="AE24" s="45">
        <v>7.6</v>
      </c>
      <c r="AF24" s="45">
        <v>7.6</v>
      </c>
      <c r="AG24" s="50">
        <v>23.5</v>
      </c>
      <c r="AH24" s="47">
        <f t="shared" si="2"/>
        <v>7.9</v>
      </c>
      <c r="AI24" s="48">
        <f t="shared" si="3"/>
        <v>7.6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11</v>
      </c>
      <c r="C28" s="45">
        <v>11</v>
      </c>
      <c r="D28" s="45">
        <v>11</v>
      </c>
      <c r="E28" s="45">
        <v>11</v>
      </c>
      <c r="F28" s="45">
        <v>11</v>
      </c>
      <c r="G28" s="45">
        <v>11</v>
      </c>
      <c r="H28" s="45">
        <v>11</v>
      </c>
      <c r="I28" s="45">
        <v>11</v>
      </c>
      <c r="J28" s="45">
        <v>11</v>
      </c>
      <c r="K28" s="45">
        <v>11</v>
      </c>
      <c r="L28" s="45">
        <v>11</v>
      </c>
      <c r="M28" s="45">
        <v>11</v>
      </c>
      <c r="N28" s="45">
        <v>11</v>
      </c>
      <c r="O28" s="45">
        <v>11</v>
      </c>
      <c r="P28" s="45">
        <v>11</v>
      </c>
      <c r="Q28" s="45">
        <v>11</v>
      </c>
      <c r="R28" s="45">
        <v>11</v>
      </c>
      <c r="S28" s="45">
        <v>11</v>
      </c>
      <c r="T28" s="45">
        <v>11</v>
      </c>
      <c r="U28" s="45">
        <v>11</v>
      </c>
      <c r="V28" s="45">
        <v>11</v>
      </c>
      <c r="W28" s="45">
        <v>11</v>
      </c>
      <c r="X28" s="45">
        <v>11</v>
      </c>
      <c r="Y28" s="45">
        <v>11</v>
      </c>
      <c r="Z28" s="45">
        <v>11</v>
      </c>
      <c r="AA28" s="45">
        <v>11</v>
      </c>
      <c r="AB28" s="45">
        <v>11</v>
      </c>
      <c r="AC28" s="45">
        <v>11</v>
      </c>
      <c r="AD28" s="45">
        <v>11</v>
      </c>
      <c r="AE28" s="45">
        <v>11</v>
      </c>
      <c r="AF28" s="45">
        <v>11</v>
      </c>
      <c r="AG28" s="50">
        <v>22</v>
      </c>
      <c r="AH28" s="47">
        <f t="shared" si="2"/>
        <v>11</v>
      </c>
      <c r="AI28" s="48">
        <f t="shared" si="3"/>
        <v>11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>
        <v>10</v>
      </c>
      <c r="L35" s="45">
        <v>10</v>
      </c>
      <c r="M35" s="45">
        <v>10</v>
      </c>
      <c r="N35" s="45">
        <v>10</v>
      </c>
      <c r="O35" s="45">
        <v>10</v>
      </c>
      <c r="P35" s="45">
        <v>10</v>
      </c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45">
        <v>10</v>
      </c>
      <c r="Z35" s="45">
        <v>10</v>
      </c>
      <c r="AA35" s="45">
        <v>10</v>
      </c>
      <c r="AB35" s="45">
        <v>10</v>
      </c>
      <c r="AC35" s="45">
        <v>10</v>
      </c>
      <c r="AD35" s="45">
        <v>10</v>
      </c>
      <c r="AE35" s="45">
        <v>10</v>
      </c>
      <c r="AF35" s="45">
        <v>10</v>
      </c>
      <c r="AG35" s="50">
        <v>12</v>
      </c>
      <c r="AH35" s="47">
        <f t="shared" si="2"/>
        <v>10</v>
      </c>
      <c r="AI35" s="48">
        <f t="shared" si="3"/>
        <v>10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120</v>
      </c>
      <c r="C42" s="56">
        <v>120</v>
      </c>
      <c r="D42" s="56">
        <v>120</v>
      </c>
      <c r="E42" s="56">
        <v>120</v>
      </c>
      <c r="F42" s="56">
        <v>120</v>
      </c>
      <c r="G42" s="56">
        <v>120</v>
      </c>
      <c r="H42" s="56">
        <v>120</v>
      </c>
      <c r="I42" s="56">
        <v>120</v>
      </c>
      <c r="J42" s="56">
        <v>120</v>
      </c>
      <c r="K42" s="56">
        <v>120</v>
      </c>
      <c r="L42" s="56">
        <v>120</v>
      </c>
      <c r="M42" s="56">
        <v>100</v>
      </c>
      <c r="N42" s="56">
        <v>100</v>
      </c>
      <c r="O42" s="56">
        <v>100</v>
      </c>
      <c r="P42" s="56">
        <v>100</v>
      </c>
      <c r="Q42" s="56">
        <v>100</v>
      </c>
      <c r="R42" s="56">
        <v>100</v>
      </c>
      <c r="S42" s="56">
        <v>100</v>
      </c>
      <c r="T42" s="56">
        <v>100</v>
      </c>
      <c r="U42" s="56">
        <v>100</v>
      </c>
      <c r="V42" s="56">
        <v>100</v>
      </c>
      <c r="W42" s="56">
        <v>100</v>
      </c>
      <c r="X42" s="56">
        <v>100</v>
      </c>
      <c r="Y42" s="56">
        <v>100</v>
      </c>
      <c r="Z42" s="56">
        <v>100</v>
      </c>
      <c r="AA42" s="56">
        <v>100</v>
      </c>
      <c r="AB42" s="56">
        <v>100</v>
      </c>
      <c r="AC42" s="56">
        <v>100</v>
      </c>
      <c r="AD42" s="56">
        <v>100</v>
      </c>
      <c r="AE42" s="56">
        <v>100</v>
      </c>
      <c r="AF42" s="56">
        <v>100</v>
      </c>
      <c r="AG42" s="54">
        <v>85</v>
      </c>
      <c r="AH42" s="47">
        <f t="shared" si="2"/>
        <v>120</v>
      </c>
      <c r="AI42" s="48">
        <f t="shared" si="3"/>
        <v>100</v>
      </c>
      <c r="AK42" s="49"/>
    </row>
    <row r="43" spans="1:88" ht="15.75" thickBot="1" x14ac:dyDescent="0.3">
      <c r="A43" s="57" t="s">
        <v>51</v>
      </c>
      <c r="B43" s="56"/>
      <c r="C43" s="56"/>
      <c r="D43" s="56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:C44" si="4">SUM(B11:B42)</f>
        <v>401.40000000000003</v>
      </c>
      <c r="C44" s="60">
        <f t="shared" si="4"/>
        <v>401.09999999999997</v>
      </c>
      <c r="D44" s="60">
        <f t="shared" ref="D44" si="5">SUM(D11:D42)</f>
        <v>401.3</v>
      </c>
      <c r="E44" s="60">
        <f t="shared" ref="E44:AG44" si="6">SUM(E11:E42)</f>
        <v>401.3</v>
      </c>
      <c r="F44" s="60">
        <f t="shared" si="6"/>
        <v>401.3</v>
      </c>
      <c r="G44" s="60">
        <f t="shared" si="6"/>
        <v>401.3</v>
      </c>
      <c r="H44" s="60">
        <f t="shared" si="6"/>
        <v>401.3</v>
      </c>
      <c r="I44" s="60">
        <f t="shared" si="6"/>
        <v>401.3</v>
      </c>
      <c r="J44" s="60">
        <f t="shared" si="6"/>
        <v>401.3</v>
      </c>
      <c r="K44" s="60">
        <f t="shared" si="6"/>
        <v>401.3</v>
      </c>
      <c r="L44" s="60">
        <f t="shared" si="6"/>
        <v>401.3</v>
      </c>
      <c r="M44" s="60">
        <f t="shared" si="6"/>
        <v>381.3</v>
      </c>
      <c r="N44" s="60">
        <f t="shared" si="6"/>
        <v>381.3</v>
      </c>
      <c r="O44" s="60">
        <f t="shared" ref="O44" si="7">SUM(O11:O42)</f>
        <v>379.8</v>
      </c>
      <c r="P44" s="60">
        <f t="shared" si="6"/>
        <v>379.8</v>
      </c>
      <c r="Q44" s="60">
        <f t="shared" si="6"/>
        <v>379.8</v>
      </c>
      <c r="R44" s="60">
        <f t="shared" si="6"/>
        <v>379.8</v>
      </c>
      <c r="S44" s="60">
        <f t="shared" si="6"/>
        <v>379.8</v>
      </c>
      <c r="T44" s="60">
        <f t="shared" si="6"/>
        <v>379.3</v>
      </c>
      <c r="U44" s="60">
        <f t="shared" si="6"/>
        <v>379.3</v>
      </c>
      <c r="V44" s="60">
        <f t="shared" si="6"/>
        <v>379.3</v>
      </c>
      <c r="W44" s="60">
        <f t="shared" si="6"/>
        <v>379.3</v>
      </c>
      <c r="X44" s="60">
        <f t="shared" si="6"/>
        <v>383.2</v>
      </c>
      <c r="Y44" s="60">
        <v>381.7</v>
      </c>
      <c r="Z44" s="60">
        <f t="shared" si="6"/>
        <v>381.7</v>
      </c>
      <c r="AA44" s="60">
        <f t="shared" si="6"/>
        <v>381.59999999999997</v>
      </c>
      <c r="AB44" s="60">
        <f t="shared" si="6"/>
        <v>381.59999999999997</v>
      </c>
      <c r="AC44" s="60">
        <f t="shared" si="6"/>
        <v>381.59999999999997</v>
      </c>
      <c r="AD44" s="60">
        <f t="shared" si="6"/>
        <v>381.59999999999997</v>
      </c>
      <c r="AE44" s="60">
        <f t="shared" si="6"/>
        <v>381.59999999999997</v>
      </c>
      <c r="AF44" s="60">
        <f t="shared" si="6"/>
        <v>381.59999999999997</v>
      </c>
      <c r="AG44" s="61">
        <f t="shared" si="6"/>
        <v>814.78000000000009</v>
      </c>
      <c r="AH44" s="47">
        <f t="shared" si="2"/>
        <v>401.40000000000003</v>
      </c>
      <c r="AI44" s="48">
        <f t="shared" si="3"/>
        <v>379.3</v>
      </c>
      <c r="AK44" s="49"/>
    </row>
    <row r="45" spans="1:88" x14ac:dyDescent="0.25">
      <c r="A45" s="62" t="s">
        <v>53</v>
      </c>
      <c r="B45" s="45">
        <v>45</v>
      </c>
      <c r="C45" s="45">
        <v>30</v>
      </c>
      <c r="D45" s="45">
        <v>76</v>
      </c>
      <c r="E45" s="45">
        <v>60</v>
      </c>
      <c r="F45" s="45">
        <v>50</v>
      </c>
      <c r="G45" s="45">
        <v>60</v>
      </c>
      <c r="H45" s="45">
        <v>80</v>
      </c>
      <c r="I45" s="45">
        <v>90</v>
      </c>
      <c r="J45" s="45">
        <v>110</v>
      </c>
      <c r="K45" s="45">
        <v>170</v>
      </c>
      <c r="L45" s="45">
        <v>130</v>
      </c>
      <c r="M45" s="63">
        <v>120</v>
      </c>
      <c r="N45" s="63">
        <v>75</v>
      </c>
      <c r="O45" s="63">
        <v>75</v>
      </c>
      <c r="P45" s="63">
        <v>75</v>
      </c>
      <c r="Q45" s="45">
        <v>110</v>
      </c>
      <c r="R45" s="45">
        <v>75</v>
      </c>
      <c r="S45" s="45">
        <v>81.5</v>
      </c>
      <c r="T45" s="45">
        <v>81.5</v>
      </c>
      <c r="U45" s="45">
        <v>125</v>
      </c>
      <c r="V45" s="45">
        <v>95</v>
      </c>
      <c r="W45" s="45">
        <v>75</v>
      </c>
      <c r="X45" s="45">
        <v>120</v>
      </c>
      <c r="Y45" s="45">
        <v>200</v>
      </c>
      <c r="Z45" s="45">
        <v>315</v>
      </c>
      <c r="AA45" s="45">
        <v>270</v>
      </c>
      <c r="AB45" s="45">
        <v>110</v>
      </c>
      <c r="AC45" s="45">
        <v>120</v>
      </c>
      <c r="AD45" s="45">
        <v>76</v>
      </c>
      <c r="AE45" s="45">
        <v>70</v>
      </c>
      <c r="AF45" s="45">
        <v>60</v>
      </c>
      <c r="AG45" s="51">
        <v>456</v>
      </c>
      <c r="AH45" s="47">
        <f t="shared" si="2"/>
        <v>315</v>
      </c>
      <c r="AI45" s="48">
        <f t="shared" si="3"/>
        <v>30</v>
      </c>
      <c r="AK45" s="49"/>
    </row>
    <row r="46" spans="1:88" x14ac:dyDescent="0.25">
      <c r="A46" s="64" t="s">
        <v>54</v>
      </c>
      <c r="B46" s="65">
        <v>30</v>
      </c>
      <c r="C46" s="65">
        <v>30</v>
      </c>
      <c r="D46" s="65">
        <v>30</v>
      </c>
      <c r="E46" s="65">
        <v>30</v>
      </c>
      <c r="F46" s="65">
        <v>30</v>
      </c>
      <c r="G46" s="65">
        <v>30</v>
      </c>
      <c r="H46" s="65">
        <v>30</v>
      </c>
      <c r="I46" s="65">
        <v>30</v>
      </c>
      <c r="J46" s="65">
        <v>30</v>
      </c>
      <c r="K46" s="65">
        <v>30</v>
      </c>
      <c r="L46" s="65">
        <v>30</v>
      </c>
      <c r="M46" s="65">
        <v>29.69</v>
      </c>
      <c r="N46" s="65">
        <v>30</v>
      </c>
      <c r="O46" s="65">
        <v>30</v>
      </c>
      <c r="P46" s="65">
        <v>30</v>
      </c>
      <c r="Q46" s="65">
        <v>30</v>
      </c>
      <c r="R46" s="65">
        <v>30</v>
      </c>
      <c r="S46" s="65">
        <v>30</v>
      </c>
      <c r="T46" s="65">
        <v>30</v>
      </c>
      <c r="U46" s="65">
        <v>30</v>
      </c>
      <c r="V46" s="65">
        <v>30</v>
      </c>
      <c r="W46" s="65">
        <v>30</v>
      </c>
      <c r="X46" s="65">
        <v>30</v>
      </c>
      <c r="Y46" s="65">
        <v>30</v>
      </c>
      <c r="Z46" s="65">
        <v>30</v>
      </c>
      <c r="AA46" s="65">
        <v>30</v>
      </c>
      <c r="AB46" s="65">
        <v>30</v>
      </c>
      <c r="AC46" s="65">
        <v>30</v>
      </c>
      <c r="AD46" s="65">
        <v>30</v>
      </c>
      <c r="AE46" s="65">
        <v>30</v>
      </c>
      <c r="AF46" s="65">
        <v>30</v>
      </c>
      <c r="AG46" s="54">
        <v>60</v>
      </c>
      <c r="AH46" s="47">
        <f t="shared" si="2"/>
        <v>30</v>
      </c>
      <c r="AI46" s="48">
        <f t="shared" si="3"/>
        <v>29.69</v>
      </c>
      <c r="AK46" s="49"/>
    </row>
    <row r="47" spans="1:88" ht="15.75" thickBot="1" x14ac:dyDescent="0.3">
      <c r="A47" s="66" t="s">
        <v>55</v>
      </c>
      <c r="B47" s="67">
        <v>10.199999999999999</v>
      </c>
      <c r="C47" s="67">
        <v>10.199999999999999</v>
      </c>
      <c r="D47" s="67">
        <v>10.199999999999999</v>
      </c>
      <c r="E47" s="67">
        <v>10.199999999999999</v>
      </c>
      <c r="F47" s="67">
        <v>10.199999999999999</v>
      </c>
      <c r="G47" s="67">
        <v>10.199999999999999</v>
      </c>
      <c r="H47" s="67">
        <v>10.199999999999999</v>
      </c>
      <c r="I47" s="67">
        <v>10.199999999999999</v>
      </c>
      <c r="J47" s="67">
        <v>10.199999999999999</v>
      </c>
      <c r="K47" s="67">
        <v>10.199999999999999</v>
      </c>
      <c r="L47" s="67">
        <v>10.199999999999999</v>
      </c>
      <c r="M47" s="67">
        <v>10.1</v>
      </c>
      <c r="N47" s="67">
        <v>10.199999999999999</v>
      </c>
      <c r="O47" s="67">
        <v>10.199999999999999</v>
      </c>
      <c r="P47" s="67">
        <v>10.199999999999999</v>
      </c>
      <c r="Q47" s="67">
        <v>10</v>
      </c>
      <c r="R47" s="67">
        <v>10</v>
      </c>
      <c r="S47" s="67">
        <v>10</v>
      </c>
      <c r="T47" s="67">
        <v>10</v>
      </c>
      <c r="U47" s="67">
        <v>10</v>
      </c>
      <c r="V47" s="67">
        <v>10</v>
      </c>
      <c r="W47" s="67">
        <v>10</v>
      </c>
      <c r="X47" s="67">
        <v>10</v>
      </c>
      <c r="Y47" s="67">
        <v>10</v>
      </c>
      <c r="Z47" s="67">
        <v>10</v>
      </c>
      <c r="AA47" s="67">
        <v>10</v>
      </c>
      <c r="AB47" s="67">
        <v>13</v>
      </c>
      <c r="AC47" s="67">
        <v>13</v>
      </c>
      <c r="AD47" s="67">
        <v>10.199999999999999</v>
      </c>
      <c r="AE47" s="67">
        <v>10.199999999999999</v>
      </c>
      <c r="AF47" s="67">
        <v>10.199999999999999</v>
      </c>
      <c r="AG47" s="68">
        <v>22.1</v>
      </c>
      <c r="AH47" s="47">
        <f t="shared" si="2"/>
        <v>13</v>
      </c>
      <c r="AI47" s="48">
        <f t="shared" si="3"/>
        <v>10</v>
      </c>
      <c r="AK47" s="49"/>
    </row>
    <row r="48" spans="1:88" ht="15.75" thickBot="1" x14ac:dyDescent="0.3">
      <c r="A48" s="69" t="s">
        <v>56</v>
      </c>
      <c r="B48" s="60">
        <f t="shared" ref="B48:C48" si="8">SUM(B45:B47)</f>
        <v>85.2</v>
      </c>
      <c r="C48" s="60">
        <f t="shared" si="8"/>
        <v>70.2</v>
      </c>
      <c r="D48" s="60">
        <f t="shared" ref="D48" si="9">SUM(D45:D47)</f>
        <v>116.2</v>
      </c>
      <c r="E48" s="60">
        <f t="shared" ref="E48:AG48" si="10">SUM(E45:E47)</f>
        <v>100.2</v>
      </c>
      <c r="F48" s="60">
        <f t="shared" si="10"/>
        <v>90.2</v>
      </c>
      <c r="G48" s="60">
        <f t="shared" si="10"/>
        <v>100.2</v>
      </c>
      <c r="H48" s="60">
        <f t="shared" si="10"/>
        <v>120.2</v>
      </c>
      <c r="I48" s="60">
        <f t="shared" si="10"/>
        <v>130.19999999999999</v>
      </c>
      <c r="J48" s="60">
        <f t="shared" si="10"/>
        <v>150.19999999999999</v>
      </c>
      <c r="K48" s="60">
        <f t="shared" si="10"/>
        <v>210.2</v>
      </c>
      <c r="L48" s="60">
        <f t="shared" si="10"/>
        <v>170.2</v>
      </c>
      <c r="M48" s="60">
        <f t="shared" si="10"/>
        <v>159.79</v>
      </c>
      <c r="N48" s="60">
        <f t="shared" si="10"/>
        <v>115.2</v>
      </c>
      <c r="O48" s="60">
        <f t="shared" ref="O48" si="11">SUM(O45:O47)</f>
        <v>115.2</v>
      </c>
      <c r="P48" s="60">
        <f t="shared" si="10"/>
        <v>115.2</v>
      </c>
      <c r="Q48" s="60">
        <f t="shared" si="10"/>
        <v>150</v>
      </c>
      <c r="R48" s="60">
        <f t="shared" si="10"/>
        <v>115</v>
      </c>
      <c r="S48" s="60">
        <f t="shared" si="10"/>
        <v>121.5</v>
      </c>
      <c r="T48" s="60">
        <f t="shared" si="10"/>
        <v>121.5</v>
      </c>
      <c r="U48" s="60">
        <f t="shared" si="10"/>
        <v>165</v>
      </c>
      <c r="V48" s="60">
        <f t="shared" si="10"/>
        <v>135</v>
      </c>
      <c r="W48" s="60">
        <f t="shared" si="10"/>
        <v>115</v>
      </c>
      <c r="X48" s="60">
        <f t="shared" si="10"/>
        <v>160</v>
      </c>
      <c r="Y48" s="60">
        <v>240</v>
      </c>
      <c r="Z48" s="60">
        <f t="shared" si="10"/>
        <v>355</v>
      </c>
      <c r="AA48" s="60">
        <f t="shared" si="10"/>
        <v>310</v>
      </c>
      <c r="AB48" s="60">
        <f t="shared" si="10"/>
        <v>153</v>
      </c>
      <c r="AC48" s="60">
        <f t="shared" si="10"/>
        <v>163</v>
      </c>
      <c r="AD48" s="60">
        <f t="shared" si="10"/>
        <v>116.2</v>
      </c>
      <c r="AE48" s="60">
        <f t="shared" si="10"/>
        <v>110.2</v>
      </c>
      <c r="AF48" s="60">
        <f t="shared" si="10"/>
        <v>100.2</v>
      </c>
      <c r="AG48" s="61">
        <f t="shared" si="10"/>
        <v>538.1</v>
      </c>
      <c r="AH48" s="47">
        <f t="shared" si="2"/>
        <v>355</v>
      </c>
      <c r="AI48" s="48">
        <f t="shared" si="3"/>
        <v>70.2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27.4</v>
      </c>
      <c r="H49" s="45">
        <v>41.4</v>
      </c>
      <c r="I49" s="45">
        <v>72</v>
      </c>
      <c r="J49" s="45">
        <v>125</v>
      </c>
      <c r="K49" s="45">
        <v>132</v>
      </c>
      <c r="L49" s="45">
        <v>103</v>
      </c>
      <c r="M49" s="45">
        <v>100</v>
      </c>
      <c r="N49" s="45">
        <v>93.8</v>
      </c>
      <c r="O49" s="45">
        <v>93.8</v>
      </c>
      <c r="P49" s="45">
        <v>121</v>
      </c>
      <c r="Q49" s="45">
        <v>134</v>
      </c>
      <c r="R49" s="45">
        <v>131.6</v>
      </c>
      <c r="S49" s="45">
        <v>90</v>
      </c>
      <c r="T49" s="45">
        <v>60</v>
      </c>
      <c r="U49" s="45">
        <v>36</v>
      </c>
      <c r="V49" s="45">
        <v>28.6</v>
      </c>
      <c r="W49" s="45">
        <v>61</v>
      </c>
      <c r="X49" s="45">
        <v>112.8</v>
      </c>
      <c r="Y49" s="45">
        <v>138.69999999999999</v>
      </c>
      <c r="Z49" s="45">
        <v>138.6</v>
      </c>
      <c r="AA49" s="45">
        <v>138.30000000000001</v>
      </c>
      <c r="AB49" s="45">
        <v>112.6</v>
      </c>
      <c r="AC49" s="45">
        <v>91.3</v>
      </c>
      <c r="AD49" s="45">
        <v>81.3</v>
      </c>
      <c r="AE49" s="45">
        <v>61.4</v>
      </c>
      <c r="AF49" s="45">
        <v>0</v>
      </c>
      <c r="AG49" s="51">
        <v>144</v>
      </c>
      <c r="AH49" s="47">
        <f t="shared" si="2"/>
        <v>138.69999999999999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35.200000000000003</v>
      </c>
      <c r="C50" s="65">
        <v>21.4</v>
      </c>
      <c r="D50" s="65">
        <v>35.4</v>
      </c>
      <c r="E50" s="65">
        <v>35.4</v>
      </c>
      <c r="F50" s="65">
        <v>26.7</v>
      </c>
      <c r="G50" s="65">
        <v>26.7</v>
      </c>
      <c r="H50" s="65">
        <v>26</v>
      </c>
      <c r="I50" s="65">
        <v>35</v>
      </c>
      <c r="J50" s="65">
        <v>36</v>
      </c>
      <c r="K50" s="65">
        <v>36</v>
      </c>
      <c r="L50" s="65">
        <v>50.6</v>
      </c>
      <c r="M50" s="65">
        <v>46</v>
      </c>
      <c r="N50" s="65">
        <v>45</v>
      </c>
      <c r="O50" s="65">
        <v>23</v>
      </c>
      <c r="P50" s="65">
        <v>23</v>
      </c>
      <c r="Q50" s="65">
        <v>60.1</v>
      </c>
      <c r="R50" s="65">
        <v>30</v>
      </c>
      <c r="S50" s="65">
        <v>31</v>
      </c>
      <c r="T50" s="65">
        <v>30.6</v>
      </c>
      <c r="U50" s="65">
        <v>35</v>
      </c>
      <c r="V50" s="65">
        <v>35.9</v>
      </c>
      <c r="W50" s="65">
        <v>20.8</v>
      </c>
      <c r="X50" s="65">
        <v>48.9</v>
      </c>
      <c r="Y50" s="45">
        <v>61.2</v>
      </c>
      <c r="Z50" s="45">
        <v>61.9</v>
      </c>
      <c r="AA50" s="45">
        <v>50</v>
      </c>
      <c r="AB50" s="45">
        <v>50</v>
      </c>
      <c r="AC50" s="45">
        <v>26.8</v>
      </c>
      <c r="AD50" s="45">
        <v>36</v>
      </c>
      <c r="AE50" s="45">
        <v>23.9</v>
      </c>
      <c r="AF50" s="45">
        <v>26</v>
      </c>
      <c r="AG50" s="54">
        <v>70</v>
      </c>
      <c r="AH50" s="47">
        <f t="shared" si="2"/>
        <v>61.9</v>
      </c>
      <c r="AI50" s="48">
        <f t="shared" si="3"/>
        <v>20.8</v>
      </c>
      <c r="AK50" s="49"/>
    </row>
    <row r="51" spans="1:41" x14ac:dyDescent="0.25">
      <c r="A51" s="53" t="s">
        <v>59</v>
      </c>
      <c r="B51" s="65">
        <v>16.2</v>
      </c>
      <c r="C51" s="65">
        <v>0</v>
      </c>
      <c r="D51" s="65">
        <v>0</v>
      </c>
      <c r="E51" s="65">
        <v>0</v>
      </c>
      <c r="F51" s="65">
        <v>21</v>
      </c>
      <c r="G51" s="65">
        <v>23.7</v>
      </c>
      <c r="H51" s="65">
        <v>35.4</v>
      </c>
      <c r="I51" s="65">
        <v>67</v>
      </c>
      <c r="J51" s="65">
        <v>69</v>
      </c>
      <c r="K51" s="65">
        <v>61</v>
      </c>
      <c r="L51" s="65">
        <v>50</v>
      </c>
      <c r="M51" s="65">
        <v>49.5</v>
      </c>
      <c r="N51" s="65">
        <v>33.9</v>
      </c>
      <c r="O51" s="65">
        <v>33.9</v>
      </c>
      <c r="P51" s="65">
        <v>33.9</v>
      </c>
      <c r="Q51" s="65">
        <v>33.299999999999997</v>
      </c>
      <c r="R51" s="65">
        <v>33</v>
      </c>
      <c r="S51" s="65">
        <v>45.6</v>
      </c>
      <c r="T51" s="65">
        <v>45.6</v>
      </c>
      <c r="U51" s="65">
        <v>46</v>
      </c>
      <c r="V51" s="65">
        <v>46</v>
      </c>
      <c r="W51" s="65">
        <v>51</v>
      </c>
      <c r="X51" s="65">
        <v>69</v>
      </c>
      <c r="Y51" s="45">
        <v>64.599999999999994</v>
      </c>
      <c r="Z51" s="45">
        <v>68.2</v>
      </c>
      <c r="AA51" s="45">
        <v>68.099999999999994</v>
      </c>
      <c r="AB51" s="45">
        <v>52.2</v>
      </c>
      <c r="AC51" s="45">
        <v>52.5</v>
      </c>
      <c r="AD51" s="45">
        <v>66</v>
      </c>
      <c r="AE51" s="45">
        <v>66</v>
      </c>
      <c r="AF51" s="45">
        <v>36.4</v>
      </c>
      <c r="AG51" s="54">
        <v>69</v>
      </c>
      <c r="AH51" s="47">
        <f t="shared" si="2"/>
        <v>69</v>
      </c>
      <c r="AI51" s="48">
        <f t="shared" si="3"/>
        <v>0</v>
      </c>
      <c r="AK51" s="49"/>
    </row>
    <row r="52" spans="1:41" x14ac:dyDescent="0.25">
      <c r="A52" s="53" t="s">
        <v>60</v>
      </c>
      <c r="B52" s="65">
        <v>45.8</v>
      </c>
      <c r="C52" s="65">
        <v>44.3</v>
      </c>
      <c r="D52" s="65">
        <v>44.3</v>
      </c>
      <c r="E52" s="65">
        <v>45.3</v>
      </c>
      <c r="F52" s="65">
        <v>45.3</v>
      </c>
      <c r="G52" s="65">
        <v>45.3</v>
      </c>
      <c r="H52" s="65">
        <v>45.3</v>
      </c>
      <c r="I52" s="65">
        <v>45.3</v>
      </c>
      <c r="J52" s="65">
        <v>45.3</v>
      </c>
      <c r="K52" s="65">
        <v>45.3</v>
      </c>
      <c r="L52" s="65">
        <v>45.3</v>
      </c>
      <c r="M52" s="65">
        <v>45.3</v>
      </c>
      <c r="N52" s="65">
        <v>45.1</v>
      </c>
      <c r="O52" s="65">
        <v>45.1</v>
      </c>
      <c r="P52" s="65">
        <v>45.1</v>
      </c>
      <c r="Q52" s="65">
        <v>45.1</v>
      </c>
      <c r="R52" s="65">
        <v>45.1</v>
      </c>
      <c r="S52" s="65">
        <v>45.1</v>
      </c>
      <c r="T52" s="65">
        <v>45.1</v>
      </c>
      <c r="U52" s="65">
        <v>45.1</v>
      </c>
      <c r="V52" s="65">
        <v>45.1</v>
      </c>
      <c r="W52" s="65">
        <v>45.1</v>
      </c>
      <c r="X52" s="65">
        <v>42.3</v>
      </c>
      <c r="Y52" s="65">
        <v>42</v>
      </c>
      <c r="Z52" s="65">
        <v>42</v>
      </c>
      <c r="AA52" s="65">
        <v>42</v>
      </c>
      <c r="AB52" s="65">
        <v>42</v>
      </c>
      <c r="AC52" s="65">
        <v>42</v>
      </c>
      <c r="AD52" s="65">
        <v>44</v>
      </c>
      <c r="AE52" s="65">
        <v>50.4</v>
      </c>
      <c r="AF52" s="65">
        <v>50.4</v>
      </c>
      <c r="AG52" s="54">
        <v>60</v>
      </c>
      <c r="AH52" s="47">
        <f t="shared" si="2"/>
        <v>50.4</v>
      </c>
      <c r="AI52" s="48">
        <f t="shared" si="3"/>
        <v>42</v>
      </c>
      <c r="AK52" s="49"/>
    </row>
    <row r="53" spans="1:41" x14ac:dyDescent="0.25">
      <c r="A53" s="53" t="s">
        <v>61</v>
      </c>
      <c r="B53" s="65">
        <v>13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13</v>
      </c>
      <c r="J53" s="65">
        <v>13</v>
      </c>
      <c r="K53" s="65">
        <v>13</v>
      </c>
      <c r="L53" s="65">
        <v>15</v>
      </c>
      <c r="M53" s="65">
        <v>15</v>
      </c>
      <c r="N53" s="65">
        <v>15</v>
      </c>
      <c r="O53" s="65">
        <v>15</v>
      </c>
      <c r="P53" s="65">
        <v>15</v>
      </c>
      <c r="Q53" s="65">
        <v>10</v>
      </c>
      <c r="R53" s="65">
        <v>10</v>
      </c>
      <c r="S53" s="65">
        <v>10</v>
      </c>
      <c r="T53" s="65">
        <v>10</v>
      </c>
      <c r="U53" s="65">
        <v>10</v>
      </c>
      <c r="V53" s="65">
        <v>10</v>
      </c>
      <c r="W53" s="65">
        <v>12</v>
      </c>
      <c r="X53" s="65">
        <v>15</v>
      </c>
      <c r="Y53" s="65">
        <v>15</v>
      </c>
      <c r="Z53" s="65">
        <v>15</v>
      </c>
      <c r="AA53" s="65">
        <v>15</v>
      </c>
      <c r="AB53" s="65">
        <v>15</v>
      </c>
      <c r="AC53" s="65">
        <v>15</v>
      </c>
      <c r="AD53" s="65">
        <v>15</v>
      </c>
      <c r="AE53" s="65">
        <v>13</v>
      </c>
      <c r="AF53" s="65">
        <v>13</v>
      </c>
      <c r="AG53" s="54">
        <v>30</v>
      </c>
      <c r="AH53" s="47">
        <f t="shared" si="2"/>
        <v>15</v>
      </c>
      <c r="AI53" s="48">
        <f t="shared" si="3"/>
        <v>0</v>
      </c>
      <c r="AK53" s="49"/>
    </row>
    <row r="54" spans="1:41" x14ac:dyDescent="0.25">
      <c r="A54" s="53" t="s">
        <v>62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0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16</v>
      </c>
      <c r="C55" s="65">
        <v>16</v>
      </c>
      <c r="D55" s="65">
        <v>16</v>
      </c>
      <c r="E55" s="65">
        <v>16</v>
      </c>
      <c r="F55" s="65">
        <v>16</v>
      </c>
      <c r="G55" s="65">
        <v>16</v>
      </c>
      <c r="H55" s="65">
        <v>16</v>
      </c>
      <c r="I55" s="65">
        <v>16</v>
      </c>
      <c r="J55" s="65">
        <v>16</v>
      </c>
      <c r="K55" s="65">
        <v>16</v>
      </c>
      <c r="L55" s="65">
        <v>16</v>
      </c>
      <c r="M55" s="65">
        <v>16</v>
      </c>
      <c r="N55" s="65">
        <v>16</v>
      </c>
      <c r="O55" s="65">
        <v>16</v>
      </c>
      <c r="P55" s="65">
        <v>16</v>
      </c>
      <c r="Q55" s="65">
        <v>16</v>
      </c>
      <c r="R55" s="65">
        <v>16</v>
      </c>
      <c r="S55" s="65">
        <v>16</v>
      </c>
      <c r="T55" s="65">
        <v>16</v>
      </c>
      <c r="U55" s="65">
        <v>16</v>
      </c>
      <c r="V55" s="65">
        <v>16</v>
      </c>
      <c r="W55" s="65">
        <v>16</v>
      </c>
      <c r="X55" s="65">
        <v>16</v>
      </c>
      <c r="Y55" s="65">
        <v>16</v>
      </c>
      <c r="Z55" s="65">
        <v>16</v>
      </c>
      <c r="AA55" s="65">
        <v>16</v>
      </c>
      <c r="AB55" s="65">
        <v>16</v>
      </c>
      <c r="AC55" s="65">
        <v>16</v>
      </c>
      <c r="AD55" s="65">
        <v>16</v>
      </c>
      <c r="AE55" s="65">
        <v>16</v>
      </c>
      <c r="AF55" s="65">
        <v>16</v>
      </c>
      <c r="AG55" s="54">
        <v>24</v>
      </c>
      <c r="AH55" s="47">
        <f t="shared" si="2"/>
        <v>16</v>
      </c>
      <c r="AI55" s="48">
        <f t="shared" si="3"/>
        <v>16</v>
      </c>
      <c r="AK55" s="49"/>
    </row>
    <row r="56" spans="1:41" x14ac:dyDescent="0.25">
      <c r="A56" s="53" t="s">
        <v>64</v>
      </c>
      <c r="B56" s="65">
        <v>3.3</v>
      </c>
      <c r="C56" s="65">
        <v>3.3</v>
      </c>
      <c r="D56" s="65">
        <v>3.3</v>
      </c>
      <c r="E56" s="65">
        <v>3.3</v>
      </c>
      <c r="F56" s="65">
        <v>3.3</v>
      </c>
      <c r="G56" s="65">
        <v>3.3</v>
      </c>
      <c r="H56" s="65">
        <v>3.3</v>
      </c>
      <c r="I56" s="65">
        <v>3.3</v>
      </c>
      <c r="J56" s="65">
        <v>3.3</v>
      </c>
      <c r="K56" s="65">
        <v>3.3</v>
      </c>
      <c r="L56" s="65">
        <v>3.3</v>
      </c>
      <c r="M56" s="65">
        <v>3.3</v>
      </c>
      <c r="N56" s="65">
        <v>3.3</v>
      </c>
      <c r="O56" s="65">
        <v>3.3</v>
      </c>
      <c r="P56" s="65">
        <v>3.3</v>
      </c>
      <c r="Q56" s="65">
        <v>3.3</v>
      </c>
      <c r="R56" s="65">
        <v>3.3</v>
      </c>
      <c r="S56" s="65">
        <v>3.3</v>
      </c>
      <c r="T56" s="65">
        <v>3.3</v>
      </c>
      <c r="U56" s="65">
        <v>3.3</v>
      </c>
      <c r="V56" s="65">
        <v>3.3</v>
      </c>
      <c r="W56" s="65">
        <v>3.3</v>
      </c>
      <c r="X56" s="65">
        <v>3.3</v>
      </c>
      <c r="Y56" s="65">
        <v>3.3</v>
      </c>
      <c r="Z56" s="65">
        <v>3.3</v>
      </c>
      <c r="AA56" s="65">
        <v>3.3</v>
      </c>
      <c r="AB56" s="65">
        <v>3.3</v>
      </c>
      <c r="AC56" s="65">
        <v>3.3</v>
      </c>
      <c r="AD56" s="65">
        <v>3.3</v>
      </c>
      <c r="AE56" s="65">
        <v>3.3</v>
      </c>
      <c r="AF56" s="65">
        <v>3.3</v>
      </c>
      <c r="AG56" s="54">
        <v>15</v>
      </c>
      <c r="AH56" s="47">
        <f t="shared" si="2"/>
        <v>3.3</v>
      </c>
      <c r="AI56" s="48">
        <f t="shared" si="3"/>
        <v>3.3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11.5</v>
      </c>
      <c r="C57" s="65">
        <v>11.5</v>
      </c>
      <c r="D57" s="65">
        <v>11.5</v>
      </c>
      <c r="E57" s="65">
        <v>11.5</v>
      </c>
      <c r="F57" s="65">
        <v>11.5</v>
      </c>
      <c r="G57" s="65">
        <v>11.5</v>
      </c>
      <c r="H57" s="65">
        <v>11.5</v>
      </c>
      <c r="I57" s="65">
        <v>11.5</v>
      </c>
      <c r="J57" s="65">
        <v>11.5</v>
      </c>
      <c r="K57" s="65">
        <v>11.5</v>
      </c>
      <c r="L57" s="65">
        <v>11.5</v>
      </c>
      <c r="M57" s="65">
        <v>11.1</v>
      </c>
      <c r="N57" s="65">
        <v>11.1</v>
      </c>
      <c r="O57" s="65">
        <v>11.1</v>
      </c>
      <c r="P57" s="65">
        <v>11.1</v>
      </c>
      <c r="Q57" s="65">
        <v>11.1</v>
      </c>
      <c r="R57" s="65">
        <v>11.1</v>
      </c>
      <c r="S57" s="65">
        <v>11.1</v>
      </c>
      <c r="T57" s="65">
        <v>11.1</v>
      </c>
      <c r="U57" s="65">
        <v>11.1</v>
      </c>
      <c r="V57" s="65">
        <v>11.1</v>
      </c>
      <c r="W57" s="65">
        <v>11.1</v>
      </c>
      <c r="X57" s="65">
        <v>11.1</v>
      </c>
      <c r="Y57" s="65">
        <v>11.1</v>
      </c>
      <c r="Z57" s="65">
        <v>11.1</v>
      </c>
      <c r="AA57" s="65">
        <v>11.1</v>
      </c>
      <c r="AB57" s="65">
        <v>11.1</v>
      </c>
      <c r="AC57" s="65">
        <v>9.6</v>
      </c>
      <c r="AD57" s="65">
        <v>9.6</v>
      </c>
      <c r="AE57" s="65">
        <v>9.6</v>
      </c>
      <c r="AF57" s="65">
        <v>9.6</v>
      </c>
      <c r="AG57" s="54">
        <v>14.1</v>
      </c>
      <c r="AH57" s="47">
        <f t="shared" si="2"/>
        <v>11.5</v>
      </c>
      <c r="AI57" s="48">
        <f t="shared" si="3"/>
        <v>9.6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3</v>
      </c>
      <c r="C58" s="65">
        <v>3</v>
      </c>
      <c r="D58" s="65">
        <v>3</v>
      </c>
      <c r="E58" s="65">
        <v>3</v>
      </c>
      <c r="F58" s="65">
        <v>3</v>
      </c>
      <c r="G58" s="65">
        <v>3</v>
      </c>
      <c r="H58" s="65">
        <v>3</v>
      </c>
      <c r="I58" s="65">
        <v>3</v>
      </c>
      <c r="J58" s="65">
        <v>3</v>
      </c>
      <c r="K58" s="65">
        <v>3</v>
      </c>
      <c r="L58" s="65">
        <v>3</v>
      </c>
      <c r="M58" s="65">
        <v>3</v>
      </c>
      <c r="N58" s="65">
        <v>3</v>
      </c>
      <c r="O58" s="65">
        <v>3</v>
      </c>
      <c r="P58" s="65">
        <v>3</v>
      </c>
      <c r="Q58" s="65">
        <v>3</v>
      </c>
      <c r="R58" s="65">
        <v>3</v>
      </c>
      <c r="S58" s="65">
        <v>3</v>
      </c>
      <c r="T58" s="65">
        <v>3</v>
      </c>
      <c r="U58" s="65">
        <v>3</v>
      </c>
      <c r="V58" s="65">
        <v>3</v>
      </c>
      <c r="W58" s="65">
        <v>3</v>
      </c>
      <c r="X58" s="65">
        <v>3</v>
      </c>
      <c r="Y58" s="65">
        <v>3</v>
      </c>
      <c r="Z58" s="65">
        <v>3</v>
      </c>
      <c r="AA58" s="65">
        <v>3</v>
      </c>
      <c r="AB58" s="65">
        <v>5</v>
      </c>
      <c r="AC58" s="65">
        <v>5</v>
      </c>
      <c r="AD58" s="65">
        <v>5</v>
      </c>
      <c r="AE58" s="65">
        <v>5</v>
      </c>
      <c r="AF58" s="65">
        <v>5</v>
      </c>
      <c r="AG58" s="54">
        <v>14</v>
      </c>
      <c r="AH58" s="47">
        <f t="shared" si="2"/>
        <v>5</v>
      </c>
      <c r="AI58" s="48">
        <f t="shared" si="3"/>
        <v>3</v>
      </c>
      <c r="AK58" s="49"/>
    </row>
    <row r="59" spans="1:41" x14ac:dyDescent="0.25">
      <c r="A59" s="53" t="s">
        <v>67</v>
      </c>
      <c r="B59" s="65">
        <v>5.2</v>
      </c>
      <c r="C59" s="65">
        <v>5.2</v>
      </c>
      <c r="D59" s="65">
        <v>5.2</v>
      </c>
      <c r="E59" s="65">
        <v>5.2</v>
      </c>
      <c r="F59" s="65">
        <v>5.2</v>
      </c>
      <c r="G59" s="65">
        <v>5.2</v>
      </c>
      <c r="H59" s="65">
        <v>5.2</v>
      </c>
      <c r="I59" s="65">
        <v>5.2</v>
      </c>
      <c r="J59" s="65">
        <v>5.2</v>
      </c>
      <c r="K59" s="65">
        <v>5.2</v>
      </c>
      <c r="L59" s="65">
        <v>5.2</v>
      </c>
      <c r="M59" s="65">
        <v>5.2</v>
      </c>
      <c r="N59" s="65">
        <v>5.2</v>
      </c>
      <c r="O59" s="65">
        <v>5.2</v>
      </c>
      <c r="P59" s="65">
        <v>5.2</v>
      </c>
      <c r="Q59" s="65">
        <v>5.2</v>
      </c>
      <c r="R59" s="65">
        <v>5.2</v>
      </c>
      <c r="S59" s="65">
        <v>5.2</v>
      </c>
      <c r="T59" s="65">
        <v>5.2</v>
      </c>
      <c r="U59" s="65">
        <v>5.2</v>
      </c>
      <c r="V59" s="65">
        <v>5.2</v>
      </c>
      <c r="W59" s="65">
        <v>5.2</v>
      </c>
      <c r="X59" s="65">
        <v>5.2</v>
      </c>
      <c r="Y59" s="65">
        <v>5.2</v>
      </c>
      <c r="Z59" s="65">
        <v>5.2</v>
      </c>
      <c r="AA59" s="65">
        <v>5.2</v>
      </c>
      <c r="AB59" s="65">
        <v>5.2</v>
      </c>
      <c r="AC59" s="65">
        <v>5.2</v>
      </c>
      <c r="AD59" s="65">
        <v>5.2</v>
      </c>
      <c r="AE59" s="65">
        <v>5.2</v>
      </c>
      <c r="AF59" s="65">
        <v>5.2</v>
      </c>
      <c r="AG59" s="54">
        <v>10.050000000000001</v>
      </c>
      <c r="AH59" s="47">
        <f t="shared" si="2"/>
        <v>5.2</v>
      </c>
      <c r="AI59" s="48">
        <f t="shared" si="3"/>
        <v>5.2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 t="shared" ref="B62:C62" si="12">SUM(B49:B61)</f>
        <v>155.93999999999997</v>
      </c>
      <c r="C62" s="60">
        <f t="shared" si="12"/>
        <v>111.44</v>
      </c>
      <c r="D62" s="60">
        <f t="shared" ref="D62" si="13">SUM(D49:D61)</f>
        <v>125.44</v>
      </c>
      <c r="E62" s="60">
        <f t="shared" ref="E62:AG62" si="14">SUM(E49:E61)</f>
        <v>126.44</v>
      </c>
      <c r="F62" s="60">
        <f t="shared" si="14"/>
        <v>138.73999999999998</v>
      </c>
      <c r="G62" s="60">
        <f t="shared" si="14"/>
        <v>168.83999999999997</v>
      </c>
      <c r="H62" s="60">
        <f t="shared" si="14"/>
        <v>193.84</v>
      </c>
      <c r="I62" s="60">
        <f t="shared" si="14"/>
        <v>278.04000000000002</v>
      </c>
      <c r="J62" s="60">
        <f t="shared" si="14"/>
        <v>334.04</v>
      </c>
      <c r="K62" s="60">
        <f t="shared" si="14"/>
        <v>333.04</v>
      </c>
      <c r="L62" s="60">
        <f t="shared" si="14"/>
        <v>309.64</v>
      </c>
      <c r="M62" s="60">
        <f t="shared" si="14"/>
        <v>301.14000000000004</v>
      </c>
      <c r="N62" s="60">
        <f t="shared" si="14"/>
        <v>278.14000000000004</v>
      </c>
      <c r="O62" s="60">
        <f t="shared" si="14"/>
        <v>256.14</v>
      </c>
      <c r="P62" s="60">
        <f t="shared" si="14"/>
        <v>283.34000000000003</v>
      </c>
      <c r="Q62" s="60">
        <f t="shared" si="14"/>
        <v>327.84000000000003</v>
      </c>
      <c r="R62" s="60">
        <f t="shared" si="14"/>
        <v>295.04000000000002</v>
      </c>
      <c r="S62" s="60">
        <f t="shared" si="14"/>
        <v>267.04000000000002</v>
      </c>
      <c r="T62" s="60">
        <f t="shared" si="14"/>
        <v>236.63999999999996</v>
      </c>
      <c r="U62" s="60">
        <f t="shared" si="14"/>
        <v>217.43999999999997</v>
      </c>
      <c r="V62" s="60">
        <f t="shared" si="14"/>
        <v>210.93999999999997</v>
      </c>
      <c r="W62" s="60">
        <f t="shared" si="14"/>
        <v>235.23999999999998</v>
      </c>
      <c r="X62" s="60">
        <f t="shared" si="14"/>
        <v>333.34000000000003</v>
      </c>
      <c r="Y62" s="60">
        <v>363.84000000000003</v>
      </c>
      <c r="Z62" s="60">
        <f t="shared" si="14"/>
        <v>371.04</v>
      </c>
      <c r="AA62" s="60">
        <f t="shared" si="14"/>
        <v>358.74</v>
      </c>
      <c r="AB62" s="60">
        <f t="shared" si="14"/>
        <v>319.14000000000004</v>
      </c>
      <c r="AC62" s="60">
        <f t="shared" si="14"/>
        <v>273.44</v>
      </c>
      <c r="AD62" s="60">
        <f t="shared" si="14"/>
        <v>288.14000000000004</v>
      </c>
      <c r="AE62" s="60">
        <f t="shared" si="14"/>
        <v>260.54000000000002</v>
      </c>
      <c r="AF62" s="60">
        <f t="shared" si="14"/>
        <v>171.64</v>
      </c>
      <c r="AG62" s="61">
        <f t="shared" si="14"/>
        <v>489.91</v>
      </c>
      <c r="AH62" s="47">
        <f t="shared" si="2"/>
        <v>371.04</v>
      </c>
      <c r="AI62" s="48">
        <f t="shared" si="3"/>
        <v>111.44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14</v>
      </c>
      <c r="L63" s="45">
        <v>10</v>
      </c>
      <c r="M63" s="45">
        <v>10</v>
      </c>
      <c r="N63" s="45">
        <v>10</v>
      </c>
      <c r="O63" s="45">
        <v>0</v>
      </c>
      <c r="P63" s="45">
        <v>0</v>
      </c>
      <c r="Q63" s="45">
        <v>0</v>
      </c>
      <c r="R63" s="45">
        <v>30</v>
      </c>
      <c r="S63" s="45">
        <v>30</v>
      </c>
      <c r="T63" s="45">
        <v>40</v>
      </c>
      <c r="U63" s="45">
        <v>55</v>
      </c>
      <c r="V63" s="45">
        <v>40</v>
      </c>
      <c r="W63" s="45">
        <v>20</v>
      </c>
      <c r="X63" s="45">
        <v>30</v>
      </c>
      <c r="Y63" s="45">
        <v>55</v>
      </c>
      <c r="Z63" s="45">
        <v>30</v>
      </c>
      <c r="AA63" s="45">
        <v>14</v>
      </c>
      <c r="AB63" s="45">
        <v>14</v>
      </c>
      <c r="AC63" s="45">
        <v>14</v>
      </c>
      <c r="AD63" s="45">
        <v>14</v>
      </c>
      <c r="AE63" s="45">
        <v>0</v>
      </c>
      <c r="AF63" s="45">
        <v>0</v>
      </c>
      <c r="AG63" s="51">
        <v>60</v>
      </c>
      <c r="AH63" s="47">
        <f t="shared" si="2"/>
        <v>55</v>
      </c>
      <c r="AI63" s="48">
        <f t="shared" si="3"/>
        <v>0</v>
      </c>
      <c r="AK63" s="49"/>
    </row>
    <row r="64" spans="1:41" x14ac:dyDescent="0.25">
      <c r="A64" s="53" t="s">
        <v>72</v>
      </c>
      <c r="B64" s="45">
        <v>0</v>
      </c>
      <c r="C64" s="45">
        <v>0</v>
      </c>
      <c r="D64" s="45">
        <v>0</v>
      </c>
      <c r="E64" s="45">
        <v>0</v>
      </c>
      <c r="F64" s="45">
        <v>0</v>
      </c>
      <c r="G64" s="45">
        <v>0</v>
      </c>
      <c r="H64" s="45">
        <v>0</v>
      </c>
      <c r="I64" s="65">
        <v>0</v>
      </c>
      <c r="J64" s="65">
        <v>0</v>
      </c>
      <c r="K64" s="65">
        <v>5.7</v>
      </c>
      <c r="L64" s="65">
        <v>3.8</v>
      </c>
      <c r="M64" s="65">
        <v>3.2</v>
      </c>
      <c r="N64" s="65">
        <v>2.8</v>
      </c>
      <c r="O64" s="65">
        <v>0</v>
      </c>
      <c r="P64" s="65">
        <v>0</v>
      </c>
      <c r="Q64" s="65">
        <v>0</v>
      </c>
      <c r="R64" s="45">
        <v>14.1</v>
      </c>
      <c r="S64" s="45">
        <v>14.1</v>
      </c>
      <c r="T64" s="65">
        <v>19.100000000000001</v>
      </c>
      <c r="U64" s="65">
        <v>28</v>
      </c>
      <c r="V64" s="65">
        <v>28</v>
      </c>
      <c r="W64" s="65">
        <v>9</v>
      </c>
      <c r="X64" s="65">
        <v>13</v>
      </c>
      <c r="Y64" s="65">
        <v>17.5</v>
      </c>
      <c r="Z64" s="65">
        <v>13.5</v>
      </c>
      <c r="AA64" s="65">
        <v>5.2</v>
      </c>
      <c r="AB64" s="65">
        <v>5.9</v>
      </c>
      <c r="AC64" s="65">
        <v>5.9</v>
      </c>
      <c r="AD64" s="65">
        <v>4</v>
      </c>
      <c r="AE64" s="65">
        <v>0</v>
      </c>
      <c r="AF64" s="45">
        <v>0</v>
      </c>
      <c r="AG64" s="54">
        <v>32</v>
      </c>
      <c r="AH64" s="47">
        <f t="shared" si="2"/>
        <v>28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45">
        <v>0</v>
      </c>
      <c r="C65" s="45">
        <v>0</v>
      </c>
      <c r="D65" s="45">
        <v>0</v>
      </c>
      <c r="E65" s="45">
        <v>0</v>
      </c>
      <c r="F65" s="45">
        <v>0</v>
      </c>
      <c r="G65" s="45">
        <v>0</v>
      </c>
      <c r="H65" s="45">
        <v>0</v>
      </c>
      <c r="I65" s="67">
        <v>0</v>
      </c>
      <c r="J65" s="67">
        <v>0</v>
      </c>
      <c r="K65" s="67">
        <v>2.1</v>
      </c>
      <c r="L65" s="67">
        <v>1.4</v>
      </c>
      <c r="M65" s="67">
        <v>1.4</v>
      </c>
      <c r="N65" s="67">
        <v>1</v>
      </c>
      <c r="O65" s="67">
        <v>0</v>
      </c>
      <c r="P65" s="67">
        <v>0</v>
      </c>
      <c r="Q65" s="67">
        <v>0</v>
      </c>
      <c r="R65" s="45">
        <v>5.2</v>
      </c>
      <c r="S65" s="45">
        <v>5.2</v>
      </c>
      <c r="T65" s="67">
        <v>7</v>
      </c>
      <c r="U65" s="67">
        <v>10.4</v>
      </c>
      <c r="V65" s="67">
        <v>10.3</v>
      </c>
      <c r="W65" s="67">
        <v>3</v>
      </c>
      <c r="X65" s="67">
        <v>5</v>
      </c>
      <c r="Y65" s="67">
        <v>6.4</v>
      </c>
      <c r="Z65" s="67">
        <v>8.1999999999999993</v>
      </c>
      <c r="AA65" s="67">
        <v>1.9</v>
      </c>
      <c r="AB65" s="67">
        <v>2.1</v>
      </c>
      <c r="AC65" s="67">
        <v>2.1</v>
      </c>
      <c r="AD65" s="67">
        <v>1.5</v>
      </c>
      <c r="AE65" s="67">
        <v>0</v>
      </c>
      <c r="AF65" s="45">
        <v>0</v>
      </c>
      <c r="AG65" s="68">
        <v>14</v>
      </c>
      <c r="AH65" s="47">
        <f t="shared" si="2"/>
        <v>10.4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f t="shared" ref="B66:C66" si="15">B63+B64+B65</f>
        <v>0</v>
      </c>
      <c r="C66" s="60">
        <f t="shared" si="15"/>
        <v>0</v>
      </c>
      <c r="D66" s="60">
        <f t="shared" ref="D66" si="16">D63+D64+D65</f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15.200000000000001</v>
      </c>
      <c r="M66" s="60">
        <f t="shared" ref="M66:AF66" si="17">M63+M64+M65</f>
        <v>14.6</v>
      </c>
      <c r="N66" s="60">
        <f t="shared" si="17"/>
        <v>13.8</v>
      </c>
      <c r="O66" s="60">
        <f t="shared" si="17"/>
        <v>0</v>
      </c>
      <c r="P66" s="60">
        <f t="shared" si="17"/>
        <v>0</v>
      </c>
      <c r="Q66" s="60">
        <f t="shared" si="17"/>
        <v>0</v>
      </c>
      <c r="R66" s="60">
        <f t="shared" si="17"/>
        <v>49.300000000000004</v>
      </c>
      <c r="S66" s="60">
        <f t="shared" si="17"/>
        <v>49.300000000000004</v>
      </c>
      <c r="T66" s="60">
        <f t="shared" si="17"/>
        <v>66.099999999999994</v>
      </c>
      <c r="U66" s="60">
        <f t="shared" si="17"/>
        <v>93.4</v>
      </c>
      <c r="V66" s="60">
        <f t="shared" si="17"/>
        <v>78.3</v>
      </c>
      <c r="W66" s="60">
        <f t="shared" si="17"/>
        <v>32</v>
      </c>
      <c r="X66" s="60">
        <f t="shared" si="17"/>
        <v>48</v>
      </c>
      <c r="Y66" s="60">
        <v>78.900000000000006</v>
      </c>
      <c r="Z66" s="60">
        <f t="shared" si="17"/>
        <v>51.7</v>
      </c>
      <c r="AA66" s="60">
        <f t="shared" si="17"/>
        <v>21.099999999999998</v>
      </c>
      <c r="AB66" s="60">
        <f t="shared" si="17"/>
        <v>22</v>
      </c>
      <c r="AC66" s="60">
        <f t="shared" si="17"/>
        <v>22</v>
      </c>
      <c r="AD66" s="60">
        <f t="shared" si="17"/>
        <v>19.5</v>
      </c>
      <c r="AE66" s="60">
        <f t="shared" si="17"/>
        <v>0</v>
      </c>
      <c r="AF66" s="60">
        <f t="shared" si="17"/>
        <v>0</v>
      </c>
      <c r="AG66" s="61">
        <f>SUM(AG63:AG65)</f>
        <v>106</v>
      </c>
      <c r="AH66" s="47">
        <f t="shared" si="2"/>
        <v>93.4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52.6</v>
      </c>
      <c r="C67" s="45">
        <v>57.2</v>
      </c>
      <c r="D67" s="45">
        <v>52.84</v>
      </c>
      <c r="E67" s="45">
        <v>52.84</v>
      </c>
      <c r="F67" s="45">
        <v>60</v>
      </c>
      <c r="G67" s="45">
        <v>60</v>
      </c>
      <c r="H67" s="45">
        <v>63.41</v>
      </c>
      <c r="I67" s="45">
        <v>52</v>
      </c>
      <c r="J67" s="45">
        <v>71.650000000000006</v>
      </c>
      <c r="K67" s="45">
        <v>56</v>
      </c>
      <c r="L67" s="45">
        <v>65</v>
      </c>
      <c r="M67" s="45">
        <v>62.4</v>
      </c>
      <c r="N67" s="45">
        <v>73</v>
      </c>
      <c r="O67" s="45">
        <v>68</v>
      </c>
      <c r="P67" s="45">
        <v>64.5</v>
      </c>
      <c r="Q67" s="45">
        <v>62</v>
      </c>
      <c r="R67" s="45">
        <v>68</v>
      </c>
      <c r="S67" s="45">
        <v>68</v>
      </c>
      <c r="T67" s="45">
        <v>54.33</v>
      </c>
      <c r="U67" s="45">
        <v>67</v>
      </c>
      <c r="V67" s="45">
        <v>67</v>
      </c>
      <c r="W67" s="45">
        <v>62</v>
      </c>
      <c r="X67" s="45">
        <v>62</v>
      </c>
      <c r="Y67" s="45">
        <v>66.099999999999994</v>
      </c>
      <c r="Z67" s="45">
        <v>64.5</v>
      </c>
      <c r="AA67" s="45">
        <v>59</v>
      </c>
      <c r="AB67" s="45">
        <v>59</v>
      </c>
      <c r="AC67" s="45">
        <v>60</v>
      </c>
      <c r="AD67" s="45">
        <v>57</v>
      </c>
      <c r="AE67" s="45">
        <v>62</v>
      </c>
      <c r="AF67" s="45">
        <v>52.3</v>
      </c>
      <c r="AG67" s="51"/>
      <c r="AH67" s="47">
        <f t="shared" si="2"/>
        <v>73</v>
      </c>
      <c r="AI67" s="48">
        <f t="shared" si="3"/>
        <v>52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295.39999999999998</v>
      </c>
      <c r="C69" s="65">
        <v>303.7</v>
      </c>
      <c r="D69" s="65">
        <v>278</v>
      </c>
      <c r="E69" s="65">
        <v>264</v>
      </c>
      <c r="F69" s="65">
        <v>263</v>
      </c>
      <c r="G69" s="65">
        <v>271</v>
      </c>
      <c r="H69" s="65">
        <v>296</v>
      </c>
      <c r="I69" s="65">
        <v>308</v>
      </c>
      <c r="J69" s="65">
        <v>300</v>
      </c>
      <c r="K69" s="65">
        <v>200</v>
      </c>
      <c r="L69" s="65">
        <v>230</v>
      </c>
      <c r="M69" s="65">
        <v>219</v>
      </c>
      <c r="N69" s="65">
        <v>222</v>
      </c>
      <c r="O69" s="65">
        <v>216</v>
      </c>
      <c r="P69" s="65">
        <v>307</v>
      </c>
      <c r="Q69" s="65">
        <v>298</v>
      </c>
      <c r="R69" s="65">
        <v>343</v>
      </c>
      <c r="S69" s="65">
        <v>340</v>
      </c>
      <c r="T69" s="65">
        <v>340</v>
      </c>
      <c r="U69" s="65">
        <v>309</v>
      </c>
      <c r="V69" s="65">
        <v>310</v>
      </c>
      <c r="W69" s="65">
        <v>320</v>
      </c>
      <c r="X69" s="65">
        <v>320</v>
      </c>
      <c r="Y69" s="65">
        <v>204</v>
      </c>
      <c r="Z69" s="65">
        <v>90</v>
      </c>
      <c r="AA69" s="65">
        <v>130.19999999999999</v>
      </c>
      <c r="AB69" s="65">
        <v>280</v>
      </c>
      <c r="AC69" s="65">
        <v>275</v>
      </c>
      <c r="AD69" s="65">
        <v>315</v>
      </c>
      <c r="AE69" s="65">
        <v>315</v>
      </c>
      <c r="AF69" s="65">
        <v>310</v>
      </c>
      <c r="AG69" s="75"/>
      <c r="AH69" s="47">
        <f t="shared" si="2"/>
        <v>343</v>
      </c>
      <c r="AI69" s="48">
        <f t="shared" si="3"/>
        <v>90</v>
      </c>
      <c r="AK69" s="49"/>
    </row>
    <row r="70" spans="1:40" x14ac:dyDescent="0.25">
      <c r="A70" s="53" t="s">
        <v>78</v>
      </c>
      <c r="B70" s="65">
        <v>51.4</v>
      </c>
      <c r="C70" s="65">
        <v>45.7</v>
      </c>
      <c r="D70" s="65">
        <v>50.5</v>
      </c>
      <c r="E70" s="65">
        <v>53.6</v>
      </c>
      <c r="F70" s="65">
        <v>44.5</v>
      </c>
      <c r="G70" s="65">
        <v>52.3</v>
      </c>
      <c r="H70" s="65">
        <v>51.6</v>
      </c>
      <c r="I70" s="65">
        <v>54.2</v>
      </c>
      <c r="J70" s="65">
        <v>68.2</v>
      </c>
      <c r="K70" s="65">
        <v>54</v>
      </c>
      <c r="L70" s="65">
        <v>52</v>
      </c>
      <c r="M70" s="76">
        <v>50.8</v>
      </c>
      <c r="N70" s="76">
        <v>51.4</v>
      </c>
      <c r="O70" s="76">
        <v>49.6</v>
      </c>
      <c r="P70" s="76">
        <v>49.6</v>
      </c>
      <c r="Q70" s="76">
        <v>49.6</v>
      </c>
      <c r="R70" s="76">
        <v>49.6</v>
      </c>
      <c r="S70" s="76">
        <v>49.6</v>
      </c>
      <c r="T70" s="76">
        <v>49.6</v>
      </c>
      <c r="U70" s="76">
        <v>40.5</v>
      </c>
      <c r="V70" s="76">
        <v>40.5</v>
      </c>
      <c r="W70" s="76">
        <v>40.5</v>
      </c>
      <c r="X70" s="76">
        <v>40.5</v>
      </c>
      <c r="Y70" s="65">
        <v>40.5</v>
      </c>
      <c r="Z70" s="65">
        <v>40.5</v>
      </c>
      <c r="AA70" s="65">
        <v>40.5</v>
      </c>
      <c r="AB70" s="65">
        <v>56.5</v>
      </c>
      <c r="AC70" s="65">
        <v>52.2</v>
      </c>
      <c r="AD70" s="65">
        <v>47.2</v>
      </c>
      <c r="AE70" s="65">
        <v>51</v>
      </c>
      <c r="AF70" s="65">
        <v>56</v>
      </c>
      <c r="AG70" s="75"/>
      <c r="AH70" s="47">
        <f t="shared" si="2"/>
        <v>68.2</v>
      </c>
      <c r="AI70" s="48">
        <f t="shared" si="3"/>
        <v>40.5</v>
      </c>
      <c r="AK70" s="49"/>
    </row>
    <row r="71" spans="1:40" x14ac:dyDescent="0.25">
      <c r="A71" s="53" t="s">
        <v>79</v>
      </c>
      <c r="B71" s="45">
        <v>25</v>
      </c>
      <c r="C71" s="45">
        <v>25</v>
      </c>
      <c r="D71" s="45">
        <v>24</v>
      </c>
      <c r="E71" s="45">
        <v>24</v>
      </c>
      <c r="F71" s="45">
        <v>24</v>
      </c>
      <c r="G71" s="45">
        <v>24</v>
      </c>
      <c r="H71" s="45">
        <v>24</v>
      </c>
      <c r="I71" s="45">
        <v>24</v>
      </c>
      <c r="J71" s="45">
        <v>24</v>
      </c>
      <c r="K71" s="45">
        <v>24</v>
      </c>
      <c r="L71" s="45">
        <v>24</v>
      </c>
      <c r="M71" s="45">
        <v>36</v>
      </c>
      <c r="N71" s="45">
        <v>39</v>
      </c>
      <c r="O71" s="45">
        <v>38</v>
      </c>
      <c r="P71" s="45">
        <v>38</v>
      </c>
      <c r="Q71" s="45">
        <v>38</v>
      </c>
      <c r="R71" s="45">
        <v>38</v>
      </c>
      <c r="S71" s="45">
        <v>38</v>
      </c>
      <c r="T71" s="45">
        <v>38</v>
      </c>
      <c r="U71" s="45">
        <v>38</v>
      </c>
      <c r="V71" s="45">
        <v>38</v>
      </c>
      <c r="W71" s="45">
        <v>38</v>
      </c>
      <c r="X71" s="45">
        <v>38</v>
      </c>
      <c r="Y71" s="45">
        <v>38</v>
      </c>
      <c r="Z71" s="45">
        <v>38</v>
      </c>
      <c r="AA71" s="45">
        <v>38</v>
      </c>
      <c r="AB71" s="45">
        <v>38</v>
      </c>
      <c r="AC71" s="45">
        <v>20</v>
      </c>
      <c r="AD71" s="45">
        <v>20</v>
      </c>
      <c r="AE71" s="45">
        <v>20</v>
      </c>
      <c r="AF71" s="45">
        <v>20</v>
      </c>
      <c r="AG71" s="75"/>
      <c r="AH71" s="47">
        <f t="shared" si="2"/>
        <v>39</v>
      </c>
      <c r="AI71" s="48">
        <f t="shared" si="3"/>
        <v>20</v>
      </c>
      <c r="AK71" s="49"/>
    </row>
    <row r="72" spans="1:40" x14ac:dyDescent="0.25">
      <c r="A72" s="53" t="s">
        <v>80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  <c r="V72" s="77">
        <v>0</v>
      </c>
      <c r="W72" s="77">
        <v>0</v>
      </c>
      <c r="X72" s="77">
        <v>0</v>
      </c>
      <c r="Y72" s="77">
        <v>0</v>
      </c>
      <c r="Z72" s="77">
        <v>0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5"/>
      <c r="AH72" s="47">
        <f t="shared" si="2"/>
        <v>0</v>
      </c>
      <c r="AI72" s="48">
        <f t="shared" si="3"/>
        <v>0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18">MAX(B75:AF75)</f>
        <v>0</v>
      </c>
      <c r="AI75" s="48">
        <f t="shared" ref="AI75:AI113" si="19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18"/>
        <v>0</v>
      </c>
      <c r="AI76" s="48">
        <f t="shared" si="19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18"/>
        <v>0</v>
      </c>
      <c r="AI77" s="48">
        <f t="shared" si="19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C78" si="20">SUMIF(B67:B77,"&gt;0")</f>
        <v>424.4</v>
      </c>
      <c r="C78" s="60">
        <f t="shared" si="20"/>
        <v>431.59999999999997</v>
      </c>
      <c r="D78" s="60">
        <f t="shared" ref="D78:AF78" si="21">SUMIF(D67:D77,"&gt;0")</f>
        <v>405.34000000000003</v>
      </c>
      <c r="E78" s="60">
        <f t="shared" si="21"/>
        <v>394.44000000000005</v>
      </c>
      <c r="F78" s="60">
        <f t="shared" si="21"/>
        <v>391.5</v>
      </c>
      <c r="G78" s="60">
        <f t="shared" si="21"/>
        <v>407.3</v>
      </c>
      <c r="H78" s="60">
        <f t="shared" si="21"/>
        <v>435.01</v>
      </c>
      <c r="I78" s="60">
        <f t="shared" si="21"/>
        <v>438.2</v>
      </c>
      <c r="J78" s="60">
        <f t="shared" si="21"/>
        <v>463.84999999999997</v>
      </c>
      <c r="K78" s="60">
        <f t="shared" si="21"/>
        <v>334</v>
      </c>
      <c r="L78" s="60">
        <f t="shared" si="21"/>
        <v>371</v>
      </c>
      <c r="M78" s="60">
        <f t="shared" si="21"/>
        <v>368.2</v>
      </c>
      <c r="N78" s="60">
        <f t="shared" si="21"/>
        <v>385.4</v>
      </c>
      <c r="O78" s="60">
        <f t="shared" si="21"/>
        <v>371.6</v>
      </c>
      <c r="P78" s="60">
        <f t="shared" si="21"/>
        <v>459.1</v>
      </c>
      <c r="Q78" s="60">
        <f t="shared" si="21"/>
        <v>447.6</v>
      </c>
      <c r="R78" s="60">
        <f t="shared" si="21"/>
        <v>498.6</v>
      </c>
      <c r="S78" s="60">
        <f t="shared" si="21"/>
        <v>495.6</v>
      </c>
      <c r="T78" s="60">
        <f t="shared" si="21"/>
        <v>481.93</v>
      </c>
      <c r="U78" s="60">
        <f t="shared" si="21"/>
        <v>454.5</v>
      </c>
      <c r="V78" s="60">
        <f t="shared" si="21"/>
        <v>455.5</v>
      </c>
      <c r="W78" s="60">
        <f t="shared" si="21"/>
        <v>460.5</v>
      </c>
      <c r="X78" s="60">
        <f t="shared" si="21"/>
        <v>460.5</v>
      </c>
      <c r="Y78" s="60">
        <v>348.6</v>
      </c>
      <c r="Z78" s="60">
        <f t="shared" si="21"/>
        <v>233</v>
      </c>
      <c r="AA78" s="60">
        <f t="shared" si="21"/>
        <v>267.7</v>
      </c>
      <c r="AB78" s="60">
        <f t="shared" si="21"/>
        <v>433.5</v>
      </c>
      <c r="AC78" s="60">
        <f t="shared" si="21"/>
        <v>407.2</v>
      </c>
      <c r="AD78" s="60">
        <f t="shared" si="21"/>
        <v>439.2</v>
      </c>
      <c r="AE78" s="60">
        <f t="shared" si="21"/>
        <v>448</v>
      </c>
      <c r="AF78" s="60">
        <f t="shared" si="21"/>
        <v>438.3</v>
      </c>
      <c r="AG78" s="88">
        <f>SUM(AG67:AG77)</f>
        <v>0</v>
      </c>
      <c r="AH78" s="47">
        <f t="shared" si="18"/>
        <v>498.6</v>
      </c>
      <c r="AI78" s="48">
        <f t="shared" si="19"/>
        <v>233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18"/>
        <v>0</v>
      </c>
      <c r="AI79" s="48">
        <f t="shared" si="19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18"/>
        <v>0</v>
      </c>
      <c r="AI80" s="48">
        <f t="shared" si="19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18"/>
        <v>0</v>
      </c>
      <c r="AI81" s="48">
        <f t="shared" si="19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>
        <v>0</v>
      </c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18"/>
        <v>0</v>
      </c>
      <c r="AI82" s="48">
        <f t="shared" si="19"/>
        <v>0</v>
      </c>
    </row>
    <row r="83" spans="1:37" ht="15.75" thickBot="1" x14ac:dyDescent="0.3">
      <c r="A83" s="74" t="s">
        <v>94</v>
      </c>
      <c r="B83" s="95">
        <f t="shared" ref="B83:C83" si="22">B44+B48+B66+B62+B78+B82</f>
        <v>1066.94</v>
      </c>
      <c r="C83" s="95">
        <f t="shared" si="22"/>
        <v>1014.3399999999999</v>
      </c>
      <c r="D83" s="95">
        <f t="shared" ref="D83:AG83" si="23">D44+D48+D66+D62+D78+D82</f>
        <v>1048.2800000000002</v>
      </c>
      <c r="E83" s="95">
        <f t="shared" si="23"/>
        <v>1022.3800000000001</v>
      </c>
      <c r="F83" s="95">
        <f t="shared" si="23"/>
        <v>1021.74</v>
      </c>
      <c r="G83" s="95">
        <f t="shared" si="23"/>
        <v>1077.6399999999999</v>
      </c>
      <c r="H83" s="95">
        <f t="shared" si="23"/>
        <v>1150.3499999999999</v>
      </c>
      <c r="I83" s="95">
        <f t="shared" si="23"/>
        <v>1247.74</v>
      </c>
      <c r="J83" s="95">
        <f t="shared" si="23"/>
        <v>1349.3899999999999</v>
      </c>
      <c r="K83" s="95">
        <f t="shared" si="23"/>
        <v>1278.54</v>
      </c>
      <c r="L83" s="95">
        <f t="shared" si="23"/>
        <v>1267.3400000000001</v>
      </c>
      <c r="M83" s="95">
        <f t="shared" si="23"/>
        <v>1225.0300000000002</v>
      </c>
      <c r="N83" s="95">
        <f t="shared" si="23"/>
        <v>1173.8400000000001</v>
      </c>
      <c r="O83" s="95">
        <f t="shared" si="23"/>
        <v>1122.74</v>
      </c>
      <c r="P83" s="95">
        <f t="shared" si="23"/>
        <v>1237.44</v>
      </c>
      <c r="Q83" s="95">
        <f t="shared" si="23"/>
        <v>1305.24</v>
      </c>
      <c r="R83" s="95">
        <f t="shared" si="23"/>
        <v>1337.7400000000002</v>
      </c>
      <c r="S83" s="95">
        <f t="shared" si="23"/>
        <v>1313.2400000000002</v>
      </c>
      <c r="T83" s="95">
        <f t="shared" si="23"/>
        <v>1285.47</v>
      </c>
      <c r="U83" s="95">
        <f t="shared" si="23"/>
        <v>1309.6399999999999</v>
      </c>
      <c r="V83" s="95">
        <f t="shared" si="23"/>
        <v>1259.04</v>
      </c>
      <c r="W83" s="95">
        <f t="shared" si="23"/>
        <v>1222.04</v>
      </c>
      <c r="X83" s="95">
        <f t="shared" si="23"/>
        <v>1385.04</v>
      </c>
      <c r="Y83" s="95">
        <v>1413.04</v>
      </c>
      <c r="Z83" s="95">
        <f t="shared" si="23"/>
        <v>1392.44</v>
      </c>
      <c r="AA83" s="95">
        <f t="shared" si="23"/>
        <v>1339.14</v>
      </c>
      <c r="AB83" s="95">
        <f t="shared" si="23"/>
        <v>1309.24</v>
      </c>
      <c r="AC83" s="95">
        <f t="shared" si="23"/>
        <v>1247.24</v>
      </c>
      <c r="AD83" s="95">
        <f t="shared" si="23"/>
        <v>1244.6400000000001</v>
      </c>
      <c r="AE83" s="95">
        <f t="shared" si="23"/>
        <v>1200.3399999999999</v>
      </c>
      <c r="AF83" s="95">
        <f t="shared" si="23"/>
        <v>1091.74</v>
      </c>
      <c r="AG83" s="61">
        <f t="shared" si="23"/>
        <v>2004.1900000000003</v>
      </c>
      <c r="AH83" s="47">
        <f>MAX(B83:AF83)</f>
        <v>1413.04</v>
      </c>
      <c r="AI83" s="48">
        <f>MIN(B83:AF83)</f>
        <v>1014.3399999999999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>
        <v>200</v>
      </c>
      <c r="M84" s="97">
        <v>200</v>
      </c>
      <c r="N84" s="97">
        <v>200</v>
      </c>
      <c r="O84" s="97">
        <v>200</v>
      </c>
      <c r="P84" s="97"/>
      <c r="Q84" s="97"/>
      <c r="R84" s="97"/>
      <c r="S84" s="97"/>
      <c r="T84" s="97"/>
      <c r="U84" s="97"/>
      <c r="V84" s="97"/>
      <c r="W84" s="97"/>
      <c r="X84" s="97"/>
      <c r="Y84" s="97">
        <v>160</v>
      </c>
      <c r="Z84" s="97">
        <v>150</v>
      </c>
      <c r="AA84" s="97">
        <v>130</v>
      </c>
      <c r="AB84" s="97">
        <v>130</v>
      </c>
      <c r="AC84" s="97">
        <v>120</v>
      </c>
      <c r="AD84" s="97"/>
      <c r="AE84" s="97"/>
      <c r="AF84" s="97"/>
      <c r="AG84" s="88"/>
      <c r="AH84" s="47">
        <f t="shared" si="18"/>
        <v>200</v>
      </c>
      <c r="AI84" s="48">
        <f t="shared" si="19"/>
        <v>120</v>
      </c>
    </row>
    <row r="85" spans="1:37" ht="15.75" thickBot="1" x14ac:dyDescent="0.3">
      <c r="A85" s="74" t="s">
        <v>96</v>
      </c>
      <c r="B85" s="95">
        <f t="shared" ref="B85:C85" si="24">B83+B84</f>
        <v>1066.94</v>
      </c>
      <c r="C85" s="95">
        <f t="shared" si="24"/>
        <v>1014.3399999999999</v>
      </c>
      <c r="D85" s="95">
        <f t="shared" ref="D85:AF85" si="25">D83+D84</f>
        <v>1048.2800000000002</v>
      </c>
      <c r="E85" s="95">
        <f t="shared" si="25"/>
        <v>1022.3800000000001</v>
      </c>
      <c r="F85" s="95">
        <f t="shared" si="25"/>
        <v>1021.74</v>
      </c>
      <c r="G85" s="95">
        <f t="shared" si="25"/>
        <v>1077.6399999999999</v>
      </c>
      <c r="H85" s="95">
        <f t="shared" si="25"/>
        <v>1150.3499999999999</v>
      </c>
      <c r="I85" s="95">
        <f t="shared" si="25"/>
        <v>1247.74</v>
      </c>
      <c r="J85" s="95">
        <f t="shared" si="25"/>
        <v>1349.3899999999999</v>
      </c>
      <c r="K85" s="95">
        <f t="shared" si="25"/>
        <v>1278.54</v>
      </c>
      <c r="L85" s="95">
        <f t="shared" si="25"/>
        <v>1467.3400000000001</v>
      </c>
      <c r="M85" s="95">
        <f t="shared" si="25"/>
        <v>1425.0300000000002</v>
      </c>
      <c r="N85" s="95">
        <f t="shared" si="25"/>
        <v>1373.8400000000001</v>
      </c>
      <c r="O85" s="95">
        <f t="shared" si="25"/>
        <v>1322.74</v>
      </c>
      <c r="P85" s="95">
        <f t="shared" si="25"/>
        <v>1237.44</v>
      </c>
      <c r="Q85" s="95">
        <f t="shared" si="25"/>
        <v>1305.24</v>
      </c>
      <c r="R85" s="95">
        <f t="shared" si="25"/>
        <v>1337.7400000000002</v>
      </c>
      <c r="S85" s="95">
        <f t="shared" si="25"/>
        <v>1313.2400000000002</v>
      </c>
      <c r="T85" s="95">
        <f t="shared" si="25"/>
        <v>1285.47</v>
      </c>
      <c r="U85" s="95">
        <f t="shared" si="25"/>
        <v>1309.6399999999999</v>
      </c>
      <c r="V85" s="95">
        <f t="shared" si="25"/>
        <v>1259.04</v>
      </c>
      <c r="W85" s="95">
        <f t="shared" si="25"/>
        <v>1222.04</v>
      </c>
      <c r="X85" s="95">
        <f t="shared" si="25"/>
        <v>1385.04</v>
      </c>
      <c r="Y85" s="95">
        <v>1573.04</v>
      </c>
      <c r="Z85" s="95">
        <f t="shared" si="25"/>
        <v>1542.44</v>
      </c>
      <c r="AA85" s="95">
        <f t="shared" si="25"/>
        <v>1469.14</v>
      </c>
      <c r="AB85" s="95">
        <f t="shared" si="25"/>
        <v>1439.24</v>
      </c>
      <c r="AC85" s="95">
        <f t="shared" si="25"/>
        <v>1367.24</v>
      </c>
      <c r="AD85" s="95">
        <f t="shared" si="25"/>
        <v>1244.6400000000001</v>
      </c>
      <c r="AE85" s="95">
        <f t="shared" si="25"/>
        <v>1200.3399999999999</v>
      </c>
      <c r="AF85" s="95">
        <f t="shared" si="25"/>
        <v>1091.74</v>
      </c>
      <c r="AG85" s="88">
        <f>AG82+AG78+AG66+AG62+AG44+AG84</f>
        <v>1466.0900000000001</v>
      </c>
      <c r="AH85" s="47">
        <f t="shared" si="18"/>
        <v>1573.04</v>
      </c>
      <c r="AI85" s="48">
        <f t="shared" si="19"/>
        <v>1014.3399999999999</v>
      </c>
    </row>
    <row r="86" spans="1:37" ht="15.75" thickBot="1" x14ac:dyDescent="0.3">
      <c r="A86" s="74" t="s">
        <v>97</v>
      </c>
      <c r="B86" s="95">
        <f t="shared" ref="B86:C86" si="26">B85-B93</f>
        <v>1066.94</v>
      </c>
      <c r="C86" s="95">
        <f t="shared" si="26"/>
        <v>1014.3399999999999</v>
      </c>
      <c r="D86" s="95">
        <f t="shared" ref="D86:AF86" si="27">D85-D93</f>
        <v>1048.2800000000002</v>
      </c>
      <c r="E86" s="95">
        <f t="shared" si="27"/>
        <v>1022.3800000000001</v>
      </c>
      <c r="F86" s="95">
        <f t="shared" si="27"/>
        <v>1021.74</v>
      </c>
      <c r="G86" s="95">
        <f t="shared" si="27"/>
        <v>1077.6399999999999</v>
      </c>
      <c r="H86" s="95">
        <f t="shared" si="27"/>
        <v>1150.3499999999999</v>
      </c>
      <c r="I86" s="95">
        <f t="shared" si="27"/>
        <v>1247.74</v>
      </c>
      <c r="J86" s="95">
        <f t="shared" si="27"/>
        <v>1349.3899999999999</v>
      </c>
      <c r="K86" s="95">
        <f t="shared" si="27"/>
        <v>1278.54</v>
      </c>
      <c r="L86" s="95">
        <f t="shared" si="27"/>
        <v>1467.3400000000001</v>
      </c>
      <c r="M86" s="95">
        <f t="shared" si="27"/>
        <v>1425.0300000000002</v>
      </c>
      <c r="N86" s="95">
        <f t="shared" si="27"/>
        <v>1373.8400000000001</v>
      </c>
      <c r="O86" s="95">
        <f t="shared" si="27"/>
        <v>1322.74</v>
      </c>
      <c r="P86" s="95">
        <f t="shared" si="27"/>
        <v>1237.44</v>
      </c>
      <c r="Q86" s="95">
        <f t="shared" si="27"/>
        <v>1305.24</v>
      </c>
      <c r="R86" s="95">
        <f t="shared" si="27"/>
        <v>1337.7400000000002</v>
      </c>
      <c r="S86" s="95">
        <f t="shared" si="27"/>
        <v>1313.2400000000002</v>
      </c>
      <c r="T86" s="95">
        <f t="shared" si="27"/>
        <v>1285.47</v>
      </c>
      <c r="U86" s="95">
        <f t="shared" si="27"/>
        <v>1309.6399999999999</v>
      </c>
      <c r="V86" s="95">
        <f t="shared" si="27"/>
        <v>1259.04</v>
      </c>
      <c r="W86" s="95">
        <f t="shared" si="27"/>
        <v>1222.04</v>
      </c>
      <c r="X86" s="95">
        <f t="shared" si="27"/>
        <v>1385.04</v>
      </c>
      <c r="Y86" s="95">
        <v>1573.04</v>
      </c>
      <c r="Z86" s="95">
        <f t="shared" si="27"/>
        <v>1542.44</v>
      </c>
      <c r="AA86" s="95">
        <f t="shared" si="27"/>
        <v>1469.14</v>
      </c>
      <c r="AB86" s="95">
        <f t="shared" si="27"/>
        <v>1439.24</v>
      </c>
      <c r="AC86" s="95">
        <f t="shared" si="27"/>
        <v>1367.24</v>
      </c>
      <c r="AD86" s="95">
        <f t="shared" si="27"/>
        <v>1244.6400000000001</v>
      </c>
      <c r="AE86" s="95">
        <f t="shared" si="27"/>
        <v>1200.3399999999999</v>
      </c>
      <c r="AF86" s="95">
        <f t="shared" si="27"/>
        <v>1091.74</v>
      </c>
      <c r="AG86" s="88"/>
      <c r="AH86" s="47">
        <f t="shared" si="18"/>
        <v>1573.04</v>
      </c>
      <c r="AI86" s="48">
        <f t="shared" si="19"/>
        <v>1014.3399999999999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18"/>
        <v>0</v>
      </c>
      <c r="AI87" s="48">
        <f t="shared" si="19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18"/>
        <v>0</v>
      </c>
      <c r="AI88" s="48">
        <f t="shared" si="19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18"/>
        <v>0</v>
      </c>
      <c r="AI89" s="48">
        <f t="shared" si="19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18"/>
        <v>0</v>
      </c>
      <c r="AI90" s="48">
        <f t="shared" si="19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18"/>
        <v>0</v>
      </c>
      <c r="AI91" s="48">
        <f t="shared" si="19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18"/>
        <v>0</v>
      </c>
      <c r="AI92" s="48">
        <f t="shared" si="19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>
        <v>0</v>
      </c>
      <c r="Z93" s="60"/>
      <c r="AA93" s="60"/>
      <c r="AB93" s="60"/>
      <c r="AC93" s="60"/>
      <c r="AD93" s="60"/>
      <c r="AE93" s="60"/>
      <c r="AF93" s="60"/>
      <c r="AG93" s="88"/>
      <c r="AH93" s="47">
        <f t="shared" si="18"/>
        <v>0</v>
      </c>
      <c r="AI93" s="48">
        <f t="shared" si="19"/>
        <v>0</v>
      </c>
      <c r="AK93" s="49"/>
    </row>
    <row r="94" spans="1:37" ht="15.75" thickBot="1" x14ac:dyDescent="0.3">
      <c r="A94" s="74" t="s">
        <v>102</v>
      </c>
      <c r="B94" s="60">
        <f t="shared" ref="B94:C94" si="28">B78-B93</f>
        <v>424.4</v>
      </c>
      <c r="C94" s="60">
        <f t="shared" si="28"/>
        <v>431.59999999999997</v>
      </c>
      <c r="D94" s="60">
        <f t="shared" ref="D94:AF94" si="29">D78-D93</f>
        <v>405.34000000000003</v>
      </c>
      <c r="E94" s="60">
        <f t="shared" si="29"/>
        <v>394.44000000000005</v>
      </c>
      <c r="F94" s="60">
        <f t="shared" si="29"/>
        <v>391.5</v>
      </c>
      <c r="G94" s="60">
        <f t="shared" si="29"/>
        <v>407.3</v>
      </c>
      <c r="H94" s="60">
        <f t="shared" si="29"/>
        <v>435.01</v>
      </c>
      <c r="I94" s="60">
        <f t="shared" si="29"/>
        <v>438.2</v>
      </c>
      <c r="J94" s="60">
        <f t="shared" si="29"/>
        <v>463.84999999999997</v>
      </c>
      <c r="K94" s="60">
        <f t="shared" si="29"/>
        <v>334</v>
      </c>
      <c r="L94" s="60">
        <f t="shared" si="29"/>
        <v>371</v>
      </c>
      <c r="M94" s="60">
        <f t="shared" si="29"/>
        <v>368.2</v>
      </c>
      <c r="N94" s="60">
        <f t="shared" si="29"/>
        <v>385.4</v>
      </c>
      <c r="O94" s="60">
        <f t="shared" si="29"/>
        <v>371.6</v>
      </c>
      <c r="P94" s="60">
        <f t="shared" si="29"/>
        <v>459.1</v>
      </c>
      <c r="Q94" s="60">
        <f t="shared" si="29"/>
        <v>447.6</v>
      </c>
      <c r="R94" s="60">
        <f t="shared" si="29"/>
        <v>498.6</v>
      </c>
      <c r="S94" s="60">
        <f t="shared" si="29"/>
        <v>495.6</v>
      </c>
      <c r="T94" s="60">
        <f t="shared" si="29"/>
        <v>481.93</v>
      </c>
      <c r="U94" s="60">
        <f t="shared" si="29"/>
        <v>454.5</v>
      </c>
      <c r="V94" s="60">
        <f t="shared" si="29"/>
        <v>455.5</v>
      </c>
      <c r="W94" s="60">
        <f t="shared" si="29"/>
        <v>460.5</v>
      </c>
      <c r="X94" s="60">
        <f t="shared" si="29"/>
        <v>460.5</v>
      </c>
      <c r="Y94" s="60">
        <v>348.6</v>
      </c>
      <c r="Z94" s="60">
        <f t="shared" si="29"/>
        <v>233</v>
      </c>
      <c r="AA94" s="60">
        <f t="shared" si="29"/>
        <v>267.7</v>
      </c>
      <c r="AB94" s="60">
        <f t="shared" si="29"/>
        <v>433.5</v>
      </c>
      <c r="AC94" s="60">
        <f t="shared" si="29"/>
        <v>407.2</v>
      </c>
      <c r="AD94" s="60">
        <f t="shared" si="29"/>
        <v>439.2</v>
      </c>
      <c r="AE94" s="60">
        <f t="shared" si="29"/>
        <v>448</v>
      </c>
      <c r="AF94" s="60">
        <f t="shared" si="29"/>
        <v>438.3</v>
      </c>
      <c r="AG94" s="88"/>
      <c r="AH94" s="47">
        <f t="shared" si="18"/>
        <v>498.6</v>
      </c>
      <c r="AI94" s="48">
        <f t="shared" si="19"/>
        <v>233</v>
      </c>
    </row>
    <row r="95" spans="1:37" x14ac:dyDescent="0.25">
      <c r="A95" s="100" t="s">
        <v>103</v>
      </c>
      <c r="B95" s="101">
        <v>50.01</v>
      </c>
      <c r="C95" s="101">
        <v>50.02</v>
      </c>
      <c r="D95" s="101">
        <v>49.98</v>
      </c>
      <c r="E95" s="101">
        <v>50.100999999999999</v>
      </c>
      <c r="F95" s="101">
        <v>50.039000000000001</v>
      </c>
      <c r="G95" s="101">
        <v>50.058999999999997</v>
      </c>
      <c r="H95" s="101">
        <v>49.972999999999999</v>
      </c>
      <c r="I95" s="101">
        <v>49.98</v>
      </c>
      <c r="J95" s="101">
        <v>49.88</v>
      </c>
      <c r="K95" s="101">
        <v>49.936</v>
      </c>
      <c r="L95" s="101">
        <v>49.936999999999998</v>
      </c>
      <c r="M95" s="101">
        <v>50.048000000000002</v>
      </c>
      <c r="N95" s="101">
        <v>50.064</v>
      </c>
      <c r="O95" s="101">
        <v>49.984999999999999</v>
      </c>
      <c r="P95" s="101">
        <v>49.984999999999999</v>
      </c>
      <c r="Q95" s="101">
        <v>50.023000000000003</v>
      </c>
      <c r="R95" s="101">
        <v>50.003999999999998</v>
      </c>
      <c r="S95" s="101">
        <v>49.393000000000001</v>
      </c>
      <c r="T95" s="101">
        <v>49.99</v>
      </c>
      <c r="U95" s="101">
        <v>49.94</v>
      </c>
      <c r="V95" s="101">
        <v>49.92</v>
      </c>
      <c r="W95" s="101">
        <v>50</v>
      </c>
      <c r="X95" s="101">
        <v>50.08</v>
      </c>
      <c r="Y95" s="101">
        <v>49.99</v>
      </c>
      <c r="Z95" s="101">
        <v>50.03</v>
      </c>
      <c r="AA95" s="101">
        <v>50</v>
      </c>
      <c r="AB95" s="101">
        <v>50.082999999999998</v>
      </c>
      <c r="AC95" s="101">
        <v>49.756</v>
      </c>
      <c r="AD95" s="101">
        <v>49.79</v>
      </c>
      <c r="AE95" s="101">
        <v>50.08</v>
      </c>
      <c r="AF95" s="101">
        <v>50.033999999999999</v>
      </c>
      <c r="AG95" s="102"/>
      <c r="AH95" s="47">
        <f t="shared" si="18"/>
        <v>50.100999999999999</v>
      </c>
      <c r="AI95" s="48">
        <f t="shared" si="19"/>
        <v>49.393000000000001</v>
      </c>
    </row>
    <row r="96" spans="1:37" x14ac:dyDescent="0.25">
      <c r="A96" s="103" t="s">
        <v>104</v>
      </c>
      <c r="B96" s="65">
        <v>127.8</v>
      </c>
      <c r="C96" s="65">
        <v>128.69999999999999</v>
      </c>
      <c r="D96" s="65">
        <v>129.19999999999999</v>
      </c>
      <c r="E96" s="65">
        <v>129.6</v>
      </c>
      <c r="F96" s="65">
        <v>129.5</v>
      </c>
      <c r="G96" s="65">
        <v>130</v>
      </c>
      <c r="H96" s="65">
        <v>128.4</v>
      </c>
      <c r="I96" s="65">
        <v>127.1</v>
      </c>
      <c r="J96" s="65">
        <v>125.7</v>
      </c>
      <c r="K96" s="65">
        <v>130.69999999999999</v>
      </c>
      <c r="L96" s="65">
        <v>129</v>
      </c>
      <c r="M96" s="65">
        <v>128.6</v>
      </c>
      <c r="N96" s="65">
        <v>128.80000000000001</v>
      </c>
      <c r="O96" s="65">
        <v>127</v>
      </c>
      <c r="P96" s="65">
        <v>127</v>
      </c>
      <c r="Q96" s="65">
        <v>125.7</v>
      </c>
      <c r="R96" s="65">
        <v>126.9</v>
      </c>
      <c r="S96" s="65">
        <v>125.4</v>
      </c>
      <c r="T96" s="65">
        <v>128.6</v>
      </c>
      <c r="U96" s="65">
        <v>126.7</v>
      </c>
      <c r="V96" s="65">
        <v>129.5</v>
      </c>
      <c r="W96" s="65">
        <v>128</v>
      </c>
      <c r="X96" s="65">
        <v>127.7</v>
      </c>
      <c r="Y96" s="65">
        <v>128.30000000000001</v>
      </c>
      <c r="Z96" s="65">
        <v>128.80000000000001</v>
      </c>
      <c r="AA96" s="65">
        <v>129</v>
      </c>
      <c r="AB96" s="65">
        <v>129.1</v>
      </c>
      <c r="AC96" s="65">
        <v>128.5</v>
      </c>
      <c r="AD96" s="65">
        <v>129</v>
      </c>
      <c r="AE96" s="65">
        <v>129.30000000000001</v>
      </c>
      <c r="AF96" s="65">
        <v>127.8</v>
      </c>
      <c r="AG96" s="104"/>
      <c r="AH96" s="47">
        <f t="shared" si="18"/>
        <v>130.69999999999999</v>
      </c>
      <c r="AI96" s="48">
        <f t="shared" si="19"/>
        <v>125.4</v>
      </c>
    </row>
    <row r="97" spans="1:35" x14ac:dyDescent="0.25">
      <c r="A97" s="103" t="s">
        <v>105</v>
      </c>
      <c r="B97" s="65">
        <v>132.1</v>
      </c>
      <c r="C97" s="65">
        <v>132.6</v>
      </c>
      <c r="D97" s="65">
        <v>133.30000000000001</v>
      </c>
      <c r="E97" s="65">
        <v>133.6</v>
      </c>
      <c r="F97" s="65">
        <v>133.1</v>
      </c>
      <c r="G97" s="65">
        <v>133.4</v>
      </c>
      <c r="H97" s="65">
        <v>131.80000000000001</v>
      </c>
      <c r="I97" s="65">
        <v>130.6</v>
      </c>
      <c r="J97" s="65">
        <v>129</v>
      </c>
      <c r="K97" s="65">
        <v>132.6</v>
      </c>
      <c r="L97" s="65">
        <v>130.5</v>
      </c>
      <c r="M97" s="65">
        <v>133.69</v>
      </c>
      <c r="N97" s="65">
        <v>130.30000000000001</v>
      </c>
      <c r="O97" s="65">
        <v>128.6</v>
      </c>
      <c r="P97" s="65">
        <v>128.6</v>
      </c>
      <c r="Q97" s="65">
        <v>129.1</v>
      </c>
      <c r="R97" s="65">
        <v>129.80000000000001</v>
      </c>
      <c r="S97" s="65">
        <v>128.69999999999999</v>
      </c>
      <c r="T97" s="65">
        <v>130.9</v>
      </c>
      <c r="U97" s="65">
        <v>129.19999999999999</v>
      </c>
      <c r="V97" s="65">
        <v>131.19999999999999</v>
      </c>
      <c r="W97" s="65">
        <v>131.19999999999999</v>
      </c>
      <c r="X97" s="65">
        <v>129.30000000000001</v>
      </c>
      <c r="Y97" s="65">
        <v>129.9</v>
      </c>
      <c r="Z97" s="65">
        <v>130.6</v>
      </c>
      <c r="AA97" s="65">
        <v>131.1</v>
      </c>
      <c r="AB97" s="65">
        <v>131.19999999999999</v>
      </c>
      <c r="AC97" s="65">
        <v>130.9</v>
      </c>
      <c r="AD97" s="65">
        <v>131.5</v>
      </c>
      <c r="AE97" s="65">
        <v>132.80000000000001</v>
      </c>
      <c r="AF97" s="65">
        <v>131.80000000000001</v>
      </c>
      <c r="AG97" s="104"/>
      <c r="AH97" s="47">
        <f t="shared" si="18"/>
        <v>133.69</v>
      </c>
      <c r="AI97" s="48">
        <f t="shared" si="19"/>
        <v>128.6</v>
      </c>
    </row>
    <row r="98" spans="1:35" x14ac:dyDescent="0.25">
      <c r="A98" s="103" t="s">
        <v>106</v>
      </c>
      <c r="B98" s="65">
        <v>133.4</v>
      </c>
      <c r="C98" s="65">
        <v>134.6</v>
      </c>
      <c r="D98" s="65">
        <v>133.4</v>
      </c>
      <c r="E98" s="65">
        <v>133.4</v>
      </c>
      <c r="F98" s="65">
        <v>130.19999999999999</v>
      </c>
      <c r="G98" s="65">
        <v>129.6</v>
      </c>
      <c r="H98" s="65">
        <v>127.3</v>
      </c>
      <c r="I98" s="65">
        <v>126</v>
      </c>
      <c r="J98" s="65">
        <v>128</v>
      </c>
      <c r="K98" s="65">
        <v>129</v>
      </c>
      <c r="L98" s="65">
        <v>129.30000000000001</v>
      </c>
      <c r="M98" s="65">
        <v>132.30000000000001</v>
      </c>
      <c r="N98" s="65">
        <v>132.6</v>
      </c>
      <c r="O98" s="65">
        <v>131.80000000000001</v>
      </c>
      <c r="P98" s="65">
        <v>131.80000000000001</v>
      </c>
      <c r="Q98" s="65">
        <v>130.19999999999999</v>
      </c>
      <c r="R98" s="65">
        <v>128.5</v>
      </c>
      <c r="S98" s="65">
        <v>128</v>
      </c>
      <c r="T98" s="65">
        <v>129.4</v>
      </c>
      <c r="U98" s="65">
        <v>131.4</v>
      </c>
      <c r="V98" s="65">
        <v>131.80000000000001</v>
      </c>
      <c r="W98" s="65">
        <v>131.80000000000001</v>
      </c>
      <c r="X98" s="65">
        <v>130.80000000000001</v>
      </c>
      <c r="Y98" s="65">
        <v>130.6</v>
      </c>
      <c r="Z98" s="65">
        <v>133.19999999999999</v>
      </c>
      <c r="AA98" s="65">
        <v>130.4</v>
      </c>
      <c r="AB98" s="65">
        <v>130.9</v>
      </c>
      <c r="AC98" s="65">
        <v>130.69999999999999</v>
      </c>
      <c r="AD98" s="65">
        <v>130.5</v>
      </c>
      <c r="AE98" s="65">
        <v>132.30000000000001</v>
      </c>
      <c r="AF98" s="65">
        <v>127.4</v>
      </c>
      <c r="AG98" s="104"/>
      <c r="AH98" s="47">
        <f t="shared" si="18"/>
        <v>134.6</v>
      </c>
      <c r="AI98" s="48">
        <f t="shared" si="19"/>
        <v>126</v>
      </c>
    </row>
    <row r="99" spans="1:35" x14ac:dyDescent="0.25">
      <c r="A99" s="105" t="s">
        <v>107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104"/>
      <c r="AH99" s="47">
        <f t="shared" si="18"/>
        <v>0</v>
      </c>
      <c r="AI99" s="48">
        <f t="shared" si="19"/>
        <v>0</v>
      </c>
    </row>
    <row r="100" spans="1:35" x14ac:dyDescent="0.25">
      <c r="A100" s="105" t="s">
        <v>108</v>
      </c>
      <c r="B100" s="106">
        <v>132.80000000000001</v>
      </c>
      <c r="C100" s="106">
        <v>133.69999999999999</v>
      </c>
      <c r="D100" s="106">
        <v>134.69999999999999</v>
      </c>
      <c r="E100" s="106">
        <v>133.9</v>
      </c>
      <c r="F100" s="106">
        <v>132.6</v>
      </c>
      <c r="G100" s="106">
        <v>135.69999999999999</v>
      </c>
      <c r="H100" s="106">
        <v>135.19999999999999</v>
      </c>
      <c r="I100" s="106">
        <v>134.30000000000001</v>
      </c>
      <c r="J100" s="106">
        <v>135</v>
      </c>
      <c r="K100" s="106">
        <v>139</v>
      </c>
      <c r="L100" s="106">
        <v>137</v>
      </c>
      <c r="M100" s="106">
        <v>135.1</v>
      </c>
      <c r="N100" s="106">
        <v>132.6</v>
      </c>
      <c r="O100" s="106">
        <v>131.69999999999999</v>
      </c>
      <c r="P100" s="106">
        <v>131.69999999999999</v>
      </c>
      <c r="Q100" s="106">
        <v>133.9</v>
      </c>
      <c r="R100" s="106">
        <v>131.9</v>
      </c>
      <c r="S100" s="106">
        <v>132</v>
      </c>
      <c r="T100" s="106">
        <v>133.5</v>
      </c>
      <c r="U100" s="106">
        <v>131.1</v>
      </c>
      <c r="V100" s="106">
        <v>135.19999999999999</v>
      </c>
      <c r="W100" s="106">
        <v>135.19999999999999</v>
      </c>
      <c r="X100" s="106">
        <v>133</v>
      </c>
      <c r="Y100" s="106">
        <v>132.80000000000001</v>
      </c>
      <c r="Z100" s="106">
        <v>135</v>
      </c>
      <c r="AA100" s="106">
        <v>135</v>
      </c>
      <c r="AB100" s="106">
        <v>134.6</v>
      </c>
      <c r="AC100" s="106">
        <v>135.1</v>
      </c>
      <c r="AD100" s="106">
        <v>135.4</v>
      </c>
      <c r="AE100" s="106">
        <v>135</v>
      </c>
      <c r="AF100" s="106">
        <v>131.80000000000001</v>
      </c>
      <c r="AG100" s="107"/>
      <c r="AH100" s="47">
        <f t="shared" si="18"/>
        <v>139</v>
      </c>
      <c r="AI100" s="48">
        <f t="shared" si="19"/>
        <v>131.1</v>
      </c>
    </row>
    <row r="101" spans="1:35" x14ac:dyDescent="0.25">
      <c r="A101" s="103" t="s">
        <v>109</v>
      </c>
      <c r="B101" s="65">
        <v>129.80000000000001</v>
      </c>
      <c r="C101" s="65">
        <v>131</v>
      </c>
      <c r="D101" s="65">
        <v>133.6</v>
      </c>
      <c r="E101" s="65">
        <v>133.30000000000001</v>
      </c>
      <c r="F101" s="65">
        <v>130.30000000000001</v>
      </c>
      <c r="G101" s="65">
        <v>130.30000000000001</v>
      </c>
      <c r="H101" s="65">
        <v>126</v>
      </c>
      <c r="I101" s="65">
        <v>127.4</v>
      </c>
      <c r="J101" s="65">
        <v>130.4</v>
      </c>
      <c r="K101" s="65">
        <v>130</v>
      </c>
      <c r="L101" s="65">
        <v>126</v>
      </c>
      <c r="M101" s="65">
        <v>127</v>
      </c>
      <c r="N101" s="65">
        <v>122.4</v>
      </c>
      <c r="O101" s="65">
        <v>126</v>
      </c>
      <c r="P101" s="65">
        <v>126</v>
      </c>
      <c r="Q101" s="65">
        <v>128.69999999999999</v>
      </c>
      <c r="R101" s="65">
        <v>131.30000000000001</v>
      </c>
      <c r="S101" s="65">
        <v>124</v>
      </c>
      <c r="T101" s="65">
        <v>123.9</v>
      </c>
      <c r="U101" s="65">
        <v>129.4</v>
      </c>
      <c r="V101" s="65"/>
      <c r="W101" s="65"/>
      <c r="X101" s="65">
        <v>135.19999999999999</v>
      </c>
      <c r="Y101" s="65">
        <v>133.80000000000001</v>
      </c>
      <c r="Z101" s="65">
        <v>133.6</v>
      </c>
      <c r="AA101" s="65">
        <v>133.6</v>
      </c>
      <c r="AB101" s="65">
        <v>133.6</v>
      </c>
      <c r="AC101" s="65">
        <v>129.69999999999999</v>
      </c>
      <c r="AD101" s="65">
        <v>132.5</v>
      </c>
      <c r="AE101" s="65">
        <v>131.69999999999999</v>
      </c>
      <c r="AF101" s="65">
        <v>135.6</v>
      </c>
      <c r="AG101" s="104"/>
      <c r="AH101" s="47">
        <f t="shared" si="18"/>
        <v>135.6</v>
      </c>
      <c r="AI101" s="48">
        <f t="shared" si="19"/>
        <v>122.4</v>
      </c>
    </row>
    <row r="102" spans="1:35" ht="15.75" thickBot="1" x14ac:dyDescent="0.3">
      <c r="A102" s="103" t="s">
        <v>110</v>
      </c>
      <c r="B102" s="92">
        <v>66.099999999999994</v>
      </c>
      <c r="C102" s="92">
        <v>66.3</v>
      </c>
      <c r="D102" s="92">
        <v>67</v>
      </c>
      <c r="E102" s="92">
        <v>67</v>
      </c>
      <c r="F102" s="92">
        <v>66.7</v>
      </c>
      <c r="G102" s="92">
        <v>66.8</v>
      </c>
      <c r="H102" s="92">
        <v>66.2</v>
      </c>
      <c r="I102" s="92">
        <v>65.2</v>
      </c>
      <c r="J102" s="92">
        <v>64.3</v>
      </c>
      <c r="K102" s="92">
        <v>66.099999999999994</v>
      </c>
      <c r="L102" s="92">
        <v>65.099999999999994</v>
      </c>
      <c r="M102" s="92">
        <v>65</v>
      </c>
      <c r="N102" s="92">
        <v>65.099999999999994</v>
      </c>
      <c r="O102" s="92">
        <v>64</v>
      </c>
      <c r="P102" s="92">
        <v>64</v>
      </c>
      <c r="Q102" s="92">
        <v>64.3</v>
      </c>
      <c r="R102" s="92">
        <v>65.099999999999994</v>
      </c>
      <c r="S102" s="92">
        <v>64.599999999999994</v>
      </c>
      <c r="T102" s="92">
        <v>65.599999999999994</v>
      </c>
      <c r="U102" s="92">
        <v>64.7</v>
      </c>
      <c r="V102" s="92">
        <v>65.7</v>
      </c>
      <c r="W102" s="92">
        <v>65.7</v>
      </c>
      <c r="X102" s="92">
        <v>64.7</v>
      </c>
      <c r="Y102" s="92">
        <v>65</v>
      </c>
      <c r="Z102" s="92">
        <v>65.7</v>
      </c>
      <c r="AA102" s="92">
        <v>65.900000000000006</v>
      </c>
      <c r="AB102" s="92">
        <v>65.8</v>
      </c>
      <c r="AC102" s="92">
        <v>65.8</v>
      </c>
      <c r="AD102" s="92">
        <v>65.8</v>
      </c>
      <c r="AE102" s="92">
        <v>66.8</v>
      </c>
      <c r="AF102" s="92">
        <v>66.2</v>
      </c>
      <c r="AG102" s="108"/>
      <c r="AH102" s="47">
        <f t="shared" si="18"/>
        <v>67</v>
      </c>
      <c r="AI102" s="48">
        <f t="shared" si="19"/>
        <v>64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 t="s">
        <v>111</v>
      </c>
      <c r="Z103" s="92"/>
      <c r="AA103" s="92"/>
      <c r="AB103" s="92"/>
      <c r="AC103" s="92"/>
      <c r="AD103" s="92"/>
      <c r="AE103" s="92"/>
      <c r="AF103" s="92"/>
      <c r="AG103" s="108"/>
      <c r="AH103" s="47">
        <f t="shared" si="18"/>
        <v>0</v>
      </c>
      <c r="AI103" s="48">
        <f t="shared" si="19"/>
        <v>0</v>
      </c>
    </row>
    <row r="104" spans="1:35" ht="15.75" thickBot="1" x14ac:dyDescent="0.3">
      <c r="A104" s="110" t="s">
        <v>112</v>
      </c>
      <c r="B104" s="111">
        <f t="shared" ref="B104:C104" si="30">SUM(B16,B22,B25:B26,B52,B54:B55,B57,B59,B105:B109,B131,B137,B143,B152,B154,B166,B173,B176:B177,B184,B186,B188,B192:B194,B196:B198,B203,B209:B210,B212:B214,B222,B227)</f>
        <v>152.69999999999999</v>
      </c>
      <c r="C104" s="111">
        <f t="shared" si="30"/>
        <v>133.74</v>
      </c>
      <c r="D104" s="111">
        <f t="shared" ref="D104:AF104" si="31">SUM(D16,D22,D25:D26,D52,D54:D55,D57,D59,D105:D109,D131,D137,D143,D152,D154,D166,D173,D176:D177,D184,D186,D188,D192:D194,D196:D198,D203,D209:D210,D212:D214,D222,D227)</f>
        <v>131.14000000000001</v>
      </c>
      <c r="E104" s="111">
        <f t="shared" si="31"/>
        <v>129.54</v>
      </c>
      <c r="F104" s="111">
        <f t="shared" si="31"/>
        <v>131.94</v>
      </c>
      <c r="G104" s="111">
        <f t="shared" si="31"/>
        <v>157.04</v>
      </c>
      <c r="H104" s="111">
        <f t="shared" si="31"/>
        <v>197.23999999999998</v>
      </c>
      <c r="I104" s="111">
        <f t="shared" si="31"/>
        <v>230.23999999999998</v>
      </c>
      <c r="J104" s="111">
        <f t="shared" si="31"/>
        <v>278.64</v>
      </c>
      <c r="K104" s="111">
        <f t="shared" si="31"/>
        <v>357.44</v>
      </c>
      <c r="L104" s="111">
        <f t="shared" si="31"/>
        <v>385.64</v>
      </c>
      <c r="M104" s="111">
        <f t="shared" si="31"/>
        <v>364.24</v>
      </c>
      <c r="N104" s="111">
        <f t="shared" si="31"/>
        <v>344.73999999999995</v>
      </c>
      <c r="O104" s="111">
        <f t="shared" si="31"/>
        <v>325.33999999999997</v>
      </c>
      <c r="P104" s="111">
        <v>42</v>
      </c>
      <c r="Q104" s="111">
        <f t="shared" si="31"/>
        <v>287.39999999999998</v>
      </c>
      <c r="R104" s="111">
        <f t="shared" si="31"/>
        <v>274.59999999999997</v>
      </c>
      <c r="S104" s="111">
        <f t="shared" si="31"/>
        <v>250.09999999999997</v>
      </c>
      <c r="T104" s="111">
        <f t="shared" si="31"/>
        <v>246.2</v>
      </c>
      <c r="U104" s="111">
        <f t="shared" si="31"/>
        <v>257.09999999999997</v>
      </c>
      <c r="V104" s="111">
        <f t="shared" si="31"/>
        <v>274.60000000000002</v>
      </c>
      <c r="W104" s="111">
        <f t="shared" si="31"/>
        <v>310.89999999999998</v>
      </c>
      <c r="X104" s="111">
        <f t="shared" si="31"/>
        <v>361.49999999999994</v>
      </c>
      <c r="Y104" s="111">
        <v>445.79708333333332</v>
      </c>
      <c r="Z104" s="111">
        <f t="shared" si="31"/>
        <v>386.70000000000005</v>
      </c>
      <c r="AA104" s="111">
        <f t="shared" si="31"/>
        <v>380.3</v>
      </c>
      <c r="AB104" s="111">
        <f t="shared" si="31"/>
        <v>362.6</v>
      </c>
      <c r="AC104" s="111">
        <f t="shared" si="31"/>
        <v>343.8</v>
      </c>
      <c r="AD104" s="111">
        <f t="shared" si="31"/>
        <v>306.79999999999995</v>
      </c>
      <c r="AE104" s="111">
        <f t="shared" si="31"/>
        <v>238</v>
      </c>
      <c r="AF104" s="111">
        <f t="shared" si="31"/>
        <v>176.3</v>
      </c>
      <c r="AG104" s="112"/>
      <c r="AH104" s="47">
        <f t="shared" si="18"/>
        <v>445.79708333333332</v>
      </c>
      <c r="AI104" s="48">
        <f t="shared" si="19"/>
        <v>42</v>
      </c>
    </row>
    <row r="105" spans="1:35" x14ac:dyDescent="0.25">
      <c r="A105" s="100" t="s">
        <v>113</v>
      </c>
      <c r="B105" s="113">
        <v>-10.199999999999999</v>
      </c>
      <c r="C105" s="113">
        <v>-13.1</v>
      </c>
      <c r="D105" s="113">
        <v>-9.1</v>
      </c>
      <c r="E105" s="113">
        <v>-11</v>
      </c>
      <c r="F105" s="113">
        <v>-6</v>
      </c>
      <c r="G105" s="113">
        <v>0</v>
      </c>
      <c r="H105" s="113">
        <v>7</v>
      </c>
      <c r="I105" s="113">
        <v>14.6</v>
      </c>
      <c r="J105" s="113">
        <v>32.1</v>
      </c>
      <c r="K105" s="113">
        <v>36</v>
      </c>
      <c r="L105" s="113">
        <v>26.5</v>
      </c>
      <c r="M105" s="113">
        <v>26</v>
      </c>
      <c r="N105" s="113">
        <v>27.7</v>
      </c>
      <c r="O105" s="113">
        <v>26.7</v>
      </c>
      <c r="P105" s="113">
        <v>26.7</v>
      </c>
      <c r="Q105" s="113">
        <v>32.799999999999997</v>
      </c>
      <c r="R105" s="113">
        <v>13.1</v>
      </c>
      <c r="S105" s="113">
        <v>17.399999999999999</v>
      </c>
      <c r="T105" s="113">
        <v>13.8</v>
      </c>
      <c r="U105" s="113">
        <v>9.1</v>
      </c>
      <c r="V105" s="113">
        <v>10</v>
      </c>
      <c r="W105" s="113">
        <v>22</v>
      </c>
      <c r="X105" s="113">
        <v>39.299999999999997</v>
      </c>
      <c r="Y105" s="113">
        <v>36.9</v>
      </c>
      <c r="Z105" s="113">
        <v>42.7</v>
      </c>
      <c r="AA105" s="113">
        <v>46.3</v>
      </c>
      <c r="AB105" s="113">
        <v>42.7</v>
      </c>
      <c r="AC105" s="113">
        <v>35.799999999999997</v>
      </c>
      <c r="AD105" s="113">
        <v>37.4</v>
      </c>
      <c r="AE105" s="113">
        <v>25.2</v>
      </c>
      <c r="AF105" s="113">
        <v>0</v>
      </c>
      <c r="AG105" s="114">
        <v>75</v>
      </c>
      <c r="AH105" s="47">
        <f t="shared" si="18"/>
        <v>46.3</v>
      </c>
      <c r="AI105" s="48">
        <f t="shared" si="19"/>
        <v>-13.1</v>
      </c>
    </row>
    <row r="106" spans="1:35" x14ac:dyDescent="0.25">
      <c r="A106" s="103" t="s">
        <v>114</v>
      </c>
      <c r="B106" s="115">
        <v>-5.0999999999999996</v>
      </c>
      <c r="C106" s="115">
        <v>-10.3</v>
      </c>
      <c r="D106" s="115">
        <v>-4</v>
      </c>
      <c r="E106" s="115">
        <v>-6.7</v>
      </c>
      <c r="F106" s="115">
        <v>-2.4</v>
      </c>
      <c r="G106" s="115">
        <v>3.6</v>
      </c>
      <c r="H106" s="115">
        <v>13.1</v>
      </c>
      <c r="I106" s="115">
        <v>22.6</v>
      </c>
      <c r="J106" s="115">
        <v>46.3</v>
      </c>
      <c r="K106" s="115">
        <v>45</v>
      </c>
      <c r="L106" s="115">
        <v>28.7</v>
      </c>
      <c r="M106" s="115">
        <v>30</v>
      </c>
      <c r="N106" s="115">
        <v>34.299999999999997</v>
      </c>
      <c r="O106" s="115">
        <v>31.9</v>
      </c>
      <c r="P106" s="115">
        <v>31.9</v>
      </c>
      <c r="Q106" s="115">
        <v>51.5</v>
      </c>
      <c r="R106" s="115">
        <v>21.3</v>
      </c>
      <c r="S106" s="115">
        <v>28</v>
      </c>
      <c r="T106" s="115">
        <v>23.8</v>
      </c>
      <c r="U106" s="115">
        <v>14.7</v>
      </c>
      <c r="V106" s="115">
        <v>12.7</v>
      </c>
      <c r="W106" s="115">
        <v>26</v>
      </c>
      <c r="X106" s="115">
        <v>48</v>
      </c>
      <c r="Y106" s="115">
        <v>46.6</v>
      </c>
      <c r="Z106" s="115">
        <v>53</v>
      </c>
      <c r="AA106" s="115">
        <v>58.6</v>
      </c>
      <c r="AB106" s="115">
        <v>54.6</v>
      </c>
      <c r="AC106" s="115">
        <v>43</v>
      </c>
      <c r="AD106" s="115">
        <v>49</v>
      </c>
      <c r="AE106" s="115">
        <v>35</v>
      </c>
      <c r="AF106" s="115">
        <v>5.5</v>
      </c>
      <c r="AG106" s="114">
        <v>240</v>
      </c>
      <c r="AH106" s="47">
        <f t="shared" si="18"/>
        <v>58.6</v>
      </c>
      <c r="AI106" s="48">
        <f t="shared" si="19"/>
        <v>-10.3</v>
      </c>
    </row>
    <row r="107" spans="1:35" x14ac:dyDescent="0.25">
      <c r="A107" s="103" t="s">
        <v>115</v>
      </c>
      <c r="B107" s="115">
        <v>-32.6</v>
      </c>
      <c r="C107" s="115">
        <f>-18.1-19.7</f>
        <v>-37.799999999999997</v>
      </c>
      <c r="D107" s="115">
        <f>-21.4-23.1</f>
        <v>-44.5</v>
      </c>
      <c r="E107" s="115">
        <v>-44</v>
      </c>
      <c r="F107" s="115">
        <v>-44</v>
      </c>
      <c r="G107" s="115">
        <v>-42</v>
      </c>
      <c r="H107" s="115">
        <v>-30</v>
      </c>
      <c r="I107" s="115">
        <v>-25</v>
      </c>
      <c r="J107" s="115">
        <v>-23</v>
      </c>
      <c r="K107" s="115">
        <v>22</v>
      </c>
      <c r="L107" s="115">
        <v>69</v>
      </c>
      <c r="M107" s="115">
        <v>50.6</v>
      </c>
      <c r="N107" s="115">
        <v>50</v>
      </c>
      <c r="O107" s="115">
        <v>57.3</v>
      </c>
      <c r="P107" s="115">
        <v>57.3</v>
      </c>
      <c r="Q107" s="115">
        <v>-9</v>
      </c>
      <c r="R107" s="115">
        <v>3.3</v>
      </c>
      <c r="S107" s="115">
        <f>-23-8</f>
        <v>-31</v>
      </c>
      <c r="T107" s="115">
        <f>-27-4.9</f>
        <v>-31.9</v>
      </c>
      <c r="U107" s="115">
        <f>-28.9+2.7</f>
        <v>-26.2</v>
      </c>
      <c r="V107" s="115">
        <f>-10.6+11.4</f>
        <v>0.80000000000000071</v>
      </c>
      <c r="W107" s="115">
        <v>20</v>
      </c>
      <c r="X107" s="115">
        <f>8.8+25.9</f>
        <v>34.700000000000003</v>
      </c>
      <c r="Y107" s="115">
        <v>24</v>
      </c>
      <c r="Z107" s="115">
        <f>10.9+26.6</f>
        <v>37.5</v>
      </c>
      <c r="AA107" s="115">
        <f>15.2+23.4</f>
        <v>38.599999999999994</v>
      </c>
      <c r="AB107" s="115">
        <v>43</v>
      </c>
      <c r="AC107" s="115">
        <v>56</v>
      </c>
      <c r="AD107" s="115">
        <v>5</v>
      </c>
      <c r="AE107" s="115">
        <v>-23</v>
      </c>
      <c r="AF107" s="115">
        <v>-33</v>
      </c>
      <c r="AG107" s="114">
        <v>240</v>
      </c>
      <c r="AH107" s="47">
        <f t="shared" si="18"/>
        <v>69</v>
      </c>
      <c r="AI107" s="48">
        <f t="shared" si="19"/>
        <v>-44.5</v>
      </c>
    </row>
    <row r="108" spans="1:35" x14ac:dyDescent="0.25">
      <c r="A108" s="103" t="s">
        <v>116</v>
      </c>
      <c r="B108" s="115">
        <v>-1.5</v>
      </c>
      <c r="C108" s="115">
        <v>-5.5</v>
      </c>
      <c r="D108" s="115">
        <v>-5.4</v>
      </c>
      <c r="E108" s="115">
        <v>-4.2</v>
      </c>
      <c r="F108" s="115">
        <v>-7.1</v>
      </c>
      <c r="G108" s="115">
        <v>-2.2999999999999998</v>
      </c>
      <c r="H108" s="115">
        <v>-2.4</v>
      </c>
      <c r="I108" s="115">
        <v>0.5</v>
      </c>
      <c r="J108" s="115">
        <v>4.8</v>
      </c>
      <c r="K108" s="115">
        <v>26</v>
      </c>
      <c r="L108" s="115">
        <v>34</v>
      </c>
      <c r="M108" s="115">
        <v>33.299999999999997</v>
      </c>
      <c r="N108" s="115">
        <v>30.8</v>
      </c>
      <c r="O108" s="115">
        <v>24.2</v>
      </c>
      <c r="P108" s="115">
        <v>24.2</v>
      </c>
      <c r="Q108" s="115">
        <v>2.5</v>
      </c>
      <c r="R108" s="115">
        <v>22.2</v>
      </c>
      <c r="S108" s="115">
        <v>17.5</v>
      </c>
      <c r="T108" s="115">
        <v>43.1</v>
      </c>
      <c r="U108" s="115">
        <v>42.4</v>
      </c>
      <c r="V108" s="115">
        <v>35.6</v>
      </c>
      <c r="W108" s="115">
        <v>30</v>
      </c>
      <c r="X108" s="115">
        <v>43.9</v>
      </c>
      <c r="Y108" s="115">
        <v>61.1</v>
      </c>
      <c r="Z108" s="115">
        <v>44.8</v>
      </c>
      <c r="AA108" s="115">
        <v>34.200000000000003</v>
      </c>
      <c r="AB108" s="115">
        <v>31</v>
      </c>
      <c r="AC108" s="115">
        <v>30</v>
      </c>
      <c r="AD108" s="115">
        <v>14.7</v>
      </c>
      <c r="AE108" s="115">
        <v>4</v>
      </c>
      <c r="AF108" s="115">
        <v>0.9</v>
      </c>
      <c r="AG108" s="114">
        <v>60</v>
      </c>
      <c r="AH108" s="47">
        <f t="shared" si="18"/>
        <v>61.1</v>
      </c>
      <c r="AI108" s="48">
        <f t="shared" si="19"/>
        <v>-7.1</v>
      </c>
    </row>
    <row r="109" spans="1:35" x14ac:dyDescent="0.25">
      <c r="A109" s="116" t="s">
        <v>117</v>
      </c>
      <c r="B109" s="117">
        <v>90.1</v>
      </c>
      <c r="C109" s="117">
        <v>89</v>
      </c>
      <c r="D109" s="117">
        <v>82.7</v>
      </c>
      <c r="E109" s="117">
        <v>83</v>
      </c>
      <c r="F109" s="117">
        <v>79</v>
      </c>
      <c r="G109" s="117">
        <v>85.3</v>
      </c>
      <c r="H109" s="117">
        <v>97.1</v>
      </c>
      <c r="I109" s="117">
        <v>105.1</v>
      </c>
      <c r="J109" s="117">
        <v>106</v>
      </c>
      <c r="K109" s="117">
        <v>116</v>
      </c>
      <c r="L109" s="117">
        <v>115</v>
      </c>
      <c r="M109" s="117">
        <v>112.3</v>
      </c>
      <c r="N109" s="117">
        <v>90.1</v>
      </c>
      <c r="O109" s="117">
        <v>73.400000000000006</v>
      </c>
      <c r="P109" s="117">
        <v>73.400000000000006</v>
      </c>
      <c r="Q109" s="117">
        <v>98.7</v>
      </c>
      <c r="R109" s="117">
        <v>103.8</v>
      </c>
      <c r="S109" s="117">
        <v>107.3</v>
      </c>
      <c r="T109" s="117">
        <v>86.5</v>
      </c>
      <c r="U109" s="117">
        <v>106.2</v>
      </c>
      <c r="V109" s="117">
        <v>104.6</v>
      </c>
      <c r="W109" s="117">
        <v>102</v>
      </c>
      <c r="X109" s="117">
        <v>87.5</v>
      </c>
      <c r="Y109" s="117">
        <v>107.3</v>
      </c>
      <c r="Z109" s="117">
        <v>100.9</v>
      </c>
      <c r="AA109" s="117">
        <v>94.8</v>
      </c>
      <c r="AB109" s="117">
        <v>83.5</v>
      </c>
      <c r="AC109" s="117">
        <v>72.7</v>
      </c>
      <c r="AD109" s="117">
        <v>92.4</v>
      </c>
      <c r="AE109" s="117">
        <v>82.1</v>
      </c>
      <c r="AF109" s="117">
        <v>88.2</v>
      </c>
      <c r="AG109" s="118">
        <v>120</v>
      </c>
      <c r="AH109" s="47">
        <f t="shared" si="18"/>
        <v>116</v>
      </c>
      <c r="AI109" s="48">
        <f t="shared" si="19"/>
        <v>72.7</v>
      </c>
    </row>
    <row r="110" spans="1:35" x14ac:dyDescent="0.25">
      <c r="A110" s="116" t="s">
        <v>118</v>
      </c>
      <c r="B110" s="117">
        <v>93.2</v>
      </c>
      <c r="C110" s="117">
        <v>94.8</v>
      </c>
      <c r="D110" s="117">
        <v>91.2</v>
      </c>
      <c r="E110" s="117">
        <v>87</v>
      </c>
      <c r="F110" s="117">
        <v>83</v>
      </c>
      <c r="G110" s="117">
        <v>85</v>
      </c>
      <c r="H110" s="117">
        <v>90</v>
      </c>
      <c r="I110" s="117">
        <v>96.4</v>
      </c>
      <c r="J110" s="117">
        <v>94</v>
      </c>
      <c r="K110" s="117">
        <v>74</v>
      </c>
      <c r="L110" s="117">
        <v>87</v>
      </c>
      <c r="M110" s="117">
        <v>86</v>
      </c>
      <c r="N110" s="117">
        <v>68.2</v>
      </c>
      <c r="O110" s="117">
        <v>75</v>
      </c>
      <c r="P110" s="117">
        <v>75</v>
      </c>
      <c r="Q110" s="117">
        <v>82.7</v>
      </c>
      <c r="R110" s="117">
        <v>88.9</v>
      </c>
      <c r="S110" s="117">
        <v>96.7</v>
      </c>
      <c r="T110" s="117">
        <v>80.400000000000006</v>
      </c>
      <c r="U110" s="117">
        <v>98</v>
      </c>
      <c r="V110" s="117">
        <v>33.5</v>
      </c>
      <c r="W110" s="117">
        <v>80</v>
      </c>
      <c r="X110" s="117">
        <v>79.900000000000006</v>
      </c>
      <c r="Y110" s="117">
        <v>72.7</v>
      </c>
      <c r="Z110" s="117">
        <v>79</v>
      </c>
      <c r="AA110" s="117">
        <v>76.8</v>
      </c>
      <c r="AB110" s="117">
        <v>75</v>
      </c>
      <c r="AC110" s="117">
        <v>90</v>
      </c>
      <c r="AD110" s="117">
        <v>84.7</v>
      </c>
      <c r="AE110" s="117">
        <v>75</v>
      </c>
      <c r="AF110" s="117">
        <v>88</v>
      </c>
      <c r="AG110" s="118"/>
      <c r="AH110" s="47">
        <f t="shared" si="18"/>
        <v>98</v>
      </c>
      <c r="AI110" s="48">
        <f t="shared" si="19"/>
        <v>33.5</v>
      </c>
    </row>
    <row r="111" spans="1:35" x14ac:dyDescent="0.25">
      <c r="A111" s="116" t="s">
        <v>119</v>
      </c>
      <c r="B111" s="117">
        <v>35.200000000000003</v>
      </c>
      <c r="C111" s="117">
        <v>37</v>
      </c>
      <c r="D111" s="117">
        <v>36.1</v>
      </c>
      <c r="E111" s="117">
        <v>40</v>
      </c>
      <c r="F111" s="117">
        <v>40</v>
      </c>
      <c r="G111" s="117">
        <v>34.299999999999997</v>
      </c>
      <c r="H111" s="117">
        <v>25.4</v>
      </c>
      <c r="I111" s="117">
        <v>29.7</v>
      </c>
      <c r="J111" s="117">
        <v>5.3</v>
      </c>
      <c r="K111" s="117">
        <v>5</v>
      </c>
      <c r="L111" s="117">
        <v>15.6</v>
      </c>
      <c r="M111" s="117">
        <v>16.3</v>
      </c>
      <c r="N111" s="117">
        <v>9.6</v>
      </c>
      <c r="O111" s="117">
        <v>10.6</v>
      </c>
      <c r="P111" s="117">
        <v>10.6</v>
      </c>
      <c r="Q111" s="117"/>
      <c r="R111" s="117">
        <v>19.8</v>
      </c>
      <c r="S111" s="117">
        <v>-17.600000000000001</v>
      </c>
      <c r="T111" s="117">
        <v>-23.8</v>
      </c>
      <c r="U111" s="117">
        <v>-34.700000000000003</v>
      </c>
      <c r="V111" s="117">
        <v>-33</v>
      </c>
      <c r="W111" s="117">
        <v>15</v>
      </c>
      <c r="X111" s="117">
        <v>5.9</v>
      </c>
      <c r="Y111" s="117">
        <v>7.2</v>
      </c>
      <c r="Z111" s="117">
        <v>3.8</v>
      </c>
      <c r="AA111" s="117">
        <v>0.7</v>
      </c>
      <c r="AB111" s="117">
        <v>1.5</v>
      </c>
      <c r="AC111" s="117">
        <v>7.1</v>
      </c>
      <c r="AD111" s="117">
        <v>7.7</v>
      </c>
      <c r="AE111" s="117">
        <v>8.6</v>
      </c>
      <c r="AF111" s="117">
        <v>36</v>
      </c>
      <c r="AG111" s="119"/>
      <c r="AH111" s="47">
        <f t="shared" si="18"/>
        <v>40</v>
      </c>
      <c r="AI111" s="48">
        <f t="shared" si="19"/>
        <v>-34.700000000000003</v>
      </c>
    </row>
    <row r="112" spans="1:35" x14ac:dyDescent="0.25">
      <c r="A112" s="120" t="s">
        <v>120</v>
      </c>
      <c r="B112" s="106">
        <v>20.5</v>
      </c>
      <c r="C112" s="106">
        <v>25</v>
      </c>
      <c r="D112" s="106">
        <v>19.3</v>
      </c>
      <c r="E112" s="106">
        <v>22</v>
      </c>
      <c r="F112" s="106">
        <v>26</v>
      </c>
      <c r="G112" s="106">
        <v>18.100000000000001</v>
      </c>
      <c r="H112" s="106">
        <v>5.7</v>
      </c>
      <c r="I112" s="106">
        <v>-4.0999999999999996</v>
      </c>
      <c r="J112" s="106">
        <v>-16</v>
      </c>
      <c r="K112" s="106">
        <v>-34</v>
      </c>
      <c r="L112" s="106">
        <v>-23</v>
      </c>
      <c r="M112" s="106">
        <v>-15.6</v>
      </c>
      <c r="N112" s="106">
        <v>-7.8</v>
      </c>
      <c r="O112" s="106">
        <v>-17.100000000000001</v>
      </c>
      <c r="P112" s="106">
        <v>-17.100000000000001</v>
      </c>
      <c r="Q112" s="106">
        <v>-1.1000000000000001</v>
      </c>
      <c r="R112" s="106">
        <v>0</v>
      </c>
      <c r="S112" s="106">
        <v>7.7</v>
      </c>
      <c r="T112" s="106">
        <v>-6.2</v>
      </c>
      <c r="U112" s="106">
        <v>-5.9</v>
      </c>
      <c r="V112" s="106">
        <v>-8.9</v>
      </c>
      <c r="W112" s="106">
        <v>40</v>
      </c>
      <c r="X112" s="106">
        <v>-67.599999999999994</v>
      </c>
      <c r="Y112" s="106">
        <v>-69</v>
      </c>
      <c r="Z112" s="106">
        <v>-50.5</v>
      </c>
      <c r="AA112" s="106">
        <v>-41.4</v>
      </c>
      <c r="AB112" s="106">
        <v>-28.3</v>
      </c>
      <c r="AC112" s="106">
        <v>-14</v>
      </c>
      <c r="AD112" s="106">
        <v>-8.3000000000000007</v>
      </c>
      <c r="AE112" s="106">
        <v>1.6</v>
      </c>
      <c r="AF112" s="106">
        <v>19</v>
      </c>
      <c r="AG112" s="119"/>
      <c r="AH112" s="47">
        <f t="shared" si="18"/>
        <v>40</v>
      </c>
      <c r="AI112" s="48">
        <f t="shared" si="19"/>
        <v>-69</v>
      </c>
    </row>
    <row r="113" spans="1:37" ht="15.75" thickBot="1" x14ac:dyDescent="0.3">
      <c r="A113" s="120" t="s">
        <v>121</v>
      </c>
      <c r="B113" s="106">
        <v>11.3</v>
      </c>
      <c r="C113" s="106">
        <v>12.9</v>
      </c>
      <c r="D113" s="106">
        <v>18.899999999999999</v>
      </c>
      <c r="E113" s="106">
        <v>20</v>
      </c>
      <c r="F113" s="106">
        <v>18</v>
      </c>
      <c r="G113" s="106">
        <v>18</v>
      </c>
      <c r="H113" s="106">
        <v>15</v>
      </c>
      <c r="I113" s="106">
        <v>13.3</v>
      </c>
      <c r="J113" s="106">
        <v>20</v>
      </c>
      <c r="K113" s="106">
        <v>-6.2</v>
      </c>
      <c r="L113" s="106">
        <v>-48</v>
      </c>
      <c r="M113" s="106">
        <v>-46.8</v>
      </c>
      <c r="N113" s="106">
        <v>-34.700000000000003</v>
      </c>
      <c r="O113" s="106">
        <v>-42.5</v>
      </c>
      <c r="P113" s="106">
        <v>-42.5</v>
      </c>
      <c r="Q113" s="106">
        <v>19.5</v>
      </c>
      <c r="R113" s="106">
        <v>22.3</v>
      </c>
      <c r="S113" s="106">
        <v>-26</v>
      </c>
      <c r="T113" s="106">
        <v>-26.1</v>
      </c>
      <c r="U113" s="106">
        <v>7</v>
      </c>
      <c r="V113" s="106"/>
      <c r="W113" s="106">
        <v>21</v>
      </c>
      <c r="X113" s="106">
        <v>-22.2</v>
      </c>
      <c r="Y113" s="106">
        <v>-18.399999999999999</v>
      </c>
      <c r="Z113" s="106">
        <v>-21.2</v>
      </c>
      <c r="AA113" s="106">
        <v>-20.8</v>
      </c>
      <c r="AB113" s="106">
        <v>-20.6</v>
      </c>
      <c r="AC113" s="106">
        <v>-32.299999999999997</v>
      </c>
      <c r="AD113" s="106">
        <v>3.9</v>
      </c>
      <c r="AE113" s="106">
        <v>19.2</v>
      </c>
      <c r="AF113" s="106">
        <v>15</v>
      </c>
      <c r="AG113" s="119"/>
      <c r="AH113" s="47">
        <f t="shared" si="18"/>
        <v>22.3</v>
      </c>
      <c r="AI113" s="48">
        <f t="shared" si="19"/>
        <v>-48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32">SUM(B115:B219)</f>
        <v>0</v>
      </c>
      <c r="C220" s="136">
        <f t="shared" si="32"/>
        <v>0</v>
      </c>
      <c r="D220" s="136">
        <f t="shared" si="32"/>
        <v>0</v>
      </c>
      <c r="E220" s="136">
        <f t="shared" si="32"/>
        <v>0</v>
      </c>
      <c r="F220" s="136">
        <f t="shared" si="32"/>
        <v>0</v>
      </c>
      <c r="G220" s="136">
        <f t="shared" si="32"/>
        <v>0</v>
      </c>
      <c r="H220" s="136">
        <f t="shared" si="32"/>
        <v>0</v>
      </c>
      <c r="I220" s="136">
        <f t="shared" si="32"/>
        <v>0</v>
      </c>
      <c r="J220" s="136">
        <f t="shared" si="32"/>
        <v>0</v>
      </c>
      <c r="K220" s="136">
        <f t="shared" si="32"/>
        <v>0</v>
      </c>
      <c r="L220" s="136">
        <f t="shared" si="32"/>
        <v>0</v>
      </c>
      <c r="M220" s="136">
        <f t="shared" si="32"/>
        <v>0</v>
      </c>
      <c r="N220" s="136">
        <f t="shared" si="32"/>
        <v>0</v>
      </c>
      <c r="O220" s="136">
        <f t="shared" si="32"/>
        <v>0</v>
      </c>
      <c r="P220" s="136">
        <f t="shared" si="32"/>
        <v>0</v>
      </c>
      <c r="Q220" s="136">
        <f t="shared" si="32"/>
        <v>0</v>
      </c>
      <c r="R220" s="136">
        <f t="shared" si="32"/>
        <v>0</v>
      </c>
      <c r="S220" s="136">
        <f t="shared" si="32"/>
        <v>0</v>
      </c>
      <c r="T220" s="136">
        <f t="shared" si="32"/>
        <v>0</v>
      </c>
      <c r="U220" s="136">
        <f t="shared" si="32"/>
        <v>0</v>
      </c>
      <c r="V220" s="136">
        <f t="shared" si="32"/>
        <v>0</v>
      </c>
      <c r="W220" s="136">
        <f t="shared" si="32"/>
        <v>0</v>
      </c>
      <c r="X220" s="136">
        <f t="shared" si="32"/>
        <v>0</v>
      </c>
      <c r="Y220" s="136">
        <f t="shared" si="32"/>
        <v>0</v>
      </c>
      <c r="Z220" s="136">
        <f t="shared" si="32"/>
        <v>0</v>
      </c>
      <c r="AA220" s="136">
        <f t="shared" si="32"/>
        <v>0</v>
      </c>
      <c r="AB220" s="136">
        <f t="shared" si="32"/>
        <v>0</v>
      </c>
      <c r="AC220" s="136">
        <f t="shared" si="32"/>
        <v>0</v>
      </c>
      <c r="AD220" s="136">
        <f t="shared" si="32"/>
        <v>0</v>
      </c>
      <c r="AE220" s="136">
        <f t="shared" si="32"/>
        <v>0</v>
      </c>
      <c r="AF220" s="137">
        <f t="shared" si="32"/>
        <v>0</v>
      </c>
      <c r="AG220" s="138">
        <f t="shared" si="32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33">AF222</f>
        <v>0</v>
      </c>
      <c r="C222" s="140">
        <v>0.3</v>
      </c>
      <c r="D222" s="140">
        <f t="shared" ref="D222:P227" si="34">C222</f>
        <v>0.3</v>
      </c>
      <c r="E222" s="140">
        <f t="shared" si="34"/>
        <v>0.3</v>
      </c>
      <c r="F222" s="140">
        <f t="shared" si="34"/>
        <v>0.3</v>
      </c>
      <c r="G222" s="140">
        <f t="shared" si="34"/>
        <v>0.3</v>
      </c>
      <c r="H222" s="140">
        <f t="shared" si="34"/>
        <v>0.3</v>
      </c>
      <c r="I222" s="140">
        <f t="shared" si="34"/>
        <v>0.3</v>
      </c>
      <c r="J222" s="140">
        <f t="shared" si="34"/>
        <v>0.3</v>
      </c>
      <c r="K222" s="140">
        <f t="shared" si="34"/>
        <v>0.3</v>
      </c>
      <c r="L222" s="140">
        <f t="shared" si="34"/>
        <v>0.3</v>
      </c>
      <c r="M222" s="140">
        <f t="shared" si="34"/>
        <v>0.3</v>
      </c>
      <c r="N222" s="140">
        <f t="shared" si="34"/>
        <v>0.3</v>
      </c>
      <c r="O222" s="140">
        <f t="shared" si="34"/>
        <v>0.3</v>
      </c>
      <c r="P222" s="140">
        <f t="shared" si="34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33"/>
        <v>0</v>
      </c>
      <c r="C223" s="128">
        <v>0.4</v>
      </c>
      <c r="D223" s="128">
        <f t="shared" si="34"/>
        <v>0.4</v>
      </c>
      <c r="E223" s="128">
        <f t="shared" si="34"/>
        <v>0.4</v>
      </c>
      <c r="F223" s="128">
        <f t="shared" si="34"/>
        <v>0.4</v>
      </c>
      <c r="G223" s="128">
        <f t="shared" si="34"/>
        <v>0.4</v>
      </c>
      <c r="H223" s="128">
        <f t="shared" si="34"/>
        <v>0.4</v>
      </c>
      <c r="I223" s="128">
        <f t="shared" si="34"/>
        <v>0.4</v>
      </c>
      <c r="J223" s="128">
        <f t="shared" si="34"/>
        <v>0.4</v>
      </c>
      <c r="K223" s="128">
        <f t="shared" si="34"/>
        <v>0.4</v>
      </c>
      <c r="L223" s="128">
        <f t="shared" si="34"/>
        <v>0.4</v>
      </c>
      <c r="M223" s="128">
        <f t="shared" si="34"/>
        <v>0.4</v>
      </c>
      <c r="N223" s="128">
        <f t="shared" si="34"/>
        <v>0.4</v>
      </c>
      <c r="O223" s="128">
        <f t="shared" si="34"/>
        <v>0.4</v>
      </c>
      <c r="P223" s="128">
        <f t="shared" si="34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33"/>
        <v>0</v>
      </c>
      <c r="C224" s="128">
        <v>1.5</v>
      </c>
      <c r="D224" s="128">
        <f t="shared" si="34"/>
        <v>1.5</v>
      </c>
      <c r="E224" s="128">
        <f t="shared" si="34"/>
        <v>1.5</v>
      </c>
      <c r="F224" s="128">
        <f t="shared" si="34"/>
        <v>1.5</v>
      </c>
      <c r="G224" s="128">
        <f t="shared" si="34"/>
        <v>1.5</v>
      </c>
      <c r="H224" s="128">
        <f t="shared" si="34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34"/>
        <v>1.5</v>
      </c>
      <c r="K224" s="128">
        <f t="shared" ca="1" si="34"/>
        <v>1.5</v>
      </c>
      <c r="L224" s="128">
        <f t="shared" ca="1" si="34"/>
        <v>1.5</v>
      </c>
      <c r="M224" s="128">
        <f t="shared" ca="1" si="34"/>
        <v>1.5</v>
      </c>
      <c r="N224" s="128">
        <f t="shared" ca="1" si="34"/>
        <v>1.5</v>
      </c>
      <c r="O224" s="128">
        <f t="shared" ca="1" si="34"/>
        <v>1.5</v>
      </c>
      <c r="P224" s="128">
        <f t="shared" ca="1" si="34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33"/>
        <v>0</v>
      </c>
      <c r="C225" s="128">
        <v>0.3</v>
      </c>
      <c r="D225" s="128">
        <f t="shared" si="34"/>
        <v>0.3</v>
      </c>
      <c r="E225" s="128">
        <f t="shared" si="34"/>
        <v>0.3</v>
      </c>
      <c r="F225" s="128">
        <f t="shared" si="34"/>
        <v>0.3</v>
      </c>
      <c r="G225" s="128">
        <f t="shared" si="34"/>
        <v>0.3</v>
      </c>
      <c r="H225" s="128">
        <f t="shared" si="34"/>
        <v>0.3</v>
      </c>
      <c r="I225" s="128">
        <f t="shared" si="34"/>
        <v>0.3</v>
      </c>
      <c r="J225" s="128">
        <f t="shared" si="34"/>
        <v>0.3</v>
      </c>
      <c r="K225" s="128">
        <f t="shared" si="34"/>
        <v>0.3</v>
      </c>
      <c r="L225" s="128">
        <f t="shared" si="34"/>
        <v>0.3</v>
      </c>
      <c r="M225" s="128">
        <f t="shared" si="34"/>
        <v>0.3</v>
      </c>
      <c r="N225" s="128">
        <f t="shared" si="34"/>
        <v>0.3</v>
      </c>
      <c r="O225" s="128">
        <f t="shared" si="34"/>
        <v>0.3</v>
      </c>
      <c r="P225" s="128">
        <f t="shared" si="34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33"/>
        <v>0</v>
      </c>
      <c r="C226" s="128">
        <v>0.4</v>
      </c>
      <c r="D226" s="128">
        <f t="shared" si="34"/>
        <v>0.4</v>
      </c>
      <c r="E226" s="128">
        <f t="shared" si="34"/>
        <v>0.4</v>
      </c>
      <c r="F226" s="128">
        <f t="shared" si="34"/>
        <v>0.4</v>
      </c>
      <c r="G226" s="128">
        <f t="shared" si="34"/>
        <v>0.4</v>
      </c>
      <c r="H226" s="128">
        <f t="shared" si="34"/>
        <v>0.4</v>
      </c>
      <c r="I226" s="128">
        <f t="shared" si="34"/>
        <v>0.4</v>
      </c>
      <c r="J226" s="128">
        <f t="shared" si="34"/>
        <v>0.4</v>
      </c>
      <c r="K226" s="128">
        <f t="shared" si="34"/>
        <v>0.4</v>
      </c>
      <c r="L226" s="128">
        <f t="shared" si="34"/>
        <v>0.4</v>
      </c>
      <c r="M226" s="128">
        <f t="shared" si="34"/>
        <v>0.4</v>
      </c>
      <c r="N226" s="128">
        <f t="shared" si="34"/>
        <v>0.4</v>
      </c>
      <c r="O226" s="128">
        <f t="shared" si="34"/>
        <v>0.4</v>
      </c>
      <c r="P226" s="128">
        <f t="shared" si="34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33"/>
        <v>0</v>
      </c>
      <c r="C227" s="132">
        <v>0.64</v>
      </c>
      <c r="D227" s="132">
        <f t="shared" si="34"/>
        <v>0.64</v>
      </c>
      <c r="E227" s="132">
        <f t="shared" si="34"/>
        <v>0.64</v>
      </c>
      <c r="F227" s="132">
        <f t="shared" si="34"/>
        <v>0.64</v>
      </c>
      <c r="G227" s="132">
        <f t="shared" si="34"/>
        <v>0.64</v>
      </c>
      <c r="H227" s="132">
        <f t="shared" si="34"/>
        <v>0.64</v>
      </c>
      <c r="I227" s="132">
        <f t="shared" si="34"/>
        <v>0.64</v>
      </c>
      <c r="J227" s="132">
        <f t="shared" si="34"/>
        <v>0.64</v>
      </c>
      <c r="K227" s="132">
        <f t="shared" si="34"/>
        <v>0.64</v>
      </c>
      <c r="L227" s="132">
        <f t="shared" si="34"/>
        <v>0.64</v>
      </c>
      <c r="M227" s="132">
        <f t="shared" si="34"/>
        <v>0.64</v>
      </c>
      <c r="N227" s="132">
        <f t="shared" si="34"/>
        <v>0.64</v>
      </c>
      <c r="O227" s="132">
        <f t="shared" si="34"/>
        <v>0.64</v>
      </c>
      <c r="P227" s="132">
        <f t="shared" si="34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35">SUM(B222:B227)</f>
        <v>0</v>
      </c>
      <c r="C228" s="136">
        <f t="shared" si="35"/>
        <v>3.54</v>
      </c>
      <c r="D228" s="136">
        <f t="shared" si="35"/>
        <v>3.54</v>
      </c>
      <c r="E228" s="136">
        <f t="shared" si="35"/>
        <v>3.54</v>
      </c>
      <c r="F228" s="136">
        <f t="shared" si="35"/>
        <v>3.54</v>
      </c>
      <c r="G228" s="136">
        <f t="shared" si="35"/>
        <v>3.54</v>
      </c>
      <c r="H228" s="136">
        <f t="shared" si="35"/>
        <v>3.54</v>
      </c>
      <c r="I228" s="136">
        <f t="shared" ca="1" si="35"/>
        <v>3.54</v>
      </c>
      <c r="J228" s="136">
        <f t="shared" ca="1" si="35"/>
        <v>3.54</v>
      </c>
      <c r="K228" s="136">
        <f t="shared" ca="1" si="35"/>
        <v>3.54</v>
      </c>
      <c r="L228" s="136">
        <f t="shared" ca="1" si="35"/>
        <v>3.54</v>
      </c>
      <c r="M228" s="136">
        <f t="shared" ca="1" si="35"/>
        <v>3.54</v>
      </c>
      <c r="N228" s="136">
        <f t="shared" ca="1" si="35"/>
        <v>3.54</v>
      </c>
      <c r="O228" s="136">
        <f t="shared" ca="1" si="35"/>
        <v>3.54</v>
      </c>
      <c r="P228" s="136">
        <f t="shared" ca="1" si="35"/>
        <v>3.54</v>
      </c>
      <c r="Q228" s="136">
        <f t="shared" si="35"/>
        <v>0</v>
      </c>
      <c r="R228" s="136">
        <f t="shared" si="35"/>
        <v>0</v>
      </c>
      <c r="S228" s="136">
        <f t="shared" si="35"/>
        <v>0</v>
      </c>
      <c r="T228" s="136">
        <f t="shared" si="35"/>
        <v>0</v>
      </c>
      <c r="U228" s="136">
        <f t="shared" si="35"/>
        <v>0</v>
      </c>
      <c r="V228" s="136">
        <f t="shared" si="35"/>
        <v>0</v>
      </c>
      <c r="W228" s="136">
        <f t="shared" si="35"/>
        <v>0</v>
      </c>
      <c r="X228" s="136">
        <f t="shared" si="35"/>
        <v>0</v>
      </c>
      <c r="Y228" s="136">
        <f t="shared" si="35"/>
        <v>0</v>
      </c>
      <c r="Z228" s="136">
        <f t="shared" si="35"/>
        <v>0</v>
      </c>
      <c r="AA228" s="136">
        <f t="shared" si="35"/>
        <v>0</v>
      </c>
      <c r="AB228" s="136">
        <f t="shared" si="35"/>
        <v>0</v>
      </c>
      <c r="AC228" s="136">
        <f t="shared" si="35"/>
        <v>0</v>
      </c>
      <c r="AD228" s="136">
        <f t="shared" si="35"/>
        <v>0</v>
      </c>
      <c r="AE228" s="136">
        <f t="shared" si="35"/>
        <v>0</v>
      </c>
      <c r="AF228" s="136">
        <f t="shared" si="35"/>
        <v>0</v>
      </c>
      <c r="AG228" s="145">
        <f t="shared" si="35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1467.3400000000001</v>
      </c>
      <c r="C237" s="161">
        <f>INDEX(G9:N9,1,MATCH(MAX(G85:N85),G85:N85,0))</f>
        <v>0.3125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18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str">
        <f ca="1">"Pie Chart of Daily Peak Demand(Inclusive of Export) of Nepal ("&amp;A4&amp;" "&amp;B4&amp;")"</f>
        <v>Pie Chart of Daily Peak Demand(Inclusive of Export) of Nepal (Nepali Date: 2079/09/18)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2079/09/18)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36">B85</f>
        <v>1066.94</v>
      </c>
      <c r="U242" s="170">
        <f t="shared" si="36"/>
        <v>1014.3399999999999</v>
      </c>
      <c r="V242" s="170">
        <f t="shared" si="36"/>
        <v>1048.2800000000002</v>
      </c>
      <c r="W242" s="170">
        <f t="shared" si="36"/>
        <v>1022.3800000000001</v>
      </c>
      <c r="X242" s="170">
        <f t="shared" si="36"/>
        <v>1021.74</v>
      </c>
      <c r="Y242" s="170">
        <f t="shared" si="36"/>
        <v>1077.6399999999999</v>
      </c>
      <c r="Z242" s="170">
        <f t="shared" si="36"/>
        <v>1150.3499999999999</v>
      </c>
      <c r="AA242" s="170">
        <f t="shared" si="36"/>
        <v>1247.74</v>
      </c>
      <c r="AB242" s="170">
        <f t="shared" si="36"/>
        <v>1349.3899999999999</v>
      </c>
      <c r="AC242" s="170">
        <f t="shared" si="36"/>
        <v>1278.54</v>
      </c>
      <c r="AD242" s="170">
        <f t="shared" si="36"/>
        <v>1467.3400000000001</v>
      </c>
      <c r="AE242" s="170">
        <f t="shared" si="36"/>
        <v>1425.0300000000002</v>
      </c>
      <c r="AF242" s="170">
        <f t="shared" si="36"/>
        <v>1373.8400000000001</v>
      </c>
      <c r="AG242" s="170">
        <f t="shared" si="36"/>
        <v>1322.74</v>
      </c>
      <c r="AH242" s="170">
        <f t="shared" si="36"/>
        <v>1237.44</v>
      </c>
      <c r="AI242" s="170">
        <f t="shared" si="36"/>
        <v>1305.24</v>
      </c>
      <c r="AJ242" s="170">
        <f t="shared" si="36"/>
        <v>1337.7400000000002</v>
      </c>
      <c r="AK242" s="170">
        <f t="shared" si="36"/>
        <v>1313.2400000000002</v>
      </c>
      <c r="AL242" s="170">
        <f t="shared" si="36"/>
        <v>1285.47</v>
      </c>
      <c r="AM242" s="170">
        <f t="shared" si="36"/>
        <v>1309.6399999999999</v>
      </c>
      <c r="AN242" s="170">
        <f t="shared" si="36"/>
        <v>1259.04</v>
      </c>
      <c r="AO242" s="170">
        <f t="shared" si="36"/>
        <v>1222.04</v>
      </c>
      <c r="AP242" s="170">
        <f t="shared" si="36"/>
        <v>1385.04</v>
      </c>
      <c r="AQ242" s="170">
        <f t="shared" si="36"/>
        <v>1573.04</v>
      </c>
      <c r="AR242" s="170">
        <f t="shared" si="36"/>
        <v>1542.44</v>
      </c>
      <c r="AS242" s="170">
        <f t="shared" si="36"/>
        <v>1469.14</v>
      </c>
      <c r="AT242" s="170">
        <f t="shared" si="36"/>
        <v>1439.24</v>
      </c>
      <c r="AU242" s="170">
        <f t="shared" si="36"/>
        <v>1367.24</v>
      </c>
      <c r="AV242" s="170">
        <f t="shared" si="36"/>
        <v>1244.6400000000001</v>
      </c>
      <c r="AW242" s="170">
        <f t="shared" si="36"/>
        <v>1200.3399999999999</v>
      </c>
      <c r="AX242" s="170">
        <f t="shared" si="36"/>
        <v>1091.74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37">C227</f>
        <v>0.64</v>
      </c>
      <c r="C263" s="173">
        <f t="shared" si="37"/>
        <v>0.64</v>
      </c>
      <c r="D263" s="173">
        <f t="shared" si="37"/>
        <v>0.64</v>
      </c>
      <c r="E263" s="173">
        <f t="shared" si="37"/>
        <v>0.64</v>
      </c>
      <c r="F263" s="173">
        <f t="shared" si="37"/>
        <v>0.64</v>
      </c>
      <c r="G263" s="173">
        <f t="shared" si="37"/>
        <v>0.64</v>
      </c>
      <c r="H263" s="173">
        <f t="shared" si="37"/>
        <v>0.64</v>
      </c>
      <c r="I263" s="173">
        <f t="shared" si="37"/>
        <v>0.64</v>
      </c>
      <c r="J263" s="173">
        <f t="shared" si="37"/>
        <v>0.64</v>
      </c>
      <c r="K263" s="173">
        <f t="shared" si="37"/>
        <v>0.64</v>
      </c>
      <c r="L263" s="173">
        <f t="shared" si="37"/>
        <v>0.64</v>
      </c>
      <c r="M263" s="173">
        <f t="shared" si="37"/>
        <v>0.64</v>
      </c>
      <c r="N263" s="173">
        <f t="shared" si="37"/>
        <v>0.64</v>
      </c>
      <c r="O263" s="173">
        <f t="shared" si="37"/>
        <v>0.64</v>
      </c>
      <c r="P263" s="173">
        <f t="shared" si="37"/>
        <v>0</v>
      </c>
      <c r="Q263" s="173">
        <f t="shared" si="37"/>
        <v>0</v>
      </c>
      <c r="R263" s="173">
        <f t="shared" si="37"/>
        <v>0</v>
      </c>
      <c r="S263" s="173">
        <f t="shared" si="37"/>
        <v>0</v>
      </c>
      <c r="T263" s="173">
        <f t="shared" si="37"/>
        <v>0</v>
      </c>
      <c r="U263" s="173">
        <f t="shared" si="37"/>
        <v>0</v>
      </c>
      <c r="V263" s="173">
        <f t="shared" si="37"/>
        <v>0</v>
      </c>
      <c r="W263" s="173">
        <f t="shared" si="37"/>
        <v>0</v>
      </c>
      <c r="X263" s="173">
        <f t="shared" si="37"/>
        <v>0</v>
      </c>
      <c r="Y263" s="173">
        <f t="shared" si="37"/>
        <v>0</v>
      </c>
      <c r="Z263" s="173">
        <f t="shared" si="37"/>
        <v>0</v>
      </c>
      <c r="AA263" s="173">
        <f t="shared" si="37"/>
        <v>0</v>
      </c>
      <c r="AB263" s="173">
        <f t="shared" si="37"/>
        <v>0</v>
      </c>
      <c r="AC263" s="173">
        <f t="shared" si="37"/>
        <v>0</v>
      </c>
      <c r="AD263" s="173">
        <f t="shared" si="37"/>
        <v>0</v>
      </c>
      <c r="AE263" s="173">
        <f t="shared" si="37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38">IF(B231&lt;100,"",B231-520)</f>
        <v/>
      </c>
      <c r="C264" s="174" t="str">
        <f t="shared" si="38"/>
        <v/>
      </c>
      <c r="D264" s="174" t="str">
        <f t="shared" si="38"/>
        <v/>
      </c>
      <c r="E264" s="174" t="str">
        <f t="shared" si="38"/>
        <v/>
      </c>
      <c r="F264" s="174" t="str">
        <f t="shared" si="38"/>
        <v/>
      </c>
      <c r="G264" s="174" t="str">
        <f t="shared" si="38"/>
        <v/>
      </c>
      <c r="H264" s="174" t="str">
        <f t="shared" si="38"/>
        <v/>
      </c>
      <c r="I264" s="174" t="str">
        <f t="shared" si="38"/>
        <v/>
      </c>
      <c r="J264" s="174" t="str">
        <f t="shared" si="38"/>
        <v/>
      </c>
      <c r="K264" s="174" t="str">
        <f t="shared" si="38"/>
        <v/>
      </c>
      <c r="L264" s="174" t="str">
        <f t="shared" si="38"/>
        <v/>
      </c>
      <c r="M264" s="174" t="str">
        <f t="shared" si="38"/>
        <v/>
      </c>
      <c r="N264" s="174" t="str">
        <f t="shared" si="38"/>
        <v/>
      </c>
      <c r="O264" s="174" t="str">
        <f t="shared" si="38"/>
        <v/>
      </c>
      <c r="P264" s="174" t="str">
        <f t="shared" si="38"/>
        <v/>
      </c>
      <c r="Q264" s="174" t="str">
        <f t="shared" si="38"/>
        <v/>
      </c>
      <c r="R264" s="174" t="str">
        <f t="shared" si="38"/>
        <v/>
      </c>
      <c r="S264" s="174" t="str">
        <f t="shared" si="38"/>
        <v/>
      </c>
      <c r="T264" s="174" t="str">
        <f t="shared" si="38"/>
        <v/>
      </c>
      <c r="U264" s="174" t="str">
        <f t="shared" si="38"/>
        <v/>
      </c>
      <c r="V264" s="174" t="str">
        <f t="shared" si="38"/>
        <v/>
      </c>
      <c r="W264" s="174" t="str">
        <f t="shared" si="38"/>
        <v/>
      </c>
      <c r="X264" s="174" t="str">
        <f t="shared" si="38"/>
        <v/>
      </c>
      <c r="Y264" s="174" t="str">
        <f t="shared" si="38"/>
        <v/>
      </c>
      <c r="Z264" s="174" t="str">
        <f t="shared" si="38"/>
        <v/>
      </c>
      <c r="AA264" s="174" t="str">
        <f t="shared" si="38"/>
        <v/>
      </c>
      <c r="AB264" s="174" t="str">
        <f t="shared" si="38"/>
        <v/>
      </c>
      <c r="AC264" s="174" t="str">
        <f t="shared" si="38"/>
        <v/>
      </c>
      <c r="AD264" s="174" t="str">
        <f t="shared" si="38"/>
        <v/>
      </c>
      <c r="AE264" s="174" t="str">
        <f t="shared" si="38"/>
        <v/>
      </c>
      <c r="AF264" s="174" t="str">
        <f t="shared" si="38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39">IF(B232&lt;100,"",B232-620)</f>
        <v/>
      </c>
      <c r="C265" s="174" t="str">
        <f t="shared" si="39"/>
        <v/>
      </c>
      <c r="D265" s="174" t="str">
        <f t="shared" si="39"/>
        <v/>
      </c>
      <c r="E265" s="174" t="str">
        <f t="shared" si="39"/>
        <v/>
      </c>
      <c r="F265" s="174" t="str">
        <f t="shared" si="39"/>
        <v/>
      </c>
      <c r="G265" s="174" t="str">
        <f t="shared" si="39"/>
        <v/>
      </c>
      <c r="H265" s="174" t="str">
        <f t="shared" si="39"/>
        <v/>
      </c>
      <c r="I265" s="174" t="str">
        <f t="shared" si="39"/>
        <v/>
      </c>
      <c r="J265" s="174" t="str">
        <f t="shared" si="39"/>
        <v/>
      </c>
      <c r="K265" s="174" t="str">
        <f t="shared" si="39"/>
        <v/>
      </c>
      <c r="L265" s="174" t="str">
        <f t="shared" si="39"/>
        <v/>
      </c>
      <c r="M265" s="174" t="str">
        <f t="shared" si="39"/>
        <v/>
      </c>
      <c r="N265" s="174" t="str">
        <f t="shared" si="39"/>
        <v/>
      </c>
      <c r="O265" s="174" t="str">
        <f t="shared" si="39"/>
        <v/>
      </c>
      <c r="P265" s="174" t="str">
        <f t="shared" si="39"/>
        <v/>
      </c>
      <c r="Q265" s="174" t="str">
        <f t="shared" si="39"/>
        <v/>
      </c>
      <c r="R265" s="174" t="str">
        <f t="shared" si="39"/>
        <v/>
      </c>
      <c r="S265" s="174" t="str">
        <f t="shared" si="39"/>
        <v/>
      </c>
      <c r="T265" s="174" t="str">
        <f t="shared" si="39"/>
        <v/>
      </c>
      <c r="U265" s="174" t="str">
        <f t="shared" si="39"/>
        <v/>
      </c>
      <c r="V265" s="174" t="str">
        <f t="shared" si="39"/>
        <v/>
      </c>
      <c r="W265" s="174" t="str">
        <f t="shared" si="39"/>
        <v/>
      </c>
      <c r="X265" s="174" t="str">
        <f t="shared" si="39"/>
        <v/>
      </c>
      <c r="Y265" s="174" t="str">
        <f t="shared" si="39"/>
        <v/>
      </c>
      <c r="Z265" s="174" t="str">
        <f t="shared" si="39"/>
        <v/>
      </c>
      <c r="AA265" s="174" t="str">
        <f t="shared" si="39"/>
        <v/>
      </c>
      <c r="AB265" s="174" t="str">
        <f t="shared" si="39"/>
        <v/>
      </c>
      <c r="AC265" s="174" t="str">
        <f t="shared" si="39"/>
        <v/>
      </c>
      <c r="AD265" s="174" t="str">
        <f t="shared" si="39"/>
        <v/>
      </c>
      <c r="AE265" s="174" t="str">
        <f t="shared" si="39"/>
        <v/>
      </c>
      <c r="AF265" s="174" t="str">
        <f t="shared" si="39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40">IF(B233&lt;100,"",B233-330)</f>
        <v/>
      </c>
      <c r="C266" s="174" t="str">
        <f t="shared" si="40"/>
        <v/>
      </c>
      <c r="D266" s="174" t="str">
        <f t="shared" si="40"/>
        <v/>
      </c>
      <c r="E266" s="174" t="str">
        <f t="shared" si="40"/>
        <v/>
      </c>
      <c r="F266" s="174" t="str">
        <f t="shared" si="40"/>
        <v/>
      </c>
      <c r="G266" s="174" t="str">
        <f t="shared" si="40"/>
        <v/>
      </c>
      <c r="H266" s="174" t="str">
        <f t="shared" si="40"/>
        <v/>
      </c>
      <c r="I266" s="174" t="str">
        <f t="shared" si="40"/>
        <v/>
      </c>
      <c r="J266" s="174" t="str">
        <f t="shared" si="40"/>
        <v/>
      </c>
      <c r="K266" s="174" t="str">
        <f t="shared" si="40"/>
        <v/>
      </c>
      <c r="L266" s="174" t="str">
        <f t="shared" si="40"/>
        <v/>
      </c>
      <c r="M266" s="174" t="str">
        <f t="shared" si="40"/>
        <v/>
      </c>
      <c r="N266" s="174" t="str">
        <f t="shared" si="40"/>
        <v/>
      </c>
      <c r="O266" s="174" t="str">
        <f t="shared" si="40"/>
        <v/>
      </c>
      <c r="P266" s="174" t="str">
        <f t="shared" si="40"/>
        <v/>
      </c>
      <c r="Q266" s="174" t="str">
        <f t="shared" si="40"/>
        <v/>
      </c>
      <c r="R266" s="174" t="str">
        <f t="shared" si="40"/>
        <v/>
      </c>
      <c r="S266" s="174" t="str">
        <f t="shared" si="40"/>
        <v/>
      </c>
      <c r="T266" s="174" t="str">
        <f t="shared" si="40"/>
        <v/>
      </c>
      <c r="U266" s="174" t="str">
        <f t="shared" si="40"/>
        <v/>
      </c>
      <c r="V266" s="174" t="str">
        <f t="shared" si="40"/>
        <v/>
      </c>
      <c r="W266" s="174" t="str">
        <f t="shared" si="40"/>
        <v/>
      </c>
      <c r="X266" s="174" t="str">
        <f t="shared" si="40"/>
        <v/>
      </c>
      <c r="Y266" s="174" t="str">
        <f t="shared" si="40"/>
        <v/>
      </c>
      <c r="Z266" s="174" t="str">
        <f t="shared" si="40"/>
        <v/>
      </c>
      <c r="AA266" s="174" t="str">
        <f t="shared" si="40"/>
        <v/>
      </c>
      <c r="AB266" s="174" t="str">
        <f t="shared" si="40"/>
        <v/>
      </c>
      <c r="AC266" s="174" t="str">
        <f t="shared" si="40"/>
        <v/>
      </c>
      <c r="AD266" s="174" t="str">
        <f t="shared" si="40"/>
        <v/>
      </c>
      <c r="AE266" s="174" t="str">
        <f t="shared" si="40"/>
        <v/>
      </c>
      <c r="AF266" s="174" t="str">
        <f t="shared" si="40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41">IF(B234&lt;100,"",B234-1500)</f>
        <v/>
      </c>
      <c r="C267" s="174" t="str">
        <f t="shared" si="41"/>
        <v/>
      </c>
      <c r="D267" s="174" t="str">
        <f t="shared" si="41"/>
        <v/>
      </c>
      <c r="E267" s="174" t="str">
        <f t="shared" si="41"/>
        <v/>
      </c>
      <c r="F267" s="174" t="str">
        <f t="shared" si="41"/>
        <v/>
      </c>
      <c r="G267" s="174" t="str">
        <f t="shared" si="41"/>
        <v/>
      </c>
      <c r="H267" s="174" t="str">
        <f t="shared" si="41"/>
        <v/>
      </c>
      <c r="I267" s="174" t="str">
        <f t="shared" si="41"/>
        <v/>
      </c>
      <c r="J267" s="174" t="str">
        <f t="shared" si="41"/>
        <v/>
      </c>
      <c r="K267" s="174" t="str">
        <f t="shared" si="41"/>
        <v/>
      </c>
      <c r="L267" s="174" t="str">
        <f t="shared" si="41"/>
        <v/>
      </c>
      <c r="M267" s="174" t="str">
        <f t="shared" si="41"/>
        <v/>
      </c>
      <c r="N267" s="174" t="str">
        <f t="shared" si="41"/>
        <v/>
      </c>
      <c r="O267" s="174" t="str">
        <f t="shared" si="41"/>
        <v/>
      </c>
      <c r="P267" s="174" t="str">
        <f t="shared" si="41"/>
        <v/>
      </c>
      <c r="Q267" s="174" t="str">
        <f t="shared" si="41"/>
        <v/>
      </c>
      <c r="R267" s="174" t="str">
        <f t="shared" si="41"/>
        <v/>
      </c>
      <c r="S267" s="174" t="str">
        <f t="shared" si="41"/>
        <v/>
      </c>
      <c r="T267" s="174" t="str">
        <f t="shared" si="41"/>
        <v/>
      </c>
      <c r="U267" s="174" t="str">
        <f t="shared" si="41"/>
        <v/>
      </c>
      <c r="V267" s="174" t="str">
        <f t="shared" si="41"/>
        <v/>
      </c>
      <c r="W267" s="174" t="str">
        <f t="shared" si="41"/>
        <v/>
      </c>
      <c r="X267" s="174" t="str">
        <f t="shared" si="41"/>
        <v/>
      </c>
      <c r="Y267" s="174" t="str">
        <f t="shared" si="41"/>
        <v/>
      </c>
      <c r="Z267" s="174" t="str">
        <f t="shared" si="41"/>
        <v/>
      </c>
      <c r="AA267" s="174" t="str">
        <f t="shared" si="41"/>
        <v/>
      </c>
      <c r="AB267" s="174" t="str">
        <f t="shared" si="41"/>
        <v/>
      </c>
      <c r="AC267" s="174" t="str">
        <f t="shared" si="41"/>
        <v/>
      </c>
      <c r="AD267" s="174" t="str">
        <f t="shared" si="41"/>
        <v/>
      </c>
      <c r="AE267" s="174" t="str">
        <f t="shared" si="41"/>
        <v/>
      </c>
      <c r="AF267" s="174" t="str">
        <f t="shared" si="41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2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5:AF105 D107:AF112 Y11:AF41">
    <cfRule type="expression" dxfId="4852" priority="323">
      <formula>B$9&gt;=20/24</formula>
    </cfRule>
    <cfRule type="expression" dxfId="4851" priority="324">
      <formula>AND(B$9&gt;=14/24,B$9&lt;20/24)</formula>
    </cfRule>
    <cfRule type="expression" dxfId="4850" priority="325">
      <formula>AND(B$9&gt;=8/24,B$9&lt;14/24)</formula>
    </cfRule>
    <cfRule type="expression" dxfId="4849" priority="326">
      <formula>B$9&lt;8/24</formula>
    </cfRule>
  </conditionalFormatting>
  <conditionalFormatting sqref="AL4:AL6">
    <cfRule type="iconSet" priority="322">
      <iconSet iconSet="3TrafficLights2" reverse="1">
        <cfvo type="percent" val="0"/>
        <cfvo type="num" val="1"/>
        <cfvo type="num" val="1"/>
      </iconSet>
    </cfRule>
  </conditionalFormatting>
  <conditionalFormatting sqref="AG61 Y11:AF41">
    <cfRule type="expression" dxfId="4848" priority="321">
      <formula>Y11&gt;$AG11</formula>
    </cfRule>
  </conditionalFormatting>
  <conditionalFormatting sqref="A95:A105 A55:A82 A91:A93 A198:A228 A42:A53 A114:A185 A38:A39 A87:A89 A84:A85 A107:A109 A35:A36 A17:A18 A11:A15 A20:A33">
    <cfRule type="expression" dxfId="4847" priority="320">
      <formula>$AH11=0</formula>
    </cfRule>
  </conditionalFormatting>
  <conditionalFormatting sqref="A110">
    <cfRule type="expression" dxfId="4846" priority="319">
      <formula>$AH110=0</formula>
    </cfRule>
  </conditionalFormatting>
  <conditionalFormatting sqref="AL39">
    <cfRule type="iconSet" priority="318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4845" priority="317">
      <formula>$AH41=0</formula>
    </cfRule>
  </conditionalFormatting>
  <conditionalFormatting sqref="A94">
    <cfRule type="expression" dxfId="4844" priority="316">
      <formula>$AH94=0</formula>
    </cfRule>
  </conditionalFormatting>
  <conditionalFormatting sqref="A16">
    <cfRule type="expression" dxfId="4843" priority="315">
      <formula>$AH16=0</formula>
    </cfRule>
  </conditionalFormatting>
  <conditionalFormatting sqref="A192:A197">
    <cfRule type="expression" dxfId="4842" priority="314">
      <formula>$AH192=0</formula>
    </cfRule>
  </conditionalFormatting>
  <conditionalFormatting sqref="A186:A191">
    <cfRule type="expression" dxfId="4841" priority="313">
      <formula>$AH186=0</formula>
    </cfRule>
  </conditionalFormatting>
  <conditionalFormatting sqref="A54">
    <cfRule type="expression" dxfId="4840" priority="312">
      <formula>$AH54=0</formula>
    </cfRule>
  </conditionalFormatting>
  <conditionalFormatting sqref="A90">
    <cfRule type="expression" dxfId="4839" priority="311">
      <formula>$AH90=0</formula>
    </cfRule>
  </conditionalFormatting>
  <conditionalFormatting sqref="AD95:AF95 E95:X95">
    <cfRule type="expression" dxfId="4838" priority="307">
      <formula>E$9&gt;=20/24</formula>
    </cfRule>
    <cfRule type="expression" dxfId="4837" priority="308">
      <formula>AND(E$9&gt;=14/24,E$9&lt;20/24)</formula>
    </cfRule>
    <cfRule type="expression" dxfId="4836" priority="309">
      <formula>AND(E$9&gt;=8/24,E$9&lt;14/24)</formula>
    </cfRule>
    <cfRule type="expression" dxfId="4835" priority="310">
      <formula>E$9&lt;8/24</formula>
    </cfRule>
  </conditionalFormatting>
  <conditionalFormatting sqref="AL40">
    <cfRule type="iconSet" priority="306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834" priority="329">
      <formula>C$9&gt;=20/24</formula>
    </cfRule>
    <cfRule type="expression" dxfId="4833" priority="330">
      <formula>AND(C$9&gt;=14/24,C$9&lt;20/24)</formula>
    </cfRule>
    <cfRule type="expression" dxfId="4832" priority="331">
      <formula>AND(C$9&gt;=8/24,C$9&lt;14/24)</formula>
    </cfRule>
    <cfRule type="expression" dxfId="4831" priority="332">
      <formula>C$9&lt;8/24</formula>
    </cfRule>
  </conditionalFormatting>
  <conditionalFormatting sqref="A229">
    <cfRule type="expression" dxfId="4830" priority="333">
      <formula>$AH229=0</formula>
    </cfRule>
  </conditionalFormatting>
  <conditionalFormatting sqref="AG241">
    <cfRule type="expression" dxfId="4829" priority="334">
      <formula>B$9&gt;=20/24</formula>
    </cfRule>
    <cfRule type="expression" dxfId="4828" priority="335">
      <formula>AND(B$9&gt;=14/24,B$9&lt;20/24)</formula>
    </cfRule>
    <cfRule type="expression" dxfId="4827" priority="336">
      <formula>AND(B$9&gt;=8/24,B$9&lt;14/24)</formula>
    </cfRule>
    <cfRule type="expression" dxfId="4826" priority="337">
      <formula>B$9&lt;8/24</formula>
    </cfRule>
  </conditionalFormatting>
  <conditionalFormatting sqref="S8">
    <cfRule type="expression" dxfId="4825" priority="302">
      <formula>U$9&gt;=20/24</formula>
    </cfRule>
    <cfRule type="expression" dxfId="4824" priority="303">
      <formula>AND(U$9&gt;=14/24,U$9&lt;20/24)</formula>
    </cfRule>
    <cfRule type="expression" dxfId="4823" priority="304">
      <formula>AND(U$9&gt;=8/24,U$9&lt;14/24)</formula>
    </cfRule>
    <cfRule type="expression" dxfId="4822" priority="305">
      <formula>U$9&lt;8/24</formula>
    </cfRule>
  </conditionalFormatting>
  <conditionalFormatting sqref="AB8">
    <cfRule type="expression" dxfId="4821" priority="298">
      <formula>AD$9&gt;=20/24</formula>
    </cfRule>
    <cfRule type="expression" dxfId="4820" priority="299">
      <formula>AND(AD$9&gt;=14/24,AD$9&lt;20/24)</formula>
    </cfRule>
    <cfRule type="expression" dxfId="4819" priority="300">
      <formula>AND(AD$9&gt;=8/24,AD$9&lt;14/24)</formula>
    </cfRule>
    <cfRule type="expression" dxfId="4818" priority="301">
      <formula>AD$9&lt;8/24</formula>
    </cfRule>
  </conditionalFormatting>
  <conditionalFormatting sqref="AH241:AX241">
    <cfRule type="expression" dxfId="4817" priority="338">
      <formula>AG$9&gt;=20/24</formula>
    </cfRule>
    <cfRule type="expression" dxfId="4816" priority="339">
      <formula>AND(AG$9&gt;=14/24,AG$9&lt;20/24)</formula>
    </cfRule>
    <cfRule type="expression" dxfId="4815" priority="340">
      <formula>AND(AG$9&gt;=8/24,AG$9&lt;14/24)</formula>
    </cfRule>
    <cfRule type="expression" dxfId="4814" priority="341">
      <formula>AG$9&lt;8/24</formula>
    </cfRule>
  </conditionalFormatting>
  <conditionalFormatting sqref="T241">
    <cfRule type="expression" dxfId="4813" priority="342">
      <formula>AX$9&gt;=20/24</formula>
    </cfRule>
    <cfRule type="expression" dxfId="4812" priority="343">
      <formula>AND(AX$9&gt;=14/24,AX$9&lt;20/24)</formula>
    </cfRule>
    <cfRule type="expression" dxfId="4811" priority="344">
      <formula>AND(AX$9&gt;=8/24,AX$9&lt;14/24)</formula>
    </cfRule>
    <cfRule type="expression" dxfId="4810" priority="345">
      <formula>AX$9&lt;8/24</formula>
    </cfRule>
  </conditionalFormatting>
  <conditionalFormatting sqref="A111:A112">
    <cfRule type="expression" dxfId="4809" priority="297">
      <formula>$AH111=0</formula>
    </cfRule>
  </conditionalFormatting>
  <conditionalFormatting sqref="M50:X56 M67:AF67 Y52:AF53">
    <cfRule type="expression" dxfId="4808" priority="293">
      <formula>M$9&gt;=20/24</formula>
    </cfRule>
    <cfRule type="expression" dxfId="4807" priority="294">
      <formula>AND(M$9&gt;=14/24,M$9&lt;20/24)</formula>
    </cfRule>
    <cfRule type="expression" dxfId="4806" priority="295">
      <formula>AND(M$9&gt;=8/24,M$9&lt;14/24)</formula>
    </cfRule>
    <cfRule type="expression" dxfId="4805" priority="296">
      <formula>M$9&lt;8/24</formula>
    </cfRule>
  </conditionalFormatting>
  <conditionalFormatting sqref="M49:X49">
    <cfRule type="expression" dxfId="4804" priority="289">
      <formula>M$9&gt;=20/24</formula>
    </cfRule>
    <cfRule type="expression" dxfId="4803" priority="290">
      <formula>AND(M$9&gt;=14/24,M$9&lt;20/24)</formula>
    </cfRule>
    <cfRule type="expression" dxfId="4802" priority="291">
      <formula>AND(M$9&gt;=8/24,M$9&lt;14/24)</formula>
    </cfRule>
    <cfRule type="expression" dxfId="4801" priority="292">
      <formula>M$9&lt;8/24</formula>
    </cfRule>
  </conditionalFormatting>
  <conditionalFormatting sqref="M49:X56 Y52:AF53">
    <cfRule type="expression" dxfId="4800" priority="288">
      <formula>M49&gt;$AG49</formula>
    </cfRule>
  </conditionalFormatting>
  <conditionalFormatting sqref="D82:AF82 X43:AF43 X92:AF92 AD96:AF102 M96:X102 M68:AA69 Y70:AA70 X63:AF65 AB68:AF70">
    <cfRule type="expression" dxfId="4799" priority="284">
      <formula>D$9&gt;=20/24</formula>
    </cfRule>
    <cfRule type="expression" dxfId="4798" priority="285">
      <formula>AND(D$9&gt;=14/24,D$9&lt;20/24)</formula>
    </cfRule>
    <cfRule type="expression" dxfId="4797" priority="286">
      <formula>AND(D$9&gt;=8/24,D$9&lt;14/24)</formula>
    </cfRule>
    <cfRule type="expression" dxfId="4796" priority="287">
      <formula>D$9&lt;8/24</formula>
    </cfRule>
  </conditionalFormatting>
  <conditionalFormatting sqref="X43:AF43 X63:AF65">
    <cfRule type="expression" dxfId="4795" priority="283">
      <formula>X43&gt;$AG43</formula>
    </cfRule>
  </conditionalFormatting>
  <conditionalFormatting sqref="Y49:AF51">
    <cfRule type="expression" dxfId="4794" priority="279">
      <formula>Y$9&gt;=20/24</formula>
    </cfRule>
    <cfRule type="expression" dxfId="4793" priority="280">
      <formula>AND(Y$9&gt;=14/24,Y$9&lt;20/24)</formula>
    </cfRule>
    <cfRule type="expression" dxfId="4792" priority="281">
      <formula>AND(Y$9&gt;=8/24,Y$9&lt;14/24)</formula>
    </cfRule>
    <cfRule type="expression" dxfId="4791" priority="282">
      <formula>Y$9&lt;8/24</formula>
    </cfRule>
  </conditionalFormatting>
  <conditionalFormatting sqref="Y49:AF51">
    <cfRule type="expression" dxfId="4790" priority="278">
      <formula>Y49&gt;$AG49</formula>
    </cfRule>
  </conditionalFormatting>
  <conditionalFormatting sqref="D93:AF93 D84:AF84">
    <cfRule type="expression" dxfId="4789" priority="274">
      <formula>D$9&gt;=20/24</formula>
    </cfRule>
    <cfRule type="expression" dxfId="4788" priority="275">
      <formula>AND(D$9&gt;=14/24,D$9&lt;20/24)</formula>
    </cfRule>
    <cfRule type="expression" dxfId="4787" priority="276">
      <formula>AND(D$9&gt;=8/24,D$9&lt;14/24)</formula>
    </cfRule>
    <cfRule type="expression" dxfId="4786" priority="277">
      <formula>D$9&lt;8/24</formula>
    </cfRule>
  </conditionalFormatting>
  <conditionalFormatting sqref="T43:W43">
    <cfRule type="expression" dxfId="4785" priority="270">
      <formula>T$9&gt;=20/24</formula>
    </cfRule>
    <cfRule type="expression" dxfId="4784" priority="271">
      <formula>AND(T$9&gt;=14/24,T$9&lt;20/24)</formula>
    </cfRule>
    <cfRule type="expression" dxfId="4783" priority="272">
      <formula>AND(T$9&gt;=8/24,T$9&lt;14/24)</formula>
    </cfRule>
    <cfRule type="expression" dxfId="4782" priority="273">
      <formula>T$9&lt;8/24</formula>
    </cfRule>
  </conditionalFormatting>
  <conditionalFormatting sqref="T43:W43">
    <cfRule type="expression" dxfId="4781" priority="269">
      <formula>T43&gt;$AG43</formula>
    </cfRule>
  </conditionalFormatting>
  <conditionalFormatting sqref="Y42:AF42">
    <cfRule type="expression" dxfId="4780" priority="265">
      <formula>Y$9&gt;=20/24</formula>
    </cfRule>
    <cfRule type="expression" dxfId="4779" priority="266">
      <formula>AND(Y$9&gt;=14/24,Y$9&lt;20/24)</formula>
    </cfRule>
    <cfRule type="expression" dxfId="4778" priority="267">
      <formula>AND(Y$9&gt;=8/24,Y$9&lt;14/24)</formula>
    </cfRule>
    <cfRule type="expression" dxfId="4777" priority="268">
      <formula>Y$9&lt;8/24</formula>
    </cfRule>
  </conditionalFormatting>
  <conditionalFormatting sqref="Y42:AF42">
    <cfRule type="expression" dxfId="4776" priority="260">
      <formula>Y42&gt;$AG42</formula>
    </cfRule>
  </conditionalFormatting>
  <conditionalFormatting sqref="AG66 AG83 E96:L102 R63:W65">
    <cfRule type="expression" dxfId="4775" priority="256">
      <formula>E$9&gt;=20/24</formula>
    </cfRule>
    <cfRule type="expression" dxfId="4774" priority="257">
      <formula>AND(E$9&gt;=14/24,E$9&lt;20/24)</formula>
    </cfRule>
    <cfRule type="expression" dxfId="4773" priority="258">
      <formula>AND(E$9&gt;=8/24,E$9&lt;14/24)</formula>
    </cfRule>
    <cfRule type="expression" dxfId="4772" priority="259">
      <formula>E$9&lt;8/24</formula>
    </cfRule>
  </conditionalFormatting>
  <conditionalFormatting sqref="AG44 AG62 AG66 R63:W65">
    <cfRule type="expression" dxfId="4771" priority="255">
      <formula>R44&gt;$AG44</formula>
    </cfRule>
  </conditionalFormatting>
  <conditionalFormatting sqref="Y54:AF54">
    <cfRule type="expression" dxfId="4770" priority="251">
      <formula>Y$9&gt;=20/24</formula>
    </cfRule>
    <cfRule type="expression" dxfId="4769" priority="252">
      <formula>AND(Y$9&gt;=14/24,Y$9&lt;20/24)</formula>
    </cfRule>
    <cfRule type="expression" dxfId="4768" priority="253">
      <formula>AND(Y$9&gt;=8/24,Y$9&lt;14/24)</formula>
    </cfRule>
    <cfRule type="expression" dxfId="4767" priority="254">
      <formula>Y$9&lt;8/24</formula>
    </cfRule>
  </conditionalFormatting>
  <conditionalFormatting sqref="Y54:AF54">
    <cfRule type="expression" dxfId="4766" priority="250">
      <formula>Y54&gt;$AG54</formula>
    </cfRule>
  </conditionalFormatting>
  <conditionalFormatting sqref="A40">
    <cfRule type="expression" dxfId="4765" priority="249">
      <formula>$AH40=0</formula>
    </cfRule>
  </conditionalFormatting>
  <conditionalFormatting sqref="X87:AF91">
    <cfRule type="expression" dxfId="4764" priority="245">
      <formula>X$9&gt;=20/24</formula>
    </cfRule>
    <cfRule type="expression" dxfId="4763" priority="246">
      <formula>AND(X$9&gt;=14/24,X$9&lt;20/24)</formula>
    </cfRule>
    <cfRule type="expression" dxfId="4762" priority="247">
      <formula>AND(X$9&gt;=8/24,X$9&lt;14/24)</formula>
    </cfRule>
    <cfRule type="expression" dxfId="4761" priority="248">
      <formula>X$9&lt;8/24</formula>
    </cfRule>
  </conditionalFormatting>
  <conditionalFormatting sqref="AL41 AL38 AL20:AL33 AL35:AL36 AL7:AL18">
    <cfRule type="iconSet" priority="346">
      <iconSet iconSet="3TrafficLights2" reverse="1">
        <cfvo type="percent" val="0"/>
        <cfvo type="num" val="1"/>
        <cfvo type="num" val="1"/>
      </iconSet>
    </cfRule>
  </conditionalFormatting>
  <conditionalFormatting sqref="F45:AF47">
    <cfRule type="expression" dxfId="4760" priority="241">
      <formula>F$9&gt;=20/24</formula>
    </cfRule>
    <cfRule type="expression" dxfId="4759" priority="242">
      <formula>AND(F$9&gt;=14/24,F$9&lt;20/24)</formula>
    </cfRule>
    <cfRule type="expression" dxfId="4758" priority="243">
      <formula>AND(F$9&gt;=8/24,F$9&lt;14/24)</formula>
    </cfRule>
    <cfRule type="expression" dxfId="4757" priority="244">
      <formula>F$9&lt;8/24</formula>
    </cfRule>
  </conditionalFormatting>
  <conditionalFormatting sqref="F45:AF47">
    <cfRule type="expression" dxfId="4756" priority="240">
      <formula>F45&gt;$AG45</formula>
    </cfRule>
  </conditionalFormatting>
  <conditionalFormatting sqref="AG48">
    <cfRule type="expression" dxfId="4755" priority="236">
      <formula>AG$9&gt;=20/24</formula>
    </cfRule>
    <cfRule type="expression" dxfId="4754" priority="237">
      <formula>AND(AG$9&gt;=14/24,AG$9&lt;20/24)</formula>
    </cfRule>
    <cfRule type="expression" dxfId="4753" priority="238">
      <formula>AND(AG$9&gt;=8/24,AG$9&lt;14/24)</formula>
    </cfRule>
    <cfRule type="expression" dxfId="4752" priority="239">
      <formula>AG$9&lt;8/24</formula>
    </cfRule>
  </conditionalFormatting>
  <conditionalFormatting sqref="AG48">
    <cfRule type="expression" dxfId="4751" priority="235">
      <formula>AG48&gt;$AG48</formula>
    </cfRule>
  </conditionalFormatting>
  <conditionalFormatting sqref="D103:AF103">
    <cfRule type="expression" dxfId="4750" priority="231">
      <formula>D$9&gt;=20/24</formula>
    </cfRule>
    <cfRule type="expression" dxfId="4749" priority="232">
      <formula>AND(D$9&gt;=14/24,D$9&lt;20/24)</formula>
    </cfRule>
    <cfRule type="expression" dxfId="4748" priority="233">
      <formula>AND(D$9&gt;=8/24,D$9&lt;14/24)</formula>
    </cfRule>
    <cfRule type="expression" dxfId="4747" priority="234">
      <formula>D$9&lt;8/24</formula>
    </cfRule>
  </conditionalFormatting>
  <conditionalFormatting sqref="AL37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4746" priority="229">
      <formula>$AH37=0</formula>
    </cfRule>
  </conditionalFormatting>
  <conditionalFormatting sqref="A86">
    <cfRule type="expression" dxfId="4745" priority="227">
      <formula>$AH86=0</formula>
    </cfRule>
  </conditionalFormatting>
  <conditionalFormatting sqref="A83">
    <cfRule type="expression" dxfId="4744" priority="228">
      <formula>$AH83=0</formula>
    </cfRule>
  </conditionalFormatting>
  <conditionalFormatting sqref="A113">
    <cfRule type="expression" dxfId="4743" priority="218">
      <formula>$AH113=0</formula>
    </cfRule>
  </conditionalFormatting>
  <conditionalFormatting sqref="D106:AF106">
    <cfRule type="expression" dxfId="4742" priority="214">
      <formula>D$9&gt;=20/24</formula>
    </cfRule>
    <cfRule type="expression" dxfId="4741" priority="215">
      <formula>AND(D$9&gt;=14/24,D$9&lt;20/24)</formula>
    </cfRule>
    <cfRule type="expression" dxfId="4740" priority="216">
      <formula>AND(D$9&gt;=8/24,D$9&lt;14/24)</formula>
    </cfRule>
    <cfRule type="expression" dxfId="4739" priority="217">
      <formula>D$9&lt;8/24</formula>
    </cfRule>
  </conditionalFormatting>
  <conditionalFormatting sqref="A106">
    <cfRule type="expression" dxfId="4738" priority="213">
      <formula>$AH106=0</formula>
    </cfRule>
  </conditionalFormatting>
  <conditionalFormatting sqref="A19">
    <cfRule type="expression" dxfId="4737" priority="211">
      <formula>$AH19=0</formula>
    </cfRule>
  </conditionalFormatting>
  <conditionalFormatting sqref="AL19">
    <cfRule type="iconSet" priority="212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4736" priority="209">
      <formula>$AH34=0</formula>
    </cfRule>
  </conditionalFormatting>
  <conditionalFormatting sqref="AL34">
    <cfRule type="iconSet" priority="210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4735" priority="205">
      <formula>Y$9&gt;=20/24</formula>
    </cfRule>
    <cfRule type="expression" dxfId="4734" priority="206">
      <formula>AND(Y$9&gt;=14/24,Y$9&lt;20/24)</formula>
    </cfRule>
    <cfRule type="expression" dxfId="4733" priority="207">
      <formula>AND(Y$9&gt;=8/24,Y$9&lt;14/24)</formula>
    </cfRule>
    <cfRule type="expression" dxfId="4732" priority="208">
      <formula>Y$9&lt;8/24</formula>
    </cfRule>
  </conditionalFormatting>
  <conditionalFormatting sqref="Y96:AC102">
    <cfRule type="expression" dxfId="4731" priority="201">
      <formula>Y$9&gt;=20/24</formula>
    </cfRule>
    <cfRule type="expression" dxfId="4730" priority="202">
      <formula>AND(Y$9&gt;=14/24,Y$9&lt;20/24)</formula>
    </cfRule>
    <cfRule type="expression" dxfId="4729" priority="203">
      <formula>AND(Y$9&gt;=8/24,Y$9&lt;14/24)</formula>
    </cfRule>
    <cfRule type="expression" dxfId="4728" priority="204">
      <formula>Y$9&lt;8/24</formula>
    </cfRule>
  </conditionalFormatting>
  <conditionalFormatting sqref="O15:X18">
    <cfRule type="expression" dxfId="4727" priority="197">
      <formula>O$9&gt;=20/24</formula>
    </cfRule>
    <cfRule type="expression" dxfId="4726" priority="198">
      <formula>AND(O$9&gt;=14/24,O$9&lt;20/24)</formula>
    </cfRule>
    <cfRule type="expression" dxfId="4725" priority="199">
      <formula>AND(O$9&gt;=8/24,O$9&lt;14/24)</formula>
    </cfRule>
    <cfRule type="expression" dxfId="4724" priority="200">
      <formula>O$9&lt;8/24</formula>
    </cfRule>
  </conditionalFormatting>
  <conditionalFormatting sqref="E43:S43">
    <cfRule type="expression" dxfId="4723" priority="193">
      <formula>E$9&gt;=20/24</formula>
    </cfRule>
    <cfRule type="expression" dxfId="4722" priority="194">
      <formula>AND(E$9&gt;=14/24,E$9&lt;20/24)</formula>
    </cfRule>
    <cfRule type="expression" dxfId="4721" priority="195">
      <formula>AND(E$9&gt;=8/24,E$9&lt;14/24)</formula>
    </cfRule>
    <cfRule type="expression" dxfId="4720" priority="196">
      <formula>E$9&lt;8/24</formula>
    </cfRule>
  </conditionalFormatting>
  <conditionalFormatting sqref="E43:S43 O15:X18">
    <cfRule type="expression" dxfId="4719" priority="192">
      <formula>E15&gt;$AG15</formula>
    </cfRule>
  </conditionalFormatting>
  <conditionalFormatting sqref="D95">
    <cfRule type="expression" dxfId="4718" priority="188">
      <formula>D$9&gt;=20/24</formula>
    </cfRule>
    <cfRule type="expression" dxfId="4717" priority="189">
      <formula>AND(D$9&gt;=14/24,D$9&lt;20/24)</formula>
    </cfRule>
    <cfRule type="expression" dxfId="4716" priority="190">
      <formula>AND(D$9&gt;=8/24,D$9&lt;14/24)</formula>
    </cfRule>
    <cfRule type="expression" dxfId="4715" priority="191">
      <formula>D$9&lt;8/24</formula>
    </cfRule>
  </conditionalFormatting>
  <conditionalFormatting sqref="D96:D102 D92:W92 D79:AF81 I63:Q65 M70:X72 Y71:AF72">
    <cfRule type="expression" dxfId="4714" priority="175">
      <formula>D$9&gt;=20/24</formula>
    </cfRule>
    <cfRule type="expression" dxfId="4713" priority="176">
      <formula>AND(D$9&gt;=14/24,D$9&lt;20/24)</formula>
    </cfRule>
    <cfRule type="expression" dxfId="4712" priority="177">
      <formula>AND(D$9&gt;=8/24,D$9&lt;14/24)</formula>
    </cfRule>
    <cfRule type="expression" dxfId="4711" priority="178">
      <formula>D$9&lt;8/24</formula>
    </cfRule>
  </conditionalFormatting>
  <conditionalFormatting sqref="I63:Q65">
    <cfRule type="expression" dxfId="4710" priority="174">
      <formula>I63&gt;$AG63</formula>
    </cfRule>
  </conditionalFormatting>
  <conditionalFormatting sqref="E66:AF66 D83:AF83 D85:AF85 D94:AF94">
    <cfRule type="expression" dxfId="4709" priority="156">
      <formula>D$9&gt;=20/24</formula>
    </cfRule>
    <cfRule type="expression" dxfId="4708" priority="157">
      <formula>AND(D$9&gt;=14/24,D$9&lt;20/24)</formula>
    </cfRule>
    <cfRule type="expression" dxfId="4707" priority="158">
      <formula>AND(D$9&gt;=8/24,D$9&lt;14/24)</formula>
    </cfRule>
    <cfRule type="expression" dxfId="4706" priority="159">
      <formula>D$9&lt;8/24</formula>
    </cfRule>
  </conditionalFormatting>
  <conditionalFormatting sqref="E61:AF62 E66:AF66 E44:AF44">
    <cfRule type="expression" dxfId="4705" priority="155">
      <formula>E44&gt;$AG44</formula>
    </cfRule>
  </conditionalFormatting>
  <conditionalFormatting sqref="D78:AF78">
    <cfRule type="expression" dxfId="4704" priority="151">
      <formula>D$9&gt;=20/24</formula>
    </cfRule>
    <cfRule type="expression" dxfId="4703" priority="152">
      <formula>AND(D$9&gt;=14/24,D$9&lt;20/24)</formula>
    </cfRule>
    <cfRule type="expression" dxfId="4702" priority="153">
      <formula>AND(D$9&gt;=8/24,D$9&lt;14/24)</formula>
    </cfRule>
    <cfRule type="expression" dxfId="4701" priority="154">
      <formula>D$9&lt;8/24</formula>
    </cfRule>
  </conditionalFormatting>
  <conditionalFormatting sqref="D87:W91">
    <cfRule type="expression" dxfId="4700" priority="147">
      <formula>D$9&gt;=20/24</formula>
    </cfRule>
    <cfRule type="expression" dxfId="4699" priority="148">
      <formula>AND(D$9&gt;=14/24,D$9&lt;20/24)</formula>
    </cfRule>
    <cfRule type="expression" dxfId="4698" priority="149">
      <formula>AND(D$9&gt;=8/24,D$9&lt;14/24)</formula>
    </cfRule>
    <cfRule type="expression" dxfId="4697" priority="150">
      <formula>D$9&lt;8/24</formula>
    </cfRule>
  </conditionalFormatting>
  <conditionalFormatting sqref="E48:AF48">
    <cfRule type="expression" dxfId="4696" priority="138">
      <formula>E$9&gt;=20/24</formula>
    </cfRule>
    <cfRule type="expression" dxfId="4695" priority="139">
      <formula>AND(E$9&gt;=14/24,E$9&lt;20/24)</formula>
    </cfRule>
    <cfRule type="expression" dxfId="4694" priority="140">
      <formula>AND(E$9&gt;=8/24,E$9&lt;14/24)</formula>
    </cfRule>
    <cfRule type="expression" dxfId="4693" priority="141">
      <formula>E$9&lt;8/24</formula>
    </cfRule>
  </conditionalFormatting>
  <conditionalFormatting sqref="E48:AF48">
    <cfRule type="expression" dxfId="4692" priority="137">
      <formula>E48&gt;$AG48</formula>
    </cfRule>
  </conditionalFormatting>
  <conditionalFormatting sqref="M57:X60 Y55:AF60">
    <cfRule type="expression" dxfId="4691" priority="117">
      <formula>M$9&gt;=20/24</formula>
    </cfRule>
    <cfRule type="expression" dxfId="4690" priority="118">
      <formula>AND(M$9&gt;=14/24,M$9&lt;20/24)</formula>
    </cfRule>
    <cfRule type="expression" dxfId="4689" priority="119">
      <formula>AND(M$9&gt;=8/24,M$9&lt;14/24)</formula>
    </cfRule>
    <cfRule type="expression" dxfId="4688" priority="120">
      <formula>M$9&lt;8/24</formula>
    </cfRule>
  </conditionalFormatting>
  <conditionalFormatting sqref="M57:X60 Y55:AF60">
    <cfRule type="expression" dxfId="4687" priority="116">
      <formula>M55&gt;$AG55</formula>
    </cfRule>
  </conditionalFormatting>
  <conditionalFormatting sqref="O13:X14">
    <cfRule type="expression" dxfId="4686" priority="115">
      <formula>O13&gt;$AG13</formula>
    </cfRule>
  </conditionalFormatting>
  <conditionalFormatting sqref="O11:X11">
    <cfRule type="expression" dxfId="4685" priority="111">
      <formula>O$9&gt;=20/24</formula>
    </cfRule>
    <cfRule type="expression" dxfId="4684" priority="112">
      <formula>AND(O$9&gt;=14/24,O$9&lt;20/24)</formula>
    </cfRule>
    <cfRule type="expression" dxfId="4683" priority="113">
      <formula>AND(O$9&gt;=8/24,O$9&lt;14/24)</formula>
    </cfRule>
    <cfRule type="expression" dxfId="4682" priority="114">
      <formula>O$9&lt;8/24</formula>
    </cfRule>
  </conditionalFormatting>
  <conditionalFormatting sqref="O11:X11">
    <cfRule type="expression" dxfId="4681" priority="110">
      <formula>O11&gt;$AG11</formula>
    </cfRule>
  </conditionalFormatting>
  <conditionalFormatting sqref="O13:X14">
    <cfRule type="expression" dxfId="4680" priority="106">
      <formula>O$9&gt;=20/24</formula>
    </cfRule>
    <cfRule type="expression" dxfId="4679" priority="107">
      <formula>AND(O$9&gt;=14/24,O$9&lt;20/24)</formula>
    </cfRule>
    <cfRule type="expression" dxfId="4678" priority="108">
      <formula>AND(O$9&gt;=8/24,O$9&lt;14/24)</formula>
    </cfRule>
    <cfRule type="expression" dxfId="4677" priority="109">
      <formula>O$9&lt;8/24</formula>
    </cfRule>
  </conditionalFormatting>
  <conditionalFormatting sqref="M73:AF77">
    <cfRule type="expression" dxfId="4676" priority="98">
      <formula>M$9&gt;=20/24</formula>
    </cfRule>
    <cfRule type="expression" dxfId="4675" priority="99">
      <formula>AND(M$9&gt;=14/24,M$9&lt;20/24)</formula>
    </cfRule>
    <cfRule type="expression" dxfId="4674" priority="100">
      <formula>AND(M$9&gt;=8/24,M$9&lt;14/24)</formula>
    </cfRule>
    <cfRule type="expression" dxfId="4673" priority="101">
      <formula>M$9&lt;8/24</formula>
    </cfRule>
  </conditionalFormatting>
  <conditionalFormatting sqref="AL74:AN74 AL80:AN80 AN75:AN76">
    <cfRule type="expression" dxfId="4672" priority="94">
      <formula>AL$9&gt;=20/24</formula>
    </cfRule>
    <cfRule type="expression" dxfId="4671" priority="95">
      <formula>AND(AL$9&gt;=14/24,AL$9&lt;20/24)</formula>
    </cfRule>
    <cfRule type="expression" dxfId="4670" priority="96">
      <formula>AND(AL$9&gt;=8/24,AL$9&lt;14/24)</formula>
    </cfRule>
    <cfRule type="expression" dxfId="4669" priority="97">
      <formula>AL$9&lt;8/24</formula>
    </cfRule>
  </conditionalFormatting>
  <conditionalFormatting sqref="AN77:AN78">
    <cfRule type="expression" dxfId="4668" priority="90">
      <formula>AN$9&gt;=20/24</formula>
    </cfRule>
    <cfRule type="expression" dxfId="4667" priority="91">
      <formula>AND(AN$9&gt;=14/24,AN$9&lt;20/24)</formula>
    </cfRule>
    <cfRule type="expression" dxfId="4666" priority="92">
      <formula>AND(AN$9&gt;=8/24,AN$9&lt;14/24)</formula>
    </cfRule>
    <cfRule type="expression" dxfId="4665" priority="93">
      <formula>AN$9&lt;8/24</formula>
    </cfRule>
  </conditionalFormatting>
  <conditionalFormatting sqref="AL75:AM79">
    <cfRule type="expression" dxfId="4664" priority="347">
      <formula>AJ$9&gt;=20/24</formula>
    </cfRule>
    <cfRule type="expression" dxfId="4663" priority="348">
      <formula>AND(AJ$9&gt;=14/24,AJ$9&lt;20/24)</formula>
    </cfRule>
    <cfRule type="expression" dxfId="4662" priority="349">
      <formula>AND(AJ$9&gt;=8/24,AJ$9&lt;14/24)</formula>
    </cfRule>
    <cfRule type="expression" dxfId="4661" priority="350">
      <formula>AJ$9&lt;8/24</formula>
    </cfRule>
  </conditionalFormatting>
  <conditionalFormatting sqref="B105:C105 B107:C112 B11:N11 B13:N41 B12:X12 O19:X41">
    <cfRule type="expression" dxfId="4660" priority="86">
      <formula>B$9&gt;=20/24</formula>
    </cfRule>
    <cfRule type="expression" dxfId="4659" priority="87">
      <formula>AND(B$9&gt;=14/24,B$9&lt;20/24)</formula>
    </cfRule>
    <cfRule type="expression" dxfId="4658" priority="88">
      <formula>AND(B$9&gt;=8/24,B$9&lt;14/24)</formula>
    </cfRule>
    <cfRule type="expression" dxfId="4657" priority="89">
      <formula>B$9&lt;8/24</formula>
    </cfRule>
  </conditionalFormatting>
  <conditionalFormatting sqref="B11:N11 B13:N41 B12:X12 O19:X41">
    <cfRule type="expression" dxfId="4656" priority="85">
      <formula>B11&gt;$AG11</formula>
    </cfRule>
  </conditionalFormatting>
  <conditionalFormatting sqref="B95:C95">
    <cfRule type="expression" dxfId="4655" priority="81">
      <formula>B$9&gt;=20/24</formula>
    </cfRule>
    <cfRule type="expression" dxfId="4654" priority="82">
      <formula>AND(B$9&gt;=14/24,B$9&lt;20/24)</formula>
    </cfRule>
    <cfRule type="expression" dxfId="4653" priority="83">
      <formula>AND(B$9&gt;=8/24,B$9&lt;14/24)</formula>
    </cfRule>
    <cfRule type="expression" dxfId="4652" priority="84">
      <formula>B$9&lt;8/24</formula>
    </cfRule>
  </conditionalFormatting>
  <conditionalFormatting sqref="B50:L53 B67:L67">
    <cfRule type="expression" dxfId="4651" priority="77">
      <formula>B$9&gt;=20/24</formula>
    </cfRule>
    <cfRule type="expression" dxfId="4650" priority="78">
      <formula>AND(B$9&gt;=14/24,B$9&lt;20/24)</formula>
    </cfRule>
    <cfRule type="expression" dxfId="4649" priority="79">
      <formula>AND(B$9&gt;=8/24,B$9&lt;14/24)</formula>
    </cfRule>
    <cfRule type="expression" dxfId="4648" priority="80">
      <formula>B$9&lt;8/24</formula>
    </cfRule>
  </conditionalFormatting>
  <conditionalFormatting sqref="B49:L49">
    <cfRule type="expression" dxfId="4647" priority="73">
      <formula>B$9&gt;=20/24</formula>
    </cfRule>
    <cfRule type="expression" dxfId="4646" priority="74">
      <formula>AND(B$9&gt;=14/24,B$9&lt;20/24)</formula>
    </cfRule>
    <cfRule type="expression" dxfId="4645" priority="75">
      <formula>AND(B$9&gt;=8/24,B$9&lt;14/24)</formula>
    </cfRule>
    <cfRule type="expression" dxfId="4644" priority="76">
      <formula>B$9&lt;8/24</formula>
    </cfRule>
  </conditionalFormatting>
  <conditionalFormatting sqref="B49:L53">
    <cfRule type="expression" dxfId="4643" priority="72">
      <formula>B49&gt;$AG49</formula>
    </cfRule>
  </conditionalFormatting>
  <conditionalFormatting sqref="B82:C82 B92:C92 B96:C102 B43:D43 B63:H65 B68:L70">
    <cfRule type="expression" dxfId="4642" priority="68">
      <formula>B$9&gt;=20/24</formula>
    </cfRule>
    <cfRule type="expression" dxfId="4641" priority="69">
      <formula>AND(B$9&gt;=14/24,B$9&lt;20/24)</formula>
    </cfRule>
    <cfRule type="expression" dxfId="4640" priority="70">
      <formula>AND(B$9&gt;=8/24,B$9&lt;14/24)</formula>
    </cfRule>
    <cfRule type="expression" dxfId="4639" priority="71">
      <formula>B$9&lt;8/24</formula>
    </cfRule>
  </conditionalFormatting>
  <conditionalFormatting sqref="B43:D43 B63:H65">
    <cfRule type="expression" dxfId="4638" priority="67">
      <formula>B43&gt;$AG43</formula>
    </cfRule>
  </conditionalFormatting>
  <conditionalFormatting sqref="B93:C93 B84:C84">
    <cfRule type="expression" dxfId="4637" priority="63">
      <formula>B$9&gt;=20/24</formula>
    </cfRule>
    <cfRule type="expression" dxfId="4636" priority="64">
      <formula>AND(B$9&gt;=14/24,B$9&lt;20/24)</formula>
    </cfRule>
    <cfRule type="expression" dxfId="4635" priority="65">
      <formula>AND(B$9&gt;=8/24,B$9&lt;14/24)</formula>
    </cfRule>
    <cfRule type="expression" dxfId="4634" priority="66">
      <formula>B$9&lt;8/24</formula>
    </cfRule>
  </conditionalFormatting>
  <conditionalFormatting sqref="B42:X42">
    <cfRule type="expression" dxfId="4633" priority="59">
      <formula>B$9&gt;=20/24</formula>
    </cfRule>
    <cfRule type="expression" dxfId="4632" priority="60">
      <formula>AND(B$9&gt;=14/24,B$9&lt;20/24)</formula>
    </cfRule>
    <cfRule type="expression" dxfId="4631" priority="61">
      <formula>AND(B$9&gt;=8/24,B$9&lt;14/24)</formula>
    </cfRule>
    <cfRule type="expression" dxfId="4630" priority="62">
      <formula>B$9&lt;8/24</formula>
    </cfRule>
  </conditionalFormatting>
  <conditionalFormatting sqref="B42:X42">
    <cfRule type="expression" dxfId="4629" priority="58">
      <formula>B42&gt;$AG42</formula>
    </cfRule>
  </conditionalFormatting>
  <conditionalFormatting sqref="B54:L54">
    <cfRule type="expression" dxfId="4628" priority="54">
      <formula>B$9&gt;=20/24</formula>
    </cfRule>
    <cfRule type="expression" dxfId="4627" priority="55">
      <formula>AND(B$9&gt;=14/24,B$9&lt;20/24)</formula>
    </cfRule>
    <cfRule type="expression" dxfId="4626" priority="56">
      <formula>AND(B$9&gt;=8/24,B$9&lt;14/24)</formula>
    </cfRule>
    <cfRule type="expression" dxfId="4625" priority="57">
      <formula>B$9&lt;8/24</formula>
    </cfRule>
  </conditionalFormatting>
  <conditionalFormatting sqref="B54:L54">
    <cfRule type="expression" dxfId="4624" priority="53">
      <formula>B54&gt;$AG54</formula>
    </cfRule>
  </conditionalFormatting>
  <conditionalFormatting sqref="B87:C91">
    <cfRule type="expression" dxfId="4623" priority="49">
      <formula>B$9&gt;=20/24</formula>
    </cfRule>
    <cfRule type="expression" dxfId="4622" priority="50">
      <formula>AND(B$9&gt;=14/24,B$9&lt;20/24)</formula>
    </cfRule>
    <cfRule type="expression" dxfId="4621" priority="51">
      <formula>AND(B$9&gt;=8/24,B$9&lt;14/24)</formula>
    </cfRule>
    <cfRule type="expression" dxfId="4620" priority="52">
      <formula>B$9&lt;8/24</formula>
    </cfRule>
  </conditionalFormatting>
  <conditionalFormatting sqref="B45:E47">
    <cfRule type="expression" dxfId="4619" priority="45">
      <formula>B$9&gt;=20/24</formula>
    </cfRule>
    <cfRule type="expression" dxfId="4618" priority="46">
      <formula>AND(B$9&gt;=14/24,B$9&lt;20/24)</formula>
    </cfRule>
    <cfRule type="expression" dxfId="4617" priority="47">
      <formula>AND(B$9&gt;=8/24,B$9&lt;14/24)</formula>
    </cfRule>
    <cfRule type="expression" dxfId="4616" priority="48">
      <formula>B$9&lt;8/24</formula>
    </cfRule>
  </conditionalFormatting>
  <conditionalFormatting sqref="B45:E47">
    <cfRule type="expression" dxfId="4615" priority="44">
      <formula>B45&gt;$AG45</formula>
    </cfRule>
  </conditionalFormatting>
  <conditionalFormatting sqref="B103:C103">
    <cfRule type="expression" dxfId="4614" priority="40">
      <formula>B$9&gt;=20/24</formula>
    </cfRule>
    <cfRule type="expression" dxfId="4613" priority="41">
      <formula>AND(B$9&gt;=14/24,B$9&lt;20/24)</formula>
    </cfRule>
    <cfRule type="expression" dxfId="4612" priority="42">
      <formula>AND(B$9&gt;=8/24,B$9&lt;14/24)</formula>
    </cfRule>
    <cfRule type="expression" dxfId="4611" priority="43">
      <formula>B$9&lt;8/24</formula>
    </cfRule>
  </conditionalFormatting>
  <conditionalFormatting sqref="B106:C106">
    <cfRule type="expression" dxfId="4610" priority="32">
      <formula>B$9&gt;=20/24</formula>
    </cfRule>
    <cfRule type="expression" dxfId="4609" priority="33">
      <formula>AND(B$9&gt;=14/24,B$9&lt;20/24)</formula>
    </cfRule>
    <cfRule type="expression" dxfId="4608" priority="34">
      <formula>AND(B$9&gt;=8/24,B$9&lt;14/24)</formula>
    </cfRule>
    <cfRule type="expression" dxfId="4607" priority="35">
      <formula>B$9&lt;8/24</formula>
    </cfRule>
  </conditionalFormatting>
  <conditionalFormatting sqref="B79:C81 B71:L72">
    <cfRule type="expression" dxfId="4606" priority="28">
      <formula>B$9&gt;=20/24</formula>
    </cfRule>
    <cfRule type="expression" dxfId="4605" priority="29">
      <formula>AND(B$9&gt;=14/24,B$9&lt;20/24)</formula>
    </cfRule>
    <cfRule type="expression" dxfId="4604" priority="30">
      <formula>AND(B$9&gt;=8/24,B$9&lt;14/24)</formula>
    </cfRule>
    <cfRule type="expression" dxfId="4603" priority="31">
      <formula>B$9&lt;8/24</formula>
    </cfRule>
  </conditionalFormatting>
  <conditionalFormatting sqref="B83:C83 B85:C85 B94:C94 B66:D66">
    <cfRule type="expression" dxfId="4602" priority="24">
      <formula>B$9&gt;=20/24</formula>
    </cfRule>
    <cfRule type="expression" dxfId="4601" priority="25">
      <formula>AND(B$9&gt;=14/24,B$9&lt;20/24)</formula>
    </cfRule>
    <cfRule type="expression" dxfId="4600" priority="26">
      <formula>AND(B$9&gt;=8/24,B$9&lt;14/24)</formula>
    </cfRule>
    <cfRule type="expression" dxfId="4599" priority="27">
      <formula>B$9&lt;8/24</formula>
    </cfRule>
  </conditionalFormatting>
  <conditionalFormatting sqref="B44:D44 B61:D62 B66:D66">
    <cfRule type="expression" dxfId="4598" priority="23">
      <formula>B44&gt;$AG44</formula>
    </cfRule>
  </conditionalFormatting>
  <conditionalFormatting sqref="B78:C78">
    <cfRule type="expression" dxfId="4597" priority="19">
      <formula>B$9&gt;=20/24</formula>
    </cfRule>
    <cfRule type="expression" dxfId="4596" priority="20">
      <formula>AND(B$9&gt;=14/24,B$9&lt;20/24)</formula>
    </cfRule>
    <cfRule type="expression" dxfId="4595" priority="21">
      <formula>AND(B$9&gt;=8/24,B$9&lt;14/24)</formula>
    </cfRule>
    <cfRule type="expression" dxfId="4594" priority="22">
      <formula>B$9&lt;8/24</formula>
    </cfRule>
  </conditionalFormatting>
  <conditionalFormatting sqref="B48:D48">
    <cfRule type="expression" dxfId="4593" priority="15">
      <formula>B$9&gt;=20/24</formula>
    </cfRule>
    <cfRule type="expression" dxfId="4592" priority="16">
      <formula>AND(B$9&gt;=14/24,B$9&lt;20/24)</formula>
    </cfRule>
    <cfRule type="expression" dxfId="4591" priority="17">
      <formula>AND(B$9&gt;=8/24,B$9&lt;14/24)</formula>
    </cfRule>
    <cfRule type="expression" dxfId="4590" priority="18">
      <formula>B$9&lt;8/24</formula>
    </cfRule>
  </conditionalFormatting>
  <conditionalFormatting sqref="B48:D48">
    <cfRule type="expression" dxfId="4589" priority="14">
      <formula>B48&gt;$AG48</formula>
    </cfRule>
  </conditionalFormatting>
  <conditionalFormatting sqref="B55:L60">
    <cfRule type="expression" dxfId="4588" priority="6">
      <formula>B$9&gt;=20/24</formula>
    </cfRule>
    <cfRule type="expression" dxfId="4587" priority="7">
      <formula>AND(B$9&gt;=14/24,B$9&lt;20/24)</formula>
    </cfRule>
    <cfRule type="expression" dxfId="4586" priority="8">
      <formula>AND(B$9&gt;=8/24,B$9&lt;14/24)</formula>
    </cfRule>
    <cfRule type="expression" dxfId="4585" priority="9">
      <formula>B$9&lt;8/24</formula>
    </cfRule>
  </conditionalFormatting>
  <conditionalFormatting sqref="B55:L60">
    <cfRule type="expression" dxfId="4584" priority="5">
      <formula>B55&gt;$AG55</formula>
    </cfRule>
  </conditionalFormatting>
  <conditionalFormatting sqref="B73:L77">
    <cfRule type="expression" dxfId="4583" priority="1">
      <formula>B$9&gt;=20/24</formula>
    </cfRule>
    <cfRule type="expression" dxfId="4582" priority="2">
      <formula>AND(B$9&gt;=14/24,B$9&lt;20/24)</formula>
    </cfRule>
    <cfRule type="expression" dxfId="4581" priority="3">
      <formula>AND(B$9&gt;=8/24,B$9&lt;14/24)</formula>
    </cfRule>
    <cfRule type="expression" dxfId="4580" priority="4">
      <formula>B$9&lt;8/24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3" id="{57C47A68-4BFD-4E3A-B78F-D8D472AD8BF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24" id="{47B1340E-075D-4D83-B9B9-6BE566C14D56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25" id="{275972D1-B889-4E96-9978-A28CAFD7C722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26" id="{C3D5F1C6-326F-4E0E-9865-C0AADA496DE3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29" id="{BD63446E-6D15-4537-9053-9277E9ABA1D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0" id="{8D8A5A92-254E-41D7-9806-C5E927335A1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1" id="{D5B9544B-1C31-4B97-9E70-874D28BE9C1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2" id="{ECEC30AE-F8FC-4AF4-B961-B7035DF8B22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D86:AF86</xm:sqref>
        </x14:conditionalFormatting>
        <x14:conditionalFormatting xmlns:xm="http://schemas.microsoft.com/office/excel/2006/main">
          <x14:cfRule type="expression" priority="36" id="{78B2C53E-78A5-4BC4-82A0-36FEEFB401E3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55BB335D-4580-4DC2-80A9-05F9B0F8EFE8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E1261C32-AC14-4808-8384-6E3CCD3393B0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9F7FAC7C-409A-461D-99E9-6EBAE861CE18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B113:C113</xm:sqref>
        </x14:conditionalFormatting>
        <x14:conditionalFormatting xmlns:xm="http://schemas.microsoft.com/office/excel/2006/main">
          <x14:cfRule type="expression" priority="10" id="{6740CC6F-3F04-4E68-859C-4A87FFA9AE6B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1" id="{B9C2AF2A-A9F2-4A09-8979-7532BF1B5B1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2" id="{A0C86C5B-74DC-47D6-A2C2-EA749345EA5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" id="{1EFD93A8-2149-4B9D-812F-E061C7EFFDD2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B86:C86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J274"/>
  <sheetViews>
    <sheetView zoomScaleNormal="100" workbookViewId="0">
      <pane ySplit="10" topLeftCell="A41" activePane="bottomLeft" state="frozen"/>
      <selection activeCell="U80" sqref="U80"/>
      <selection pane="bottomLeft" activeCell="X84" sqref="X84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/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str">
        <f ca="1">"2079/"&amp;"09/"&amp;INT(MID(CELL("filename",D6),FIND("]",CELL("filename",D6))+1,200))</f>
        <v>2079/09/19</v>
      </c>
      <c r="C4" s="771"/>
      <c r="D4" s="771"/>
      <c r="E4" s="772" t="str">
        <f ca="1">"2079/"&amp;"09/"&amp;INT(MID(CELL("filename",G6),FIND("]",CELL("filename",G6))+1,200))</f>
        <v>2079/09/19</v>
      </c>
      <c r="F4" s="772"/>
      <c r="G4" s="772"/>
      <c r="H4" s="772" t="str">
        <f ca="1">TEXT(E4,"dddd")</f>
        <v>Tuesday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447.9</v>
      </c>
      <c r="C5" s="30">
        <f t="shared" si="0"/>
        <v>427</v>
      </c>
      <c r="D5" s="30">
        <f t="shared" si="0"/>
        <v>419</v>
      </c>
      <c r="E5" s="30">
        <f t="shared" si="0"/>
        <v>429.6</v>
      </c>
      <c r="F5" s="30">
        <f t="shared" si="0"/>
        <v>430.5</v>
      </c>
      <c r="G5" s="30">
        <f t="shared" si="0"/>
        <v>454.7</v>
      </c>
      <c r="H5" s="30">
        <f t="shared" si="0"/>
        <v>450.29999999999995</v>
      </c>
      <c r="I5" s="30">
        <f t="shared" si="0"/>
        <v>476.8</v>
      </c>
      <c r="J5" s="30">
        <f t="shared" si="0"/>
        <v>444.4</v>
      </c>
      <c r="K5" s="30">
        <f t="shared" si="0"/>
        <v>430.9</v>
      </c>
      <c r="L5" s="30">
        <f t="shared" si="0"/>
        <v>430.3</v>
      </c>
      <c r="M5" s="30">
        <f t="shared" si="0"/>
        <v>443.2</v>
      </c>
      <c r="N5" s="30">
        <f t="shared" si="0"/>
        <v>483.4</v>
      </c>
      <c r="O5" s="30">
        <f t="shared" si="0"/>
        <v>443.8</v>
      </c>
      <c r="P5" s="30">
        <f t="shared" si="0"/>
        <v>478.6</v>
      </c>
      <c r="Q5" s="30">
        <f t="shared" si="0"/>
        <v>488.4</v>
      </c>
      <c r="R5" s="30">
        <f t="shared" si="0"/>
        <v>501.4</v>
      </c>
      <c r="S5" s="30">
        <f t="shared" si="0"/>
        <v>500</v>
      </c>
      <c r="T5" s="30">
        <f t="shared" si="0"/>
        <v>506</v>
      </c>
      <c r="U5" s="30">
        <f t="shared" si="0"/>
        <v>466</v>
      </c>
      <c r="V5" s="30">
        <f t="shared" si="0"/>
        <v>464.7</v>
      </c>
      <c r="W5" s="30">
        <f t="shared" si="0"/>
        <v>437</v>
      </c>
      <c r="X5" s="30">
        <f t="shared" si="0"/>
        <v>348.6</v>
      </c>
      <c r="Y5" s="30">
        <f t="shared" si="0"/>
        <v>155.9</v>
      </c>
      <c r="Z5" s="30">
        <f t="shared" si="0"/>
        <v>208</v>
      </c>
      <c r="AA5" s="30">
        <f t="shared" si="0"/>
        <v>359.79999999999995</v>
      </c>
      <c r="AB5" s="30">
        <f t="shared" si="0"/>
        <v>422.4</v>
      </c>
      <c r="AC5" s="30">
        <f t="shared" si="0"/>
        <v>426.40000000000003</v>
      </c>
      <c r="AD5" s="30">
        <f t="shared" si="0"/>
        <v>438.6</v>
      </c>
      <c r="AE5" s="30">
        <f t="shared" si="0"/>
        <v>466.2</v>
      </c>
      <c r="AF5" s="30">
        <f>B78</f>
        <v>442.4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1567MW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Load=1000</v>
      </c>
      <c r="B7" s="35">
        <f t="shared" ref="B7:AF7" si="1">B85</f>
        <v>1075.8399999999999</v>
      </c>
      <c r="C7" s="35">
        <f t="shared" si="1"/>
        <v>1087.6399999999999</v>
      </c>
      <c r="D7" s="35">
        <f t="shared" si="1"/>
        <v>1102.1399999999999</v>
      </c>
      <c r="E7" s="35">
        <f t="shared" si="1"/>
        <v>999.54</v>
      </c>
      <c r="F7" s="35">
        <f t="shared" si="1"/>
        <v>1040.1399999999999</v>
      </c>
      <c r="G7" s="35">
        <f t="shared" si="1"/>
        <v>1063.44</v>
      </c>
      <c r="H7" s="35">
        <f t="shared" si="1"/>
        <v>1105.74</v>
      </c>
      <c r="I7" s="35">
        <f t="shared" si="1"/>
        <v>1155.44</v>
      </c>
      <c r="J7" s="35">
        <f t="shared" si="1"/>
        <v>1280.3400000000001</v>
      </c>
      <c r="K7" s="35">
        <f t="shared" si="1"/>
        <v>1445.44</v>
      </c>
      <c r="L7" s="35">
        <f t="shared" si="1"/>
        <v>1567.44</v>
      </c>
      <c r="M7" s="35">
        <f t="shared" si="1"/>
        <v>1527.94</v>
      </c>
      <c r="N7" s="35">
        <f>N85</f>
        <v>1431.2399999999998</v>
      </c>
      <c r="O7" s="35">
        <f t="shared" si="1"/>
        <v>1415.7399999999998</v>
      </c>
      <c r="P7" s="35">
        <f t="shared" si="1"/>
        <v>1217.94</v>
      </c>
      <c r="Q7" s="35">
        <f t="shared" si="1"/>
        <v>1292.44</v>
      </c>
      <c r="R7" s="35">
        <f t="shared" si="1"/>
        <v>1287.94</v>
      </c>
      <c r="S7" s="35">
        <f t="shared" si="1"/>
        <v>1268.94</v>
      </c>
      <c r="T7" s="35">
        <f t="shared" si="1"/>
        <v>1261.1399999999999</v>
      </c>
      <c r="U7" s="35">
        <f t="shared" si="1"/>
        <v>1280.8399999999999</v>
      </c>
      <c r="V7" s="35">
        <f t="shared" si="1"/>
        <v>1218.2399999999998</v>
      </c>
      <c r="W7" s="35">
        <f t="shared" si="1"/>
        <v>1209.3399999999999</v>
      </c>
      <c r="X7" s="35">
        <f t="shared" si="1"/>
        <v>1287.54</v>
      </c>
      <c r="Y7" s="35">
        <f t="shared" si="1"/>
        <v>1573.04</v>
      </c>
      <c r="Z7" s="35">
        <f t="shared" si="1"/>
        <v>1590.54</v>
      </c>
      <c r="AA7" s="35">
        <f t="shared" si="1"/>
        <v>1549.54</v>
      </c>
      <c r="AB7" s="35">
        <f t="shared" si="1"/>
        <v>1406.1399999999999</v>
      </c>
      <c r="AC7" s="35">
        <f t="shared" si="1"/>
        <v>1330.4899999999998</v>
      </c>
      <c r="AD7" s="35">
        <f t="shared" si="1"/>
        <v>1235.29</v>
      </c>
      <c r="AE7" s="35">
        <f t="shared" si="1"/>
        <v>1171.3899999999999</v>
      </c>
      <c r="AF7" s="35">
        <f t="shared" si="1"/>
        <v>1055.99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16.3</v>
      </c>
      <c r="C11" s="45">
        <v>18</v>
      </c>
      <c r="D11" s="45">
        <v>18</v>
      </c>
      <c r="E11" s="45">
        <v>18</v>
      </c>
      <c r="F11" s="45">
        <v>18</v>
      </c>
      <c r="G11" s="45">
        <v>18</v>
      </c>
      <c r="H11" s="45">
        <v>18</v>
      </c>
      <c r="I11" s="45">
        <v>18</v>
      </c>
      <c r="J11" s="45">
        <v>18</v>
      </c>
      <c r="K11" s="45">
        <v>18</v>
      </c>
      <c r="L11" s="45">
        <v>18</v>
      </c>
      <c r="M11" s="45">
        <v>16</v>
      </c>
      <c r="N11" s="45">
        <v>17</v>
      </c>
      <c r="O11" s="45">
        <v>17</v>
      </c>
      <c r="P11" s="45">
        <v>15</v>
      </c>
      <c r="Q11" s="45">
        <v>17.3</v>
      </c>
      <c r="R11" s="45">
        <v>16.8</v>
      </c>
      <c r="S11" s="45">
        <v>16.8</v>
      </c>
      <c r="T11" s="45">
        <v>16.3</v>
      </c>
      <c r="U11" s="45">
        <v>16.3</v>
      </c>
      <c r="V11" s="45">
        <v>16.3</v>
      </c>
      <c r="W11" s="45">
        <v>16.3</v>
      </c>
      <c r="X11" s="45">
        <v>16.3</v>
      </c>
      <c r="Y11" s="45">
        <v>16.3</v>
      </c>
      <c r="Z11" s="45">
        <v>16.3</v>
      </c>
      <c r="AA11" s="45">
        <v>16.3</v>
      </c>
      <c r="AB11" s="45">
        <v>16.7</v>
      </c>
      <c r="AC11" s="45">
        <v>16.600000000000001</v>
      </c>
      <c r="AD11" s="45">
        <v>16.600000000000001</v>
      </c>
      <c r="AE11" s="45">
        <v>16.600000000000001</v>
      </c>
      <c r="AF11" s="45">
        <v>16.600000000000001</v>
      </c>
      <c r="AG11" s="46">
        <v>52.4</v>
      </c>
      <c r="AH11" s="47">
        <f t="shared" ref="AH11:AH74" si="2">MAX(B11:AF11)</f>
        <v>18</v>
      </c>
      <c r="AI11" s="48">
        <f t="shared" ref="AI11:AI74" si="3">MIN(B11:AF11)</f>
        <v>15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32</v>
      </c>
      <c r="C12" s="45">
        <v>32.6</v>
      </c>
      <c r="D12" s="45">
        <v>32.6</v>
      </c>
      <c r="E12" s="45">
        <v>32.6</v>
      </c>
      <c r="F12" s="45">
        <v>32.6</v>
      </c>
      <c r="G12" s="45">
        <v>32.6</v>
      </c>
      <c r="H12" s="45">
        <v>32.6</v>
      </c>
      <c r="I12" s="45">
        <v>32.6</v>
      </c>
      <c r="J12" s="45">
        <v>32.6</v>
      </c>
      <c r="K12" s="45">
        <v>32.6</v>
      </c>
      <c r="L12" s="45">
        <v>32.6</v>
      </c>
      <c r="M12" s="45">
        <v>32.6</v>
      </c>
      <c r="N12" s="45">
        <v>32.6</v>
      </c>
      <c r="O12" s="45">
        <v>32.4</v>
      </c>
      <c r="P12" s="45">
        <v>32.9</v>
      </c>
      <c r="Q12" s="45">
        <v>32.1</v>
      </c>
      <c r="R12" s="45">
        <v>32</v>
      </c>
      <c r="S12" s="45">
        <v>32</v>
      </c>
      <c r="T12" s="45">
        <v>31.6</v>
      </c>
      <c r="U12" s="45">
        <v>31.6</v>
      </c>
      <c r="V12" s="45">
        <v>31.6</v>
      </c>
      <c r="W12" s="45">
        <v>31.6</v>
      </c>
      <c r="X12" s="45">
        <v>31.6</v>
      </c>
      <c r="Y12" s="45">
        <v>31.6</v>
      </c>
      <c r="Z12" s="45">
        <v>31.6</v>
      </c>
      <c r="AA12" s="45">
        <v>31.6</v>
      </c>
      <c r="AB12" s="45">
        <v>32.1</v>
      </c>
      <c r="AC12" s="45">
        <v>31.85</v>
      </c>
      <c r="AD12" s="45">
        <v>31.85</v>
      </c>
      <c r="AE12" s="45">
        <v>31.85</v>
      </c>
      <c r="AF12" s="45">
        <v>31.85</v>
      </c>
      <c r="AG12" s="50">
        <v>50</v>
      </c>
      <c r="AH12" s="47">
        <f t="shared" si="2"/>
        <v>32.9</v>
      </c>
      <c r="AI12" s="48">
        <f t="shared" si="3"/>
        <v>31.6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20.399999999999999</v>
      </c>
      <c r="C13" s="45">
        <v>19</v>
      </c>
      <c r="D13" s="45">
        <v>19</v>
      </c>
      <c r="E13" s="45">
        <v>19</v>
      </c>
      <c r="F13" s="45">
        <v>19</v>
      </c>
      <c r="G13" s="45">
        <v>19</v>
      </c>
      <c r="H13" s="45">
        <v>19</v>
      </c>
      <c r="I13" s="45">
        <v>19</v>
      </c>
      <c r="J13" s="45">
        <v>19</v>
      </c>
      <c r="K13" s="45">
        <v>19</v>
      </c>
      <c r="L13" s="45">
        <v>19</v>
      </c>
      <c r="M13" s="45">
        <v>18.3</v>
      </c>
      <c r="N13" s="45">
        <v>16.399999999999999</v>
      </c>
      <c r="O13" s="45">
        <v>16.399999999999999</v>
      </c>
      <c r="P13" s="45">
        <v>16.5</v>
      </c>
      <c r="Q13" s="45">
        <v>16.399999999999999</v>
      </c>
      <c r="R13" s="45">
        <v>16.5</v>
      </c>
      <c r="S13" s="45">
        <v>16.5</v>
      </c>
      <c r="T13" s="45">
        <v>15.8</v>
      </c>
      <c r="U13" s="45">
        <v>15.8</v>
      </c>
      <c r="V13" s="45">
        <v>15.8</v>
      </c>
      <c r="W13" s="45">
        <v>15.8</v>
      </c>
      <c r="X13" s="45">
        <v>15.8</v>
      </c>
      <c r="Y13" s="45">
        <v>15.8</v>
      </c>
      <c r="Z13" s="45">
        <v>15.8</v>
      </c>
      <c r="AA13" s="45">
        <v>15.8</v>
      </c>
      <c r="AB13" s="45">
        <v>20.2</v>
      </c>
      <c r="AC13" s="45">
        <v>21</v>
      </c>
      <c r="AD13" s="45">
        <v>21</v>
      </c>
      <c r="AE13" s="45">
        <v>21</v>
      </c>
      <c r="AF13" s="45">
        <v>21</v>
      </c>
      <c r="AG13" s="50">
        <v>45</v>
      </c>
      <c r="AH13" s="47">
        <f t="shared" si="2"/>
        <v>21</v>
      </c>
      <c r="AI13" s="48">
        <f t="shared" si="3"/>
        <v>15.8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9</v>
      </c>
      <c r="C14" s="45">
        <v>9</v>
      </c>
      <c r="D14" s="45">
        <v>9</v>
      </c>
      <c r="E14" s="45">
        <v>9</v>
      </c>
      <c r="F14" s="45">
        <v>9</v>
      </c>
      <c r="G14" s="45">
        <v>9</v>
      </c>
      <c r="H14" s="45">
        <v>9</v>
      </c>
      <c r="I14" s="45">
        <v>9</v>
      </c>
      <c r="J14" s="45">
        <v>9</v>
      </c>
      <c r="K14" s="45">
        <v>9</v>
      </c>
      <c r="L14" s="45">
        <v>9</v>
      </c>
      <c r="M14" s="45">
        <v>9</v>
      </c>
      <c r="N14" s="45">
        <v>9</v>
      </c>
      <c r="O14" s="45">
        <v>9</v>
      </c>
      <c r="P14" s="45">
        <v>9</v>
      </c>
      <c r="Q14" s="45">
        <v>9</v>
      </c>
      <c r="R14" s="45">
        <v>9</v>
      </c>
      <c r="S14" s="45">
        <v>9</v>
      </c>
      <c r="T14" s="45">
        <v>9</v>
      </c>
      <c r="U14" s="45">
        <v>9</v>
      </c>
      <c r="V14" s="45">
        <v>9</v>
      </c>
      <c r="W14" s="45">
        <v>9</v>
      </c>
      <c r="X14" s="45">
        <v>9</v>
      </c>
      <c r="Y14" s="45">
        <v>9</v>
      </c>
      <c r="Z14" s="45">
        <v>9</v>
      </c>
      <c r="AA14" s="45">
        <v>9</v>
      </c>
      <c r="AB14" s="45">
        <v>9</v>
      </c>
      <c r="AC14" s="45">
        <v>9</v>
      </c>
      <c r="AD14" s="45">
        <v>9</v>
      </c>
      <c r="AE14" s="45">
        <v>9</v>
      </c>
      <c r="AF14" s="45">
        <v>9</v>
      </c>
      <c r="AG14" s="50">
        <v>42</v>
      </c>
      <c r="AH14" s="47">
        <f t="shared" si="2"/>
        <v>9</v>
      </c>
      <c r="AI14" s="48">
        <f t="shared" si="3"/>
        <v>9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13</v>
      </c>
      <c r="C15" s="45">
        <v>13</v>
      </c>
      <c r="D15" s="45">
        <v>13</v>
      </c>
      <c r="E15" s="45">
        <v>13</v>
      </c>
      <c r="F15" s="45">
        <v>13</v>
      </c>
      <c r="G15" s="45">
        <v>13</v>
      </c>
      <c r="H15" s="45">
        <v>13</v>
      </c>
      <c r="I15" s="45">
        <v>13</v>
      </c>
      <c r="J15" s="45">
        <v>13</v>
      </c>
      <c r="K15" s="45">
        <v>13</v>
      </c>
      <c r="L15" s="45">
        <v>13</v>
      </c>
      <c r="M15" s="45">
        <v>13</v>
      </c>
      <c r="N15" s="45">
        <v>13</v>
      </c>
      <c r="O15" s="45">
        <v>13</v>
      </c>
      <c r="P15" s="45">
        <v>13</v>
      </c>
      <c r="Q15" s="45">
        <v>13</v>
      </c>
      <c r="R15" s="45">
        <v>13</v>
      </c>
      <c r="S15" s="45">
        <v>13</v>
      </c>
      <c r="T15" s="45">
        <v>13</v>
      </c>
      <c r="U15" s="45">
        <v>13</v>
      </c>
      <c r="V15" s="45">
        <v>13</v>
      </c>
      <c r="W15" s="45">
        <v>13</v>
      </c>
      <c r="X15" s="45">
        <v>13</v>
      </c>
      <c r="Y15" s="45">
        <v>13</v>
      </c>
      <c r="Z15" s="45">
        <v>13</v>
      </c>
      <c r="AA15" s="45">
        <v>13</v>
      </c>
      <c r="AB15" s="45">
        <v>13</v>
      </c>
      <c r="AC15" s="45">
        <v>13</v>
      </c>
      <c r="AD15" s="45">
        <v>13</v>
      </c>
      <c r="AE15" s="45">
        <v>13</v>
      </c>
      <c r="AF15" s="45">
        <v>13</v>
      </c>
      <c r="AG15" s="50">
        <v>36</v>
      </c>
      <c r="AH15" s="47">
        <f t="shared" si="2"/>
        <v>13</v>
      </c>
      <c r="AI15" s="48">
        <f t="shared" si="3"/>
        <v>13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8.5</v>
      </c>
      <c r="C16" s="45">
        <v>8.5</v>
      </c>
      <c r="D16" s="45">
        <v>8.5</v>
      </c>
      <c r="E16" s="45">
        <v>8.5</v>
      </c>
      <c r="F16" s="45">
        <v>8.5</v>
      </c>
      <c r="G16" s="45">
        <v>8.5</v>
      </c>
      <c r="H16" s="45">
        <v>8.5</v>
      </c>
      <c r="I16" s="45">
        <v>8.5</v>
      </c>
      <c r="J16" s="45">
        <v>8.5</v>
      </c>
      <c r="K16" s="45">
        <v>8.5</v>
      </c>
      <c r="L16" s="45">
        <v>8.5</v>
      </c>
      <c r="M16" s="45">
        <v>8.5</v>
      </c>
      <c r="N16" s="45">
        <v>8.5</v>
      </c>
      <c r="O16" s="45">
        <v>8.5</v>
      </c>
      <c r="P16" s="45">
        <v>8.5</v>
      </c>
      <c r="Q16" s="45">
        <v>7.7</v>
      </c>
      <c r="R16" s="45">
        <v>7.7</v>
      </c>
      <c r="S16" s="45">
        <v>7.7</v>
      </c>
      <c r="T16" s="45">
        <v>7.7</v>
      </c>
      <c r="U16" s="45">
        <v>7.7</v>
      </c>
      <c r="V16" s="45">
        <v>7.7</v>
      </c>
      <c r="W16" s="45">
        <v>7.7</v>
      </c>
      <c r="X16" s="45">
        <v>7.7</v>
      </c>
      <c r="Y16" s="45">
        <v>7.7</v>
      </c>
      <c r="Z16" s="45">
        <v>7.7</v>
      </c>
      <c r="AA16" s="45">
        <v>7.7</v>
      </c>
      <c r="AB16" s="45">
        <v>7.7</v>
      </c>
      <c r="AC16" s="45">
        <v>7.7</v>
      </c>
      <c r="AD16" s="45">
        <v>7.7</v>
      </c>
      <c r="AE16" s="45">
        <v>7.7</v>
      </c>
      <c r="AF16" s="45">
        <v>7.7</v>
      </c>
      <c r="AG16" s="51">
        <v>30</v>
      </c>
      <c r="AH16" s="47">
        <f t="shared" si="2"/>
        <v>8.5</v>
      </c>
      <c r="AI16" s="48">
        <f t="shared" si="3"/>
        <v>7.7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7.7</v>
      </c>
      <c r="C17" s="45">
        <v>7.7</v>
      </c>
      <c r="D17" s="45">
        <v>7.7</v>
      </c>
      <c r="E17" s="45">
        <v>7.7</v>
      </c>
      <c r="F17" s="45">
        <v>7.7</v>
      </c>
      <c r="G17" s="45">
        <v>7.7</v>
      </c>
      <c r="H17" s="45">
        <v>7.7</v>
      </c>
      <c r="I17" s="45">
        <v>7.7</v>
      </c>
      <c r="J17" s="45">
        <v>7.7</v>
      </c>
      <c r="K17" s="45">
        <v>7.7</v>
      </c>
      <c r="L17" s="45">
        <v>7.7</v>
      </c>
      <c r="M17" s="45">
        <v>7.7</v>
      </c>
      <c r="N17" s="45">
        <v>7.7</v>
      </c>
      <c r="O17" s="45">
        <v>7.7</v>
      </c>
      <c r="P17" s="45">
        <v>7.7</v>
      </c>
      <c r="Q17" s="45">
        <v>7.3</v>
      </c>
      <c r="R17" s="45">
        <v>7.3</v>
      </c>
      <c r="S17" s="45">
        <v>7.3</v>
      </c>
      <c r="T17" s="45">
        <v>7.3</v>
      </c>
      <c r="U17" s="45">
        <v>7.3</v>
      </c>
      <c r="V17" s="45">
        <v>7.3</v>
      </c>
      <c r="W17" s="45">
        <v>7.3</v>
      </c>
      <c r="X17" s="45">
        <v>7.3</v>
      </c>
      <c r="Y17" s="45">
        <v>7.3</v>
      </c>
      <c r="Z17" s="45">
        <v>7.3</v>
      </c>
      <c r="AA17" s="45">
        <v>7.3</v>
      </c>
      <c r="AB17" s="45">
        <v>7.3</v>
      </c>
      <c r="AC17" s="45">
        <v>7.3</v>
      </c>
      <c r="AD17" s="45">
        <v>7.3</v>
      </c>
      <c r="AE17" s="45">
        <v>7.3</v>
      </c>
      <c r="AF17" s="45">
        <v>7.3</v>
      </c>
      <c r="AG17" s="50">
        <v>24.2</v>
      </c>
      <c r="AH17" s="47">
        <f t="shared" si="2"/>
        <v>7.7</v>
      </c>
      <c r="AI17" s="48">
        <f t="shared" si="3"/>
        <v>7.3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50">
        <v>28</v>
      </c>
      <c r="AH18" s="47">
        <f t="shared" si="2"/>
        <v>8</v>
      </c>
      <c r="AI18" s="48">
        <f t="shared" si="3"/>
        <v>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9.4</v>
      </c>
      <c r="C20" s="45">
        <v>9.4</v>
      </c>
      <c r="D20" s="45">
        <v>9.4</v>
      </c>
      <c r="E20" s="45">
        <v>9.4</v>
      </c>
      <c r="F20" s="45">
        <v>9.4</v>
      </c>
      <c r="G20" s="45">
        <v>9.4</v>
      </c>
      <c r="H20" s="45">
        <v>9.4</v>
      </c>
      <c r="I20" s="45">
        <v>9.4</v>
      </c>
      <c r="J20" s="45">
        <v>9.4</v>
      </c>
      <c r="K20" s="45">
        <v>9.4</v>
      </c>
      <c r="L20" s="45">
        <v>9.4</v>
      </c>
      <c r="M20" s="45">
        <v>9.4</v>
      </c>
      <c r="N20" s="45">
        <v>9.4</v>
      </c>
      <c r="O20" s="45">
        <v>9.4</v>
      </c>
      <c r="P20" s="45">
        <v>9.4</v>
      </c>
      <c r="Q20" s="45">
        <v>9.4</v>
      </c>
      <c r="R20" s="45">
        <v>9.4</v>
      </c>
      <c r="S20" s="45">
        <v>9.4</v>
      </c>
      <c r="T20" s="45">
        <v>9.4</v>
      </c>
      <c r="U20" s="45">
        <v>9.4</v>
      </c>
      <c r="V20" s="45">
        <v>9.4</v>
      </c>
      <c r="W20" s="45">
        <v>9.4</v>
      </c>
      <c r="X20" s="45">
        <v>9.4</v>
      </c>
      <c r="Y20" s="45">
        <v>9.4</v>
      </c>
      <c r="Z20" s="45">
        <v>9.4</v>
      </c>
      <c r="AA20" s="45">
        <v>9.4</v>
      </c>
      <c r="AB20" s="45">
        <v>9.4</v>
      </c>
      <c r="AC20" s="45">
        <v>9.4</v>
      </c>
      <c r="AD20" s="45">
        <v>9.4</v>
      </c>
      <c r="AE20" s="45">
        <v>9.4</v>
      </c>
      <c r="AF20" s="45">
        <v>9.4</v>
      </c>
      <c r="AG20" s="50">
        <v>25</v>
      </c>
      <c r="AH20" s="47">
        <f t="shared" si="2"/>
        <v>9.4</v>
      </c>
      <c r="AI20" s="48">
        <f t="shared" si="3"/>
        <v>9.4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0">
        <v>25</v>
      </c>
      <c r="AH22" s="47">
        <f t="shared" si="2"/>
        <v>11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7.6</v>
      </c>
      <c r="C24" s="45">
        <v>7.6</v>
      </c>
      <c r="D24" s="45">
        <v>7.6</v>
      </c>
      <c r="E24" s="45">
        <v>7.6</v>
      </c>
      <c r="F24" s="45">
        <v>7.6</v>
      </c>
      <c r="G24" s="45">
        <v>7.6</v>
      </c>
      <c r="H24" s="45">
        <v>7.6</v>
      </c>
      <c r="I24" s="45">
        <v>7.6</v>
      </c>
      <c r="J24" s="45">
        <v>7.6</v>
      </c>
      <c r="K24" s="45">
        <v>7.6</v>
      </c>
      <c r="L24" s="45">
        <v>7.6</v>
      </c>
      <c r="M24" s="45">
        <v>7.6</v>
      </c>
      <c r="N24" s="45">
        <v>7.6</v>
      </c>
      <c r="O24" s="45">
        <v>7.6</v>
      </c>
      <c r="P24" s="45">
        <v>7.6</v>
      </c>
      <c r="Q24" s="45">
        <v>7.6</v>
      </c>
      <c r="R24" s="45">
        <v>7.6</v>
      </c>
      <c r="S24" s="45">
        <v>7.6</v>
      </c>
      <c r="T24" s="45">
        <v>7.6</v>
      </c>
      <c r="U24" s="45">
        <v>7.6</v>
      </c>
      <c r="V24" s="45">
        <v>7.6</v>
      </c>
      <c r="W24" s="45">
        <v>7.6</v>
      </c>
      <c r="X24" s="45">
        <v>7.6</v>
      </c>
      <c r="Y24" s="45">
        <v>7.6</v>
      </c>
      <c r="Z24" s="45">
        <v>7.6</v>
      </c>
      <c r="AA24" s="45">
        <v>7.6</v>
      </c>
      <c r="AB24" s="45">
        <v>7.6</v>
      </c>
      <c r="AC24" s="45">
        <v>7.6</v>
      </c>
      <c r="AD24" s="45">
        <v>7.6</v>
      </c>
      <c r="AE24" s="45">
        <v>7.6</v>
      </c>
      <c r="AF24" s="45">
        <v>7.6</v>
      </c>
      <c r="AG24" s="50">
        <v>23.5</v>
      </c>
      <c r="AH24" s="47">
        <f t="shared" si="2"/>
        <v>7.6</v>
      </c>
      <c r="AI24" s="48">
        <f t="shared" si="3"/>
        <v>7.6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11</v>
      </c>
      <c r="C28" s="45">
        <v>11</v>
      </c>
      <c r="D28" s="45">
        <v>11</v>
      </c>
      <c r="E28" s="45">
        <v>11</v>
      </c>
      <c r="F28" s="45">
        <v>11</v>
      </c>
      <c r="G28" s="45">
        <v>11</v>
      </c>
      <c r="H28" s="45">
        <v>11</v>
      </c>
      <c r="I28" s="45">
        <v>11</v>
      </c>
      <c r="J28" s="45">
        <v>11</v>
      </c>
      <c r="K28" s="45">
        <v>11</v>
      </c>
      <c r="L28" s="45">
        <v>11</v>
      </c>
      <c r="M28" s="45">
        <v>11</v>
      </c>
      <c r="N28" s="45">
        <v>11</v>
      </c>
      <c r="O28" s="45">
        <v>11</v>
      </c>
      <c r="P28" s="45">
        <v>11</v>
      </c>
      <c r="Q28" s="45">
        <v>11</v>
      </c>
      <c r="R28" s="45">
        <v>11</v>
      </c>
      <c r="S28" s="45">
        <v>11</v>
      </c>
      <c r="T28" s="45">
        <v>11</v>
      </c>
      <c r="U28" s="45">
        <v>11</v>
      </c>
      <c r="V28" s="45">
        <v>11</v>
      </c>
      <c r="W28" s="45">
        <v>11</v>
      </c>
      <c r="X28" s="45">
        <v>11</v>
      </c>
      <c r="Y28" s="45">
        <v>11</v>
      </c>
      <c r="Z28" s="45">
        <v>11</v>
      </c>
      <c r="AA28" s="45">
        <v>11</v>
      </c>
      <c r="AB28" s="45">
        <v>11</v>
      </c>
      <c r="AC28" s="45">
        <v>11</v>
      </c>
      <c r="AD28" s="45">
        <v>11</v>
      </c>
      <c r="AE28" s="45">
        <v>11</v>
      </c>
      <c r="AF28" s="45">
        <v>11</v>
      </c>
      <c r="AG28" s="50">
        <v>22</v>
      </c>
      <c r="AH28" s="47">
        <f t="shared" si="2"/>
        <v>11</v>
      </c>
      <c r="AI28" s="48">
        <f t="shared" si="3"/>
        <v>11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>
        <v>10</v>
      </c>
      <c r="L35" s="45">
        <v>10</v>
      </c>
      <c r="M35" s="45">
        <v>10</v>
      </c>
      <c r="N35" s="45">
        <v>10</v>
      </c>
      <c r="O35" s="45">
        <v>10</v>
      </c>
      <c r="P35" s="45">
        <v>10</v>
      </c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45">
        <v>10</v>
      </c>
      <c r="Z35" s="45">
        <v>10</v>
      </c>
      <c r="AA35" s="45">
        <v>10</v>
      </c>
      <c r="AB35" s="45">
        <v>10</v>
      </c>
      <c r="AC35" s="45">
        <v>10</v>
      </c>
      <c r="AD35" s="45">
        <v>10</v>
      </c>
      <c r="AE35" s="45">
        <v>10</v>
      </c>
      <c r="AF35" s="45">
        <v>10</v>
      </c>
      <c r="AG35" s="50">
        <v>12</v>
      </c>
      <c r="AH35" s="47">
        <f t="shared" si="2"/>
        <v>10</v>
      </c>
      <c r="AI35" s="48">
        <f t="shared" si="3"/>
        <v>10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100</v>
      </c>
      <c r="C42" s="56">
        <v>120</v>
      </c>
      <c r="D42" s="56">
        <v>120</v>
      </c>
      <c r="E42" s="56">
        <v>120</v>
      </c>
      <c r="F42" s="56">
        <v>120</v>
      </c>
      <c r="G42" s="56">
        <v>120</v>
      </c>
      <c r="H42" s="56">
        <v>120</v>
      </c>
      <c r="I42" s="56">
        <v>120</v>
      </c>
      <c r="J42" s="56">
        <v>120</v>
      </c>
      <c r="K42" s="56">
        <v>120</v>
      </c>
      <c r="L42" s="56">
        <v>120</v>
      </c>
      <c r="M42" s="56">
        <v>100</v>
      </c>
      <c r="N42" s="56">
        <v>100</v>
      </c>
      <c r="O42" s="56">
        <v>100</v>
      </c>
      <c r="P42" s="56">
        <v>100</v>
      </c>
      <c r="Q42" s="56">
        <v>100</v>
      </c>
      <c r="R42" s="56">
        <v>100</v>
      </c>
      <c r="S42" s="56">
        <v>100</v>
      </c>
      <c r="T42" s="56">
        <v>100</v>
      </c>
      <c r="U42" s="56">
        <v>100</v>
      </c>
      <c r="V42" s="56">
        <v>100</v>
      </c>
      <c r="W42" s="56">
        <v>100</v>
      </c>
      <c r="X42" s="56">
        <v>100</v>
      </c>
      <c r="Y42" s="56">
        <v>100</v>
      </c>
      <c r="Z42" s="56">
        <v>100</v>
      </c>
      <c r="AA42" s="56">
        <v>100</v>
      </c>
      <c r="AB42" s="56">
        <v>100</v>
      </c>
      <c r="AC42" s="56">
        <v>100</v>
      </c>
      <c r="AD42" s="56">
        <v>100</v>
      </c>
      <c r="AE42" s="56">
        <v>100</v>
      </c>
      <c r="AF42" s="56">
        <v>100</v>
      </c>
      <c r="AG42" s="54">
        <v>85</v>
      </c>
      <c r="AH42" s="47">
        <f t="shared" si="2"/>
        <v>120</v>
      </c>
      <c r="AI42" s="48">
        <f t="shared" si="3"/>
        <v>100</v>
      </c>
      <c r="AK42" s="49"/>
    </row>
    <row r="43" spans="1:88" ht="15.75" thickBot="1" x14ac:dyDescent="0.3">
      <c r="A43" s="57" t="s">
        <v>51</v>
      </c>
      <c r="B43" s="56"/>
      <c r="C43" s="56"/>
      <c r="D43" s="56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:AG44" si="4">SUM(B11:B42)</f>
        <v>381.59999999999997</v>
      </c>
      <c r="C44" s="60">
        <f t="shared" si="4"/>
        <v>402.5</v>
      </c>
      <c r="D44" s="60">
        <f t="shared" si="4"/>
        <v>402.5</v>
      </c>
      <c r="E44" s="60">
        <f t="shared" si="4"/>
        <v>402.5</v>
      </c>
      <c r="F44" s="60">
        <f t="shared" si="4"/>
        <v>402.5</v>
      </c>
      <c r="G44" s="60">
        <f t="shared" si="4"/>
        <v>402.5</v>
      </c>
      <c r="H44" s="60">
        <f t="shared" si="4"/>
        <v>402.5</v>
      </c>
      <c r="I44" s="60">
        <f t="shared" si="4"/>
        <v>402.5</v>
      </c>
      <c r="J44" s="60">
        <f t="shared" si="4"/>
        <v>402.5</v>
      </c>
      <c r="K44" s="60">
        <f t="shared" si="4"/>
        <v>402.5</v>
      </c>
      <c r="L44" s="60">
        <f t="shared" si="4"/>
        <v>402.5</v>
      </c>
      <c r="M44" s="60">
        <f t="shared" si="4"/>
        <v>379.8</v>
      </c>
      <c r="N44" s="60">
        <f t="shared" si="4"/>
        <v>378.9</v>
      </c>
      <c r="O44" s="60">
        <f t="shared" si="4"/>
        <v>378.7</v>
      </c>
      <c r="P44" s="60">
        <f t="shared" si="4"/>
        <v>377.3</v>
      </c>
      <c r="Q44" s="60">
        <f t="shared" ref="Q44" si="5">SUM(Q11:Q42)</f>
        <v>377.5</v>
      </c>
      <c r="R44" s="60">
        <f t="shared" si="4"/>
        <v>376.99999999999994</v>
      </c>
      <c r="S44" s="60">
        <f t="shared" si="4"/>
        <v>376.99999999999994</v>
      </c>
      <c r="T44" s="60">
        <f t="shared" si="4"/>
        <v>375.4</v>
      </c>
      <c r="U44" s="60">
        <f t="shared" si="4"/>
        <v>375.4</v>
      </c>
      <c r="V44" s="60">
        <f t="shared" si="4"/>
        <v>375.4</v>
      </c>
      <c r="W44" s="60">
        <f t="shared" si="4"/>
        <v>375.4</v>
      </c>
      <c r="X44" s="60">
        <f t="shared" si="4"/>
        <v>375.4</v>
      </c>
      <c r="Y44" s="60">
        <v>381.7</v>
      </c>
      <c r="Z44" s="60">
        <f t="shared" si="4"/>
        <v>375.4</v>
      </c>
      <c r="AA44" s="60">
        <f t="shared" si="4"/>
        <v>375.4</v>
      </c>
      <c r="AB44" s="60">
        <f t="shared" si="4"/>
        <v>380.7</v>
      </c>
      <c r="AC44" s="60">
        <f t="shared" si="4"/>
        <v>381.15</v>
      </c>
      <c r="AD44" s="60">
        <f t="shared" si="4"/>
        <v>381.15</v>
      </c>
      <c r="AE44" s="60">
        <f t="shared" si="4"/>
        <v>381.15</v>
      </c>
      <c r="AF44" s="60">
        <f t="shared" si="4"/>
        <v>381.15</v>
      </c>
      <c r="AG44" s="61">
        <f t="shared" si="4"/>
        <v>814.78000000000009</v>
      </c>
      <c r="AH44" s="47">
        <f t="shared" si="2"/>
        <v>402.5</v>
      </c>
      <c r="AI44" s="48">
        <f t="shared" si="3"/>
        <v>375.4</v>
      </c>
      <c r="AK44" s="49"/>
    </row>
    <row r="45" spans="1:88" x14ac:dyDescent="0.25">
      <c r="A45" s="62" t="s">
        <v>53</v>
      </c>
      <c r="B45" s="45">
        <v>40</v>
      </c>
      <c r="C45" s="45">
        <v>80</v>
      </c>
      <c r="D45" s="45">
        <v>80</v>
      </c>
      <c r="E45" s="45">
        <v>30</v>
      </c>
      <c r="F45" s="45">
        <v>60</v>
      </c>
      <c r="G45" s="45">
        <v>66</v>
      </c>
      <c r="H45" s="45">
        <v>61</v>
      </c>
      <c r="I45" s="45">
        <v>70</v>
      </c>
      <c r="J45" s="45">
        <v>85</v>
      </c>
      <c r="K45" s="45">
        <v>120</v>
      </c>
      <c r="L45" s="45">
        <v>170</v>
      </c>
      <c r="M45" s="63">
        <v>180</v>
      </c>
      <c r="N45" s="63">
        <v>115</v>
      </c>
      <c r="O45" s="63">
        <v>90</v>
      </c>
      <c r="P45" s="63">
        <v>120</v>
      </c>
      <c r="Q45" s="63">
        <v>100</v>
      </c>
      <c r="R45" s="45">
        <v>105</v>
      </c>
      <c r="S45" s="45">
        <v>85</v>
      </c>
      <c r="T45" s="45">
        <v>60</v>
      </c>
      <c r="U45" s="45">
        <v>60</v>
      </c>
      <c r="V45" s="45">
        <v>50</v>
      </c>
      <c r="W45" s="45">
        <v>50</v>
      </c>
      <c r="X45" s="45">
        <v>80</v>
      </c>
      <c r="Y45" s="45">
        <v>160</v>
      </c>
      <c r="Z45" s="45">
        <v>360</v>
      </c>
      <c r="AA45" s="45">
        <v>300</v>
      </c>
      <c r="AB45" s="45">
        <v>155</v>
      </c>
      <c r="AC45" s="45">
        <v>100</v>
      </c>
      <c r="AD45" s="45">
        <v>90</v>
      </c>
      <c r="AE45" s="45">
        <v>65</v>
      </c>
      <c r="AF45" s="45">
        <v>15</v>
      </c>
      <c r="AG45" s="51">
        <v>456</v>
      </c>
      <c r="AH45" s="47">
        <f t="shared" si="2"/>
        <v>360</v>
      </c>
      <c r="AI45" s="48">
        <f t="shared" si="3"/>
        <v>15</v>
      </c>
      <c r="AK45" s="49"/>
    </row>
    <row r="46" spans="1:88" x14ac:dyDescent="0.25">
      <c r="A46" s="64" t="s">
        <v>54</v>
      </c>
      <c r="B46" s="65">
        <v>30</v>
      </c>
      <c r="C46" s="65">
        <v>30</v>
      </c>
      <c r="D46" s="65">
        <v>30</v>
      </c>
      <c r="E46" s="65">
        <v>30</v>
      </c>
      <c r="F46" s="65">
        <v>30</v>
      </c>
      <c r="G46" s="65">
        <v>30</v>
      </c>
      <c r="H46" s="65">
        <v>30</v>
      </c>
      <c r="I46" s="65">
        <v>30</v>
      </c>
      <c r="J46" s="65">
        <v>30</v>
      </c>
      <c r="K46" s="65">
        <v>30</v>
      </c>
      <c r="L46" s="65">
        <v>30</v>
      </c>
      <c r="M46" s="65">
        <v>30</v>
      </c>
      <c r="N46" s="65">
        <v>30</v>
      </c>
      <c r="O46" s="65">
        <v>30</v>
      </c>
      <c r="P46" s="65">
        <v>30</v>
      </c>
      <c r="Q46" s="65">
        <v>30</v>
      </c>
      <c r="R46" s="65">
        <v>30</v>
      </c>
      <c r="S46" s="65">
        <v>30</v>
      </c>
      <c r="T46" s="65">
        <v>30</v>
      </c>
      <c r="U46" s="65">
        <v>30</v>
      </c>
      <c r="V46" s="65">
        <v>30</v>
      </c>
      <c r="W46" s="65">
        <v>30</v>
      </c>
      <c r="X46" s="65">
        <v>30</v>
      </c>
      <c r="Y46" s="65">
        <v>30</v>
      </c>
      <c r="Z46" s="65">
        <v>30</v>
      </c>
      <c r="AA46" s="65">
        <v>30</v>
      </c>
      <c r="AB46" s="65">
        <v>30</v>
      </c>
      <c r="AC46" s="65">
        <v>30</v>
      </c>
      <c r="AD46" s="65">
        <v>30</v>
      </c>
      <c r="AE46" s="65">
        <v>30</v>
      </c>
      <c r="AF46" s="65">
        <v>30</v>
      </c>
      <c r="AG46" s="54">
        <v>60</v>
      </c>
      <c r="AH46" s="47">
        <f t="shared" si="2"/>
        <v>30</v>
      </c>
      <c r="AI46" s="48">
        <f t="shared" si="3"/>
        <v>30</v>
      </c>
      <c r="AK46" s="49"/>
    </row>
    <row r="47" spans="1:88" ht="15.75" thickBot="1" x14ac:dyDescent="0.3">
      <c r="A47" s="66" t="s">
        <v>55</v>
      </c>
      <c r="B47" s="67">
        <v>10.199999999999999</v>
      </c>
      <c r="C47" s="67">
        <v>10.199999999999999</v>
      </c>
      <c r="D47" s="67">
        <v>10.199999999999999</v>
      </c>
      <c r="E47" s="67">
        <v>10.199999999999999</v>
      </c>
      <c r="F47" s="67">
        <v>10.199999999999999</v>
      </c>
      <c r="G47" s="67">
        <v>10.199999999999999</v>
      </c>
      <c r="H47" s="67">
        <v>10.199999999999999</v>
      </c>
      <c r="I47" s="67">
        <v>10.199999999999999</v>
      </c>
      <c r="J47" s="67">
        <v>10.199999999999999</v>
      </c>
      <c r="K47" s="67">
        <v>10.199999999999999</v>
      </c>
      <c r="L47" s="67">
        <v>10.199999999999999</v>
      </c>
      <c r="M47" s="67">
        <v>10.1</v>
      </c>
      <c r="N47" s="67">
        <v>10.199999999999999</v>
      </c>
      <c r="O47" s="67">
        <v>10.199999999999999</v>
      </c>
      <c r="P47" s="67">
        <v>10.199999999999999</v>
      </c>
      <c r="Q47" s="67">
        <v>10.199999999999999</v>
      </c>
      <c r="R47" s="67">
        <v>10.199999999999999</v>
      </c>
      <c r="S47" s="67">
        <v>10.199999999999999</v>
      </c>
      <c r="T47" s="67">
        <v>10.199999999999999</v>
      </c>
      <c r="U47" s="67">
        <v>10.199999999999999</v>
      </c>
      <c r="V47" s="67">
        <v>10.199999999999999</v>
      </c>
      <c r="W47" s="67">
        <v>10.199999999999999</v>
      </c>
      <c r="X47" s="67">
        <v>10.199999999999999</v>
      </c>
      <c r="Y47" s="67">
        <v>18</v>
      </c>
      <c r="Z47" s="67">
        <v>18</v>
      </c>
      <c r="AA47" s="67">
        <v>18</v>
      </c>
      <c r="AB47" s="67">
        <v>10.6</v>
      </c>
      <c r="AC47" s="67">
        <v>10.199999999999999</v>
      </c>
      <c r="AD47" s="67">
        <v>10.199999999999999</v>
      </c>
      <c r="AE47" s="67">
        <v>10.199999999999999</v>
      </c>
      <c r="AF47" s="67">
        <v>10.199999999999999</v>
      </c>
      <c r="AG47" s="68">
        <v>22.1</v>
      </c>
      <c r="AH47" s="47">
        <f t="shared" si="2"/>
        <v>18</v>
      </c>
      <c r="AI47" s="48">
        <f t="shared" si="3"/>
        <v>10.1</v>
      </c>
      <c r="AK47" s="49"/>
    </row>
    <row r="48" spans="1:88" ht="15.75" thickBot="1" x14ac:dyDescent="0.3">
      <c r="A48" s="69" t="s">
        <v>56</v>
      </c>
      <c r="B48" s="60">
        <f t="shared" ref="B48:AG48" si="6">SUM(B45:B47)</f>
        <v>80.2</v>
      </c>
      <c r="C48" s="60">
        <f t="shared" si="6"/>
        <v>120.2</v>
      </c>
      <c r="D48" s="60">
        <f t="shared" si="6"/>
        <v>120.2</v>
      </c>
      <c r="E48" s="60">
        <f t="shared" si="6"/>
        <v>70.2</v>
      </c>
      <c r="F48" s="60">
        <f t="shared" si="6"/>
        <v>100.2</v>
      </c>
      <c r="G48" s="60">
        <f t="shared" si="6"/>
        <v>106.2</v>
      </c>
      <c r="H48" s="60">
        <f t="shared" si="6"/>
        <v>101.2</v>
      </c>
      <c r="I48" s="60">
        <f t="shared" si="6"/>
        <v>110.2</v>
      </c>
      <c r="J48" s="60">
        <f t="shared" si="6"/>
        <v>125.2</v>
      </c>
      <c r="K48" s="60">
        <f t="shared" si="6"/>
        <v>160.19999999999999</v>
      </c>
      <c r="L48" s="60">
        <f t="shared" si="6"/>
        <v>210.2</v>
      </c>
      <c r="M48" s="60">
        <f t="shared" si="6"/>
        <v>220.1</v>
      </c>
      <c r="N48" s="60">
        <f t="shared" si="6"/>
        <v>155.19999999999999</v>
      </c>
      <c r="O48" s="60">
        <f t="shared" si="6"/>
        <v>130.19999999999999</v>
      </c>
      <c r="P48" s="60">
        <f t="shared" si="6"/>
        <v>160.19999999999999</v>
      </c>
      <c r="Q48" s="60">
        <f t="shared" ref="Q48" si="7">SUM(Q45:Q47)</f>
        <v>140.19999999999999</v>
      </c>
      <c r="R48" s="60">
        <f t="shared" si="6"/>
        <v>145.19999999999999</v>
      </c>
      <c r="S48" s="60">
        <f t="shared" si="6"/>
        <v>125.2</v>
      </c>
      <c r="T48" s="60">
        <f t="shared" si="6"/>
        <v>100.2</v>
      </c>
      <c r="U48" s="60">
        <f t="shared" si="6"/>
        <v>100.2</v>
      </c>
      <c r="V48" s="60">
        <f t="shared" si="6"/>
        <v>90.2</v>
      </c>
      <c r="W48" s="60">
        <f t="shared" si="6"/>
        <v>90.2</v>
      </c>
      <c r="X48" s="60">
        <f t="shared" si="6"/>
        <v>120.2</v>
      </c>
      <c r="Y48" s="60">
        <v>240</v>
      </c>
      <c r="Z48" s="60">
        <f t="shared" si="6"/>
        <v>408</v>
      </c>
      <c r="AA48" s="60">
        <f t="shared" si="6"/>
        <v>348</v>
      </c>
      <c r="AB48" s="60">
        <f t="shared" si="6"/>
        <v>195.6</v>
      </c>
      <c r="AC48" s="60">
        <f t="shared" si="6"/>
        <v>140.19999999999999</v>
      </c>
      <c r="AD48" s="60">
        <f t="shared" si="6"/>
        <v>130.19999999999999</v>
      </c>
      <c r="AE48" s="60">
        <f t="shared" si="6"/>
        <v>105.2</v>
      </c>
      <c r="AF48" s="60">
        <f t="shared" si="6"/>
        <v>55.2</v>
      </c>
      <c r="AG48" s="61">
        <f t="shared" si="6"/>
        <v>538.1</v>
      </c>
      <c r="AH48" s="47">
        <f t="shared" si="2"/>
        <v>408</v>
      </c>
      <c r="AI48" s="48">
        <f t="shared" si="3"/>
        <v>55.2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22.1</v>
      </c>
      <c r="I49" s="45">
        <v>42.4</v>
      </c>
      <c r="J49" s="45">
        <v>77.8</v>
      </c>
      <c r="K49" s="45">
        <v>78.900000000000006</v>
      </c>
      <c r="L49" s="45">
        <v>90.7</v>
      </c>
      <c r="M49" s="45">
        <v>74.099999999999994</v>
      </c>
      <c r="N49" s="45">
        <v>63.1</v>
      </c>
      <c r="O49" s="45">
        <v>63.1</v>
      </c>
      <c r="P49" s="45">
        <v>62.1</v>
      </c>
      <c r="Q49" s="45">
        <v>86.1</v>
      </c>
      <c r="R49" s="45">
        <v>72.3</v>
      </c>
      <c r="S49" s="45">
        <v>86.3</v>
      </c>
      <c r="T49" s="45">
        <v>70</v>
      </c>
      <c r="U49" s="45">
        <v>80</v>
      </c>
      <c r="V49" s="45">
        <v>72</v>
      </c>
      <c r="W49" s="45">
        <v>65</v>
      </c>
      <c r="X49" s="45">
        <v>127.5</v>
      </c>
      <c r="Y49" s="45">
        <v>139.5</v>
      </c>
      <c r="Z49" s="45">
        <v>139</v>
      </c>
      <c r="AA49" s="45">
        <v>121.9</v>
      </c>
      <c r="AB49" s="45">
        <v>91</v>
      </c>
      <c r="AC49" s="45">
        <v>91.6</v>
      </c>
      <c r="AD49" s="45">
        <v>71</v>
      </c>
      <c r="AE49" s="45">
        <v>50</v>
      </c>
      <c r="AF49" s="45">
        <v>31</v>
      </c>
      <c r="AG49" s="51">
        <v>144</v>
      </c>
      <c r="AH49" s="47">
        <f t="shared" si="2"/>
        <v>139.5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26</v>
      </c>
      <c r="C50" s="65">
        <v>0</v>
      </c>
      <c r="D50" s="65">
        <v>35.4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33</v>
      </c>
      <c r="K50" s="65">
        <v>48.4</v>
      </c>
      <c r="L50" s="65">
        <v>68.400000000000006</v>
      </c>
      <c r="M50" s="65">
        <v>59.4</v>
      </c>
      <c r="N50" s="65">
        <v>45.1</v>
      </c>
      <c r="O50" s="65">
        <v>25.1</v>
      </c>
      <c r="P50" s="65">
        <v>34.5</v>
      </c>
      <c r="Q50" s="65">
        <v>60.2</v>
      </c>
      <c r="R50" s="65">
        <v>68.2</v>
      </c>
      <c r="S50" s="65">
        <v>54.7</v>
      </c>
      <c r="T50" s="65">
        <v>22.6</v>
      </c>
      <c r="U50" s="65">
        <v>22</v>
      </c>
      <c r="V50" s="65">
        <v>22</v>
      </c>
      <c r="W50" s="65">
        <v>22.5</v>
      </c>
      <c r="X50" s="65">
        <v>35</v>
      </c>
      <c r="Y50" s="45">
        <v>61.2</v>
      </c>
      <c r="Z50" s="45">
        <v>49.6</v>
      </c>
      <c r="AA50" s="45">
        <v>46.5</v>
      </c>
      <c r="AB50" s="45">
        <v>44.2</v>
      </c>
      <c r="AC50" s="45">
        <v>30.2</v>
      </c>
      <c r="AD50" s="45">
        <v>30</v>
      </c>
      <c r="AE50" s="45">
        <v>0</v>
      </c>
      <c r="AF50" s="45">
        <v>0</v>
      </c>
      <c r="AG50" s="54">
        <v>70</v>
      </c>
      <c r="AH50" s="47">
        <f t="shared" si="2"/>
        <v>68.400000000000006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36.4</v>
      </c>
      <c r="C51" s="65">
        <v>17</v>
      </c>
      <c r="D51" s="65">
        <v>17</v>
      </c>
      <c r="E51" s="65">
        <v>16.8</v>
      </c>
      <c r="F51" s="65">
        <v>16.8</v>
      </c>
      <c r="G51" s="65">
        <v>33.200000000000003</v>
      </c>
      <c r="H51" s="65">
        <v>34.200000000000003</v>
      </c>
      <c r="I51" s="65">
        <v>46</v>
      </c>
      <c r="J51" s="65">
        <v>59</v>
      </c>
      <c r="K51" s="65">
        <v>55</v>
      </c>
      <c r="L51" s="65">
        <v>65.900000000000006</v>
      </c>
      <c r="M51" s="65">
        <v>55.7</v>
      </c>
      <c r="N51" s="65">
        <v>45</v>
      </c>
      <c r="O51" s="65">
        <v>34.200000000000003</v>
      </c>
      <c r="P51" s="65">
        <v>34.299999999999997</v>
      </c>
      <c r="Q51" s="65">
        <v>45.4</v>
      </c>
      <c r="R51" s="65">
        <v>32.1</v>
      </c>
      <c r="S51" s="65">
        <v>16.399999999999999</v>
      </c>
      <c r="T51" s="65">
        <v>0</v>
      </c>
      <c r="U51" s="65">
        <v>0</v>
      </c>
      <c r="V51" s="65">
        <v>0</v>
      </c>
      <c r="W51" s="65">
        <v>0</v>
      </c>
      <c r="X51" s="65">
        <v>23</v>
      </c>
      <c r="Y51" s="45">
        <v>61.6</v>
      </c>
      <c r="Z51" s="45">
        <v>61.2</v>
      </c>
      <c r="AA51" s="45">
        <v>69</v>
      </c>
      <c r="AB51" s="45">
        <v>60.3</v>
      </c>
      <c r="AC51" s="45">
        <v>60.4</v>
      </c>
      <c r="AD51" s="45">
        <v>62</v>
      </c>
      <c r="AE51" s="45">
        <v>61</v>
      </c>
      <c r="AF51" s="45">
        <v>34.5</v>
      </c>
      <c r="AG51" s="54">
        <v>69</v>
      </c>
      <c r="AH51" s="47">
        <f t="shared" si="2"/>
        <v>69</v>
      </c>
      <c r="AI51" s="48">
        <f t="shared" si="3"/>
        <v>0</v>
      </c>
      <c r="AK51" s="49"/>
    </row>
    <row r="52" spans="1:41" x14ac:dyDescent="0.25">
      <c r="A52" s="53" t="s">
        <v>60</v>
      </c>
      <c r="B52" s="65">
        <v>50.4</v>
      </c>
      <c r="C52" s="65">
        <v>44.3</v>
      </c>
      <c r="D52" s="65">
        <v>44.3</v>
      </c>
      <c r="E52" s="65">
        <v>45.3</v>
      </c>
      <c r="F52" s="65">
        <v>45.3</v>
      </c>
      <c r="G52" s="65">
        <v>45.3</v>
      </c>
      <c r="H52" s="65">
        <v>45.3</v>
      </c>
      <c r="I52" s="65">
        <v>45.3</v>
      </c>
      <c r="J52" s="65">
        <v>45.3</v>
      </c>
      <c r="K52" s="65">
        <v>45.3</v>
      </c>
      <c r="L52" s="65">
        <v>45.3</v>
      </c>
      <c r="M52" s="65">
        <v>45.3</v>
      </c>
      <c r="N52" s="65">
        <v>45</v>
      </c>
      <c r="O52" s="65">
        <v>45.3</v>
      </c>
      <c r="P52" s="65">
        <v>45</v>
      </c>
      <c r="Q52" s="65">
        <v>45.1</v>
      </c>
      <c r="R52" s="65">
        <v>45.3</v>
      </c>
      <c r="S52" s="65">
        <v>42.6</v>
      </c>
      <c r="T52" s="65">
        <v>42.6</v>
      </c>
      <c r="U52" s="65">
        <v>42.6</v>
      </c>
      <c r="V52" s="65">
        <v>42.6</v>
      </c>
      <c r="W52" s="65">
        <v>42.6</v>
      </c>
      <c r="X52" s="65">
        <v>42.6</v>
      </c>
      <c r="Y52" s="65">
        <v>42.6</v>
      </c>
      <c r="Z52" s="65">
        <v>42.6</v>
      </c>
      <c r="AA52" s="65">
        <v>42.6</v>
      </c>
      <c r="AB52" s="65">
        <v>42.6</v>
      </c>
      <c r="AC52" s="65">
        <v>42.6</v>
      </c>
      <c r="AD52" s="65">
        <v>42.6</v>
      </c>
      <c r="AE52" s="65">
        <v>42.6</v>
      </c>
      <c r="AF52" s="65">
        <v>42.6</v>
      </c>
      <c r="AG52" s="54">
        <v>60</v>
      </c>
      <c r="AH52" s="47">
        <f t="shared" si="2"/>
        <v>50.4</v>
      </c>
      <c r="AI52" s="48">
        <f t="shared" si="3"/>
        <v>42.6</v>
      </c>
      <c r="AK52" s="49"/>
    </row>
    <row r="53" spans="1:41" x14ac:dyDescent="0.25">
      <c r="A53" s="53" t="s">
        <v>61</v>
      </c>
      <c r="B53" s="65">
        <v>13</v>
      </c>
      <c r="C53" s="65">
        <v>10</v>
      </c>
      <c r="D53" s="65">
        <v>10</v>
      </c>
      <c r="E53" s="65">
        <v>0</v>
      </c>
      <c r="F53" s="65">
        <v>0</v>
      </c>
      <c r="G53" s="65">
        <v>0</v>
      </c>
      <c r="H53" s="65">
        <v>0</v>
      </c>
      <c r="I53" s="65">
        <v>13</v>
      </c>
      <c r="J53" s="65">
        <v>15</v>
      </c>
      <c r="K53" s="65">
        <v>15</v>
      </c>
      <c r="L53" s="65">
        <v>13</v>
      </c>
      <c r="M53" s="65">
        <v>13</v>
      </c>
      <c r="N53" s="65">
        <v>10</v>
      </c>
      <c r="O53" s="65">
        <v>10</v>
      </c>
      <c r="P53" s="65">
        <v>15</v>
      </c>
      <c r="Q53" s="65">
        <v>13.3</v>
      </c>
      <c r="R53" s="65">
        <v>13.4</v>
      </c>
      <c r="S53" s="65">
        <v>13.3</v>
      </c>
      <c r="T53" s="65">
        <v>13.3</v>
      </c>
      <c r="U53" s="65">
        <v>13.3</v>
      </c>
      <c r="V53" s="65">
        <v>0</v>
      </c>
      <c r="W53" s="65">
        <v>0</v>
      </c>
      <c r="X53" s="65">
        <v>0</v>
      </c>
      <c r="Y53" s="65">
        <v>14</v>
      </c>
      <c r="Z53" s="65">
        <v>25</v>
      </c>
      <c r="AA53" s="65">
        <v>28.5</v>
      </c>
      <c r="AB53" s="65">
        <v>14.8</v>
      </c>
      <c r="AC53" s="65">
        <v>10</v>
      </c>
      <c r="AD53" s="65">
        <v>0</v>
      </c>
      <c r="AE53" s="65">
        <v>0</v>
      </c>
      <c r="AF53" s="65">
        <v>0</v>
      </c>
      <c r="AG53" s="54">
        <v>30</v>
      </c>
      <c r="AH53" s="47">
        <f t="shared" si="2"/>
        <v>28.5</v>
      </c>
      <c r="AI53" s="48">
        <f t="shared" si="3"/>
        <v>0</v>
      </c>
      <c r="AK53" s="49"/>
    </row>
    <row r="54" spans="1:41" x14ac:dyDescent="0.25">
      <c r="A54" s="53" t="s">
        <v>62</v>
      </c>
      <c r="B54" s="65">
        <v>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6</v>
      </c>
      <c r="T54" s="65">
        <v>6</v>
      </c>
      <c r="U54" s="65">
        <v>6</v>
      </c>
      <c r="V54" s="65">
        <v>6</v>
      </c>
      <c r="W54" s="65">
        <v>6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6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16</v>
      </c>
      <c r="C55" s="65">
        <v>16</v>
      </c>
      <c r="D55" s="65">
        <v>16</v>
      </c>
      <c r="E55" s="65">
        <v>16</v>
      </c>
      <c r="F55" s="65">
        <v>16</v>
      </c>
      <c r="G55" s="65">
        <v>16</v>
      </c>
      <c r="H55" s="65">
        <v>16</v>
      </c>
      <c r="I55" s="65">
        <v>16</v>
      </c>
      <c r="J55" s="65">
        <v>16</v>
      </c>
      <c r="K55" s="65">
        <v>16</v>
      </c>
      <c r="L55" s="65">
        <v>16</v>
      </c>
      <c r="M55" s="65">
        <v>16</v>
      </c>
      <c r="N55" s="65">
        <v>16</v>
      </c>
      <c r="O55" s="65">
        <v>16</v>
      </c>
      <c r="P55" s="65">
        <v>16</v>
      </c>
      <c r="Q55" s="65">
        <v>16</v>
      </c>
      <c r="R55" s="65">
        <v>16</v>
      </c>
      <c r="S55" s="65">
        <v>16</v>
      </c>
      <c r="T55" s="65">
        <v>16</v>
      </c>
      <c r="U55" s="65">
        <v>16</v>
      </c>
      <c r="V55" s="65">
        <v>16</v>
      </c>
      <c r="W55" s="65">
        <v>16</v>
      </c>
      <c r="X55" s="65">
        <v>16</v>
      </c>
      <c r="Y55" s="65">
        <v>16</v>
      </c>
      <c r="Z55" s="65">
        <v>16</v>
      </c>
      <c r="AA55" s="65">
        <v>16</v>
      </c>
      <c r="AB55" s="65">
        <v>16</v>
      </c>
      <c r="AC55" s="65">
        <v>16</v>
      </c>
      <c r="AD55" s="65">
        <v>16</v>
      </c>
      <c r="AE55" s="65">
        <v>16</v>
      </c>
      <c r="AF55" s="65">
        <v>16</v>
      </c>
      <c r="AG55" s="54">
        <v>24</v>
      </c>
      <c r="AH55" s="47">
        <f t="shared" si="2"/>
        <v>16</v>
      </c>
      <c r="AI55" s="48">
        <f t="shared" si="3"/>
        <v>16</v>
      </c>
      <c r="AK55" s="49"/>
    </row>
    <row r="56" spans="1:41" x14ac:dyDescent="0.25">
      <c r="A56" s="53" t="s">
        <v>64</v>
      </c>
      <c r="B56" s="65">
        <v>3.3</v>
      </c>
      <c r="C56" s="65">
        <v>3.3</v>
      </c>
      <c r="D56" s="65">
        <v>3.3</v>
      </c>
      <c r="E56" s="65">
        <v>3.3</v>
      </c>
      <c r="F56" s="65">
        <v>3.3</v>
      </c>
      <c r="G56" s="65">
        <v>3.3</v>
      </c>
      <c r="H56" s="65">
        <v>3.3</v>
      </c>
      <c r="I56" s="65">
        <v>3.3</v>
      </c>
      <c r="J56" s="65">
        <v>3.3</v>
      </c>
      <c r="K56" s="65">
        <v>3.3</v>
      </c>
      <c r="L56" s="65">
        <v>3.3</v>
      </c>
      <c r="M56" s="65">
        <v>3.3</v>
      </c>
      <c r="N56" s="65">
        <v>3.3</v>
      </c>
      <c r="O56" s="65">
        <v>3.3</v>
      </c>
      <c r="P56" s="65">
        <v>3.3</v>
      </c>
      <c r="Q56" s="65">
        <v>3.3</v>
      </c>
      <c r="R56" s="65">
        <v>3.3</v>
      </c>
      <c r="S56" s="65">
        <v>3.3</v>
      </c>
      <c r="T56" s="65">
        <v>3.3</v>
      </c>
      <c r="U56" s="65">
        <v>3.3</v>
      </c>
      <c r="V56" s="65">
        <v>3.3</v>
      </c>
      <c r="W56" s="65">
        <v>3.3</v>
      </c>
      <c r="X56" s="65">
        <v>3.3</v>
      </c>
      <c r="Y56" s="65">
        <v>3.3</v>
      </c>
      <c r="Z56" s="65">
        <v>3.3</v>
      </c>
      <c r="AA56" s="65">
        <v>3.3</v>
      </c>
      <c r="AB56" s="65">
        <v>3.3</v>
      </c>
      <c r="AC56" s="65">
        <v>3.3</v>
      </c>
      <c r="AD56" s="65">
        <v>3.3</v>
      </c>
      <c r="AE56" s="65">
        <v>3.3</v>
      </c>
      <c r="AF56" s="65">
        <v>3.3</v>
      </c>
      <c r="AG56" s="54">
        <v>15</v>
      </c>
      <c r="AH56" s="47">
        <f t="shared" si="2"/>
        <v>3.3</v>
      </c>
      <c r="AI56" s="48">
        <f t="shared" si="3"/>
        <v>3.3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9.6</v>
      </c>
      <c r="C57" s="65">
        <v>11.5</v>
      </c>
      <c r="D57" s="65">
        <v>11.5</v>
      </c>
      <c r="E57" s="65">
        <v>11.5</v>
      </c>
      <c r="F57" s="65">
        <v>11.5</v>
      </c>
      <c r="G57" s="65">
        <v>11.5</v>
      </c>
      <c r="H57" s="65">
        <v>11.5</v>
      </c>
      <c r="I57" s="65">
        <v>11.5</v>
      </c>
      <c r="J57" s="65">
        <v>11.5</v>
      </c>
      <c r="K57" s="65">
        <v>11.5</v>
      </c>
      <c r="L57" s="65">
        <v>11.5</v>
      </c>
      <c r="M57" s="65">
        <v>11.5</v>
      </c>
      <c r="N57" s="65">
        <v>11.5</v>
      </c>
      <c r="O57" s="65">
        <v>11.5</v>
      </c>
      <c r="P57" s="65">
        <v>11.5</v>
      </c>
      <c r="Q57" s="65">
        <v>11.8</v>
      </c>
      <c r="R57" s="65">
        <v>11.8</v>
      </c>
      <c r="S57" s="65">
        <v>11.8</v>
      </c>
      <c r="T57" s="65">
        <v>11.8</v>
      </c>
      <c r="U57" s="65">
        <v>11.8</v>
      </c>
      <c r="V57" s="65">
        <v>11.8</v>
      </c>
      <c r="W57" s="65">
        <v>11.8</v>
      </c>
      <c r="X57" s="65">
        <v>11.8</v>
      </c>
      <c r="Y57" s="65">
        <v>11.8</v>
      </c>
      <c r="Z57" s="65">
        <v>11.8</v>
      </c>
      <c r="AA57" s="65">
        <v>11.8</v>
      </c>
      <c r="AB57" s="65">
        <v>11.7</v>
      </c>
      <c r="AC57" s="65">
        <v>11</v>
      </c>
      <c r="AD57" s="65">
        <v>11</v>
      </c>
      <c r="AE57" s="65">
        <v>11</v>
      </c>
      <c r="AF57" s="65">
        <v>11</v>
      </c>
      <c r="AG57" s="54">
        <v>14.1</v>
      </c>
      <c r="AH57" s="47">
        <f t="shared" si="2"/>
        <v>11.8</v>
      </c>
      <c r="AI57" s="48">
        <f t="shared" si="3"/>
        <v>9.6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5</v>
      </c>
      <c r="C58" s="65">
        <v>3</v>
      </c>
      <c r="D58" s="65">
        <v>3</v>
      </c>
      <c r="E58" s="65">
        <v>3</v>
      </c>
      <c r="F58" s="65">
        <v>3</v>
      </c>
      <c r="G58" s="65">
        <v>3</v>
      </c>
      <c r="H58" s="65">
        <v>3</v>
      </c>
      <c r="I58" s="65">
        <v>3</v>
      </c>
      <c r="J58" s="65">
        <v>3</v>
      </c>
      <c r="K58" s="65">
        <v>3</v>
      </c>
      <c r="L58" s="65">
        <v>3</v>
      </c>
      <c r="M58" s="65">
        <v>3</v>
      </c>
      <c r="N58" s="65">
        <v>3</v>
      </c>
      <c r="O58" s="65">
        <v>3</v>
      </c>
      <c r="P58" s="65">
        <v>3</v>
      </c>
      <c r="Q58" s="65">
        <v>3</v>
      </c>
      <c r="R58" s="65">
        <v>3</v>
      </c>
      <c r="S58" s="65">
        <v>3</v>
      </c>
      <c r="T58" s="65">
        <v>3</v>
      </c>
      <c r="U58" s="65">
        <v>3</v>
      </c>
      <c r="V58" s="65">
        <v>3</v>
      </c>
      <c r="W58" s="65">
        <v>3</v>
      </c>
      <c r="X58" s="65">
        <v>3</v>
      </c>
      <c r="Y58" s="65">
        <v>3</v>
      </c>
      <c r="Z58" s="65">
        <v>3</v>
      </c>
      <c r="AA58" s="65">
        <v>3</v>
      </c>
      <c r="AB58" s="65">
        <v>3</v>
      </c>
      <c r="AC58" s="65">
        <v>3</v>
      </c>
      <c r="AD58" s="65">
        <v>3</v>
      </c>
      <c r="AE58" s="65">
        <v>3</v>
      </c>
      <c r="AF58" s="65">
        <v>3</v>
      </c>
      <c r="AG58" s="54">
        <v>14</v>
      </c>
      <c r="AH58" s="47">
        <f t="shared" si="2"/>
        <v>5</v>
      </c>
      <c r="AI58" s="48">
        <f t="shared" si="3"/>
        <v>3</v>
      </c>
      <c r="AK58" s="49"/>
    </row>
    <row r="59" spans="1:41" x14ac:dyDescent="0.25">
      <c r="A59" s="53" t="s">
        <v>67</v>
      </c>
      <c r="B59" s="65">
        <v>5.2</v>
      </c>
      <c r="C59" s="65">
        <v>5.2</v>
      </c>
      <c r="D59" s="65">
        <v>5.2</v>
      </c>
      <c r="E59" s="65">
        <v>5.2</v>
      </c>
      <c r="F59" s="65">
        <v>5.2</v>
      </c>
      <c r="G59" s="65">
        <v>5.2</v>
      </c>
      <c r="H59" s="65">
        <v>5.2</v>
      </c>
      <c r="I59" s="65">
        <v>5.2</v>
      </c>
      <c r="J59" s="65">
        <v>5.2</v>
      </c>
      <c r="K59" s="65">
        <v>5.2</v>
      </c>
      <c r="L59" s="65">
        <v>0</v>
      </c>
      <c r="M59" s="65">
        <v>5.2</v>
      </c>
      <c r="N59" s="65">
        <v>5.2</v>
      </c>
      <c r="O59" s="65">
        <v>5.2</v>
      </c>
      <c r="P59" s="65">
        <v>5.2</v>
      </c>
      <c r="Q59" s="65">
        <v>5.2</v>
      </c>
      <c r="R59" s="65">
        <v>5.2</v>
      </c>
      <c r="S59" s="65">
        <v>5.2</v>
      </c>
      <c r="T59" s="65">
        <v>5.2</v>
      </c>
      <c r="U59" s="65">
        <v>5.2</v>
      </c>
      <c r="V59" s="65">
        <v>5.2</v>
      </c>
      <c r="W59" s="65">
        <v>5.2</v>
      </c>
      <c r="X59" s="65">
        <v>5.2</v>
      </c>
      <c r="Y59" s="65">
        <v>5.2</v>
      </c>
      <c r="Z59" s="65">
        <v>5.2</v>
      </c>
      <c r="AA59" s="65">
        <v>5.2</v>
      </c>
      <c r="AB59" s="65">
        <v>5.3</v>
      </c>
      <c r="AC59" s="65">
        <v>5.3</v>
      </c>
      <c r="AD59" s="65">
        <v>5.3</v>
      </c>
      <c r="AE59" s="65">
        <v>5.3</v>
      </c>
      <c r="AF59" s="65">
        <v>5.3</v>
      </c>
      <c r="AG59" s="54">
        <v>10.050000000000001</v>
      </c>
      <c r="AH59" s="47">
        <f t="shared" si="2"/>
        <v>5.3</v>
      </c>
      <c r="AI59" s="48">
        <f t="shared" si="3"/>
        <v>0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 t="shared" ref="B62:AG62" si="8">SUM(B49:B61)</f>
        <v>171.64</v>
      </c>
      <c r="C62" s="60">
        <f t="shared" si="8"/>
        <v>117.04</v>
      </c>
      <c r="D62" s="60">
        <f t="shared" si="8"/>
        <v>152.43999999999997</v>
      </c>
      <c r="E62" s="60">
        <f t="shared" si="8"/>
        <v>107.84</v>
      </c>
      <c r="F62" s="60">
        <f t="shared" si="8"/>
        <v>107.84</v>
      </c>
      <c r="G62" s="60">
        <f t="shared" si="8"/>
        <v>124.24000000000001</v>
      </c>
      <c r="H62" s="60">
        <f t="shared" si="8"/>
        <v>147.33999999999995</v>
      </c>
      <c r="I62" s="60">
        <f t="shared" si="8"/>
        <v>192.43999999999997</v>
      </c>
      <c r="J62" s="60">
        <f t="shared" si="8"/>
        <v>275.84000000000003</v>
      </c>
      <c r="K62" s="60">
        <f t="shared" si="8"/>
        <v>288.34000000000003</v>
      </c>
      <c r="L62" s="60">
        <f t="shared" si="8"/>
        <v>323.84000000000003</v>
      </c>
      <c r="M62" s="60">
        <f t="shared" si="8"/>
        <v>293.24</v>
      </c>
      <c r="N62" s="60">
        <f t="shared" si="8"/>
        <v>253.93999999999997</v>
      </c>
      <c r="O62" s="60">
        <f t="shared" si="8"/>
        <v>223.43999999999997</v>
      </c>
      <c r="P62" s="60">
        <f t="shared" si="8"/>
        <v>236.63999999999996</v>
      </c>
      <c r="Q62" s="60">
        <f t="shared" ref="Q62" si="9">SUM(Q49:Q61)</f>
        <v>296.14000000000004</v>
      </c>
      <c r="R62" s="60">
        <f t="shared" si="8"/>
        <v>277.33999999999997</v>
      </c>
      <c r="S62" s="60">
        <f t="shared" si="8"/>
        <v>265.34000000000003</v>
      </c>
      <c r="T62" s="60">
        <f t="shared" si="8"/>
        <v>200.54</v>
      </c>
      <c r="U62" s="60">
        <f t="shared" si="8"/>
        <v>209.94</v>
      </c>
      <c r="V62" s="60">
        <f t="shared" si="8"/>
        <v>188.64</v>
      </c>
      <c r="W62" s="60">
        <f t="shared" si="8"/>
        <v>182.14</v>
      </c>
      <c r="X62" s="60">
        <f t="shared" si="8"/>
        <v>274.14</v>
      </c>
      <c r="Y62" s="60">
        <v>363.84000000000003</v>
      </c>
      <c r="Z62" s="60">
        <f t="shared" si="8"/>
        <v>363.44000000000005</v>
      </c>
      <c r="AA62" s="60">
        <f t="shared" si="8"/>
        <v>354.54</v>
      </c>
      <c r="AB62" s="60">
        <f t="shared" si="8"/>
        <v>298.94</v>
      </c>
      <c r="AC62" s="60">
        <f t="shared" si="8"/>
        <v>280.14000000000004</v>
      </c>
      <c r="AD62" s="60">
        <f t="shared" si="8"/>
        <v>250.94</v>
      </c>
      <c r="AE62" s="60">
        <f t="shared" si="8"/>
        <v>198.94</v>
      </c>
      <c r="AF62" s="60">
        <f t="shared" si="8"/>
        <v>153.43999999999997</v>
      </c>
      <c r="AG62" s="61">
        <f t="shared" si="8"/>
        <v>489.91</v>
      </c>
      <c r="AH62" s="47">
        <f t="shared" si="2"/>
        <v>363.84000000000003</v>
      </c>
      <c r="AI62" s="48">
        <f t="shared" si="3"/>
        <v>107.84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60</v>
      </c>
      <c r="U63" s="45">
        <v>55</v>
      </c>
      <c r="V63" s="45">
        <v>60</v>
      </c>
      <c r="W63" s="45">
        <v>59.5</v>
      </c>
      <c r="X63" s="45">
        <v>48.7</v>
      </c>
      <c r="Y63" s="45">
        <v>59</v>
      </c>
      <c r="Z63" s="45">
        <v>54</v>
      </c>
      <c r="AA63" s="45">
        <v>40.4</v>
      </c>
      <c r="AB63" s="45">
        <v>13.7</v>
      </c>
      <c r="AC63" s="45">
        <v>29</v>
      </c>
      <c r="AD63" s="45">
        <v>29</v>
      </c>
      <c r="AE63" s="45">
        <v>28.9</v>
      </c>
      <c r="AF63" s="45">
        <v>0</v>
      </c>
      <c r="AG63" s="51">
        <v>60</v>
      </c>
      <c r="AH63" s="47">
        <f t="shared" si="2"/>
        <v>60</v>
      </c>
      <c r="AI63" s="48">
        <f t="shared" si="3"/>
        <v>0</v>
      </c>
      <c r="AK63" s="49"/>
    </row>
    <row r="64" spans="1:41" x14ac:dyDescent="0.25">
      <c r="A64" s="53" t="s">
        <v>72</v>
      </c>
      <c r="B64" s="45">
        <v>0</v>
      </c>
      <c r="C64" s="45">
        <v>0</v>
      </c>
      <c r="D64" s="45">
        <v>0</v>
      </c>
      <c r="E64" s="45">
        <v>0</v>
      </c>
      <c r="F64" s="45">
        <v>0</v>
      </c>
      <c r="G64" s="45">
        <v>0</v>
      </c>
      <c r="H64" s="4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3.3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25</v>
      </c>
      <c r="U64" s="65">
        <v>25</v>
      </c>
      <c r="V64" s="65">
        <v>28</v>
      </c>
      <c r="W64" s="65">
        <v>27.4</v>
      </c>
      <c r="X64" s="65">
        <v>23.5</v>
      </c>
      <c r="Y64" s="65">
        <v>27</v>
      </c>
      <c r="Z64" s="65">
        <v>24.8</v>
      </c>
      <c r="AA64" s="65">
        <v>17</v>
      </c>
      <c r="AB64" s="65">
        <v>5.4</v>
      </c>
      <c r="AC64" s="65">
        <v>12.9</v>
      </c>
      <c r="AD64" s="65">
        <v>12.9</v>
      </c>
      <c r="AE64" s="65">
        <v>13.6</v>
      </c>
      <c r="AF64" s="45">
        <v>0</v>
      </c>
      <c r="AG64" s="54">
        <v>32</v>
      </c>
      <c r="AH64" s="47">
        <f t="shared" si="2"/>
        <v>28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45">
        <v>0</v>
      </c>
      <c r="C65" s="45">
        <v>0</v>
      </c>
      <c r="D65" s="45">
        <v>0</v>
      </c>
      <c r="E65" s="45">
        <v>0</v>
      </c>
      <c r="F65" s="45">
        <v>0</v>
      </c>
      <c r="G65" s="45">
        <v>0</v>
      </c>
      <c r="H65" s="45">
        <v>0</v>
      </c>
      <c r="I65" s="67">
        <v>0</v>
      </c>
      <c r="J65" s="67">
        <v>0</v>
      </c>
      <c r="K65" s="67">
        <v>0</v>
      </c>
      <c r="L65" s="67">
        <v>0</v>
      </c>
      <c r="M65" s="67">
        <v>1.2</v>
      </c>
      <c r="N65" s="67">
        <v>0</v>
      </c>
      <c r="O65" s="67">
        <v>0</v>
      </c>
      <c r="P65" s="67">
        <v>0</v>
      </c>
      <c r="Q65" s="67">
        <v>0</v>
      </c>
      <c r="R65" s="67">
        <v>0</v>
      </c>
      <c r="S65" s="67">
        <v>0</v>
      </c>
      <c r="T65" s="67">
        <v>0</v>
      </c>
      <c r="U65" s="67">
        <v>9.3000000000000007</v>
      </c>
      <c r="V65" s="67">
        <v>10</v>
      </c>
      <c r="W65" s="67">
        <v>10</v>
      </c>
      <c r="X65" s="67">
        <v>8.6</v>
      </c>
      <c r="Y65" s="67">
        <v>9.9600000000000009</v>
      </c>
      <c r="Z65" s="67">
        <v>9</v>
      </c>
      <c r="AA65" s="67">
        <v>6.2</v>
      </c>
      <c r="AB65" s="67">
        <v>2</v>
      </c>
      <c r="AC65" s="67">
        <v>4.7</v>
      </c>
      <c r="AD65" s="67">
        <v>4.7</v>
      </c>
      <c r="AE65" s="67">
        <v>5</v>
      </c>
      <c r="AF65" s="45">
        <v>0</v>
      </c>
      <c r="AG65" s="68">
        <v>14</v>
      </c>
      <c r="AH65" s="47">
        <f t="shared" si="2"/>
        <v>10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f t="shared" ref="B66:D66" si="10">B63+B64+B65</f>
        <v>0</v>
      </c>
      <c r="C66" s="60">
        <f t="shared" si="10"/>
        <v>0</v>
      </c>
      <c r="D66" s="60">
        <f t="shared" si="10"/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0</v>
      </c>
      <c r="M66" s="60">
        <f t="shared" ref="M66:AF66" si="11">M63+M64+M65</f>
        <v>4.5</v>
      </c>
      <c r="N66" s="60">
        <f t="shared" si="11"/>
        <v>0</v>
      </c>
      <c r="O66" s="60">
        <f t="shared" si="11"/>
        <v>0</v>
      </c>
      <c r="P66" s="60">
        <f t="shared" si="11"/>
        <v>0</v>
      </c>
      <c r="Q66" s="60">
        <f t="shared" ref="Q66" si="12">Q63+Q64+Q65</f>
        <v>0</v>
      </c>
      <c r="R66" s="60">
        <f t="shared" si="11"/>
        <v>0</v>
      </c>
      <c r="S66" s="60">
        <f t="shared" si="11"/>
        <v>0</v>
      </c>
      <c r="T66" s="60">
        <f t="shared" si="11"/>
        <v>85</v>
      </c>
      <c r="U66" s="60">
        <f t="shared" si="11"/>
        <v>89.3</v>
      </c>
      <c r="V66" s="60">
        <f t="shared" si="11"/>
        <v>98</v>
      </c>
      <c r="W66" s="60">
        <f t="shared" si="11"/>
        <v>96.9</v>
      </c>
      <c r="X66" s="60">
        <f t="shared" si="11"/>
        <v>80.8</v>
      </c>
      <c r="Y66" s="60">
        <v>78.900000000000006</v>
      </c>
      <c r="Z66" s="60">
        <f t="shared" si="11"/>
        <v>87.8</v>
      </c>
      <c r="AA66" s="60">
        <f t="shared" si="11"/>
        <v>63.6</v>
      </c>
      <c r="AB66" s="60">
        <f t="shared" si="11"/>
        <v>21.1</v>
      </c>
      <c r="AC66" s="60">
        <f t="shared" si="11"/>
        <v>46.6</v>
      </c>
      <c r="AD66" s="60">
        <f t="shared" si="11"/>
        <v>46.6</v>
      </c>
      <c r="AE66" s="60">
        <f t="shared" si="11"/>
        <v>47.5</v>
      </c>
      <c r="AF66" s="60">
        <f t="shared" si="11"/>
        <v>0</v>
      </c>
      <c r="AG66" s="61">
        <f>SUM(AG63:AG65)</f>
        <v>106</v>
      </c>
      <c r="AH66" s="47">
        <f t="shared" si="2"/>
        <v>98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58</v>
      </c>
      <c r="C67" s="45">
        <v>57.2</v>
      </c>
      <c r="D67" s="45">
        <v>59</v>
      </c>
      <c r="E67" s="45">
        <v>62.4</v>
      </c>
      <c r="F67" s="45">
        <v>67</v>
      </c>
      <c r="G67" s="45">
        <v>62.7</v>
      </c>
      <c r="H67" s="45">
        <v>68.7</v>
      </c>
      <c r="I67" s="45">
        <v>64.8</v>
      </c>
      <c r="J67" s="45">
        <v>72</v>
      </c>
      <c r="K67" s="45">
        <v>67</v>
      </c>
      <c r="L67" s="45">
        <v>69.5</v>
      </c>
      <c r="M67" s="45">
        <v>67.400000000000006</v>
      </c>
      <c r="N67" s="45">
        <v>63</v>
      </c>
      <c r="O67" s="45">
        <v>71</v>
      </c>
      <c r="P67" s="45">
        <v>62.3</v>
      </c>
      <c r="Q67" s="45">
        <v>68</v>
      </c>
      <c r="R67" s="45">
        <v>66.2</v>
      </c>
      <c r="S67" s="45">
        <v>65.5</v>
      </c>
      <c r="T67" s="45">
        <v>58</v>
      </c>
      <c r="U67" s="45">
        <v>68</v>
      </c>
      <c r="V67" s="45">
        <v>63</v>
      </c>
      <c r="W67" s="45">
        <v>65.5</v>
      </c>
      <c r="X67" s="45">
        <v>65</v>
      </c>
      <c r="Y67" s="45">
        <v>57.6</v>
      </c>
      <c r="Z67" s="45">
        <v>23.9</v>
      </c>
      <c r="AA67" s="45">
        <v>47.2</v>
      </c>
      <c r="AB67" s="45">
        <v>49.2</v>
      </c>
      <c r="AC67" s="45">
        <v>66.2</v>
      </c>
      <c r="AD67" s="45">
        <v>68.599999999999994</v>
      </c>
      <c r="AE67" s="45">
        <v>65.3</v>
      </c>
      <c r="AF67" s="45">
        <v>60</v>
      </c>
      <c r="AG67" s="51"/>
      <c r="AH67" s="47">
        <f t="shared" si="2"/>
        <v>72</v>
      </c>
      <c r="AI67" s="48">
        <f t="shared" si="3"/>
        <v>23.9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295.39999999999998</v>
      </c>
      <c r="C69" s="65">
        <v>303.7</v>
      </c>
      <c r="D69" s="65">
        <v>278</v>
      </c>
      <c r="E69" s="65">
        <v>273</v>
      </c>
      <c r="F69" s="65">
        <v>277</v>
      </c>
      <c r="G69" s="65">
        <v>284.60000000000002</v>
      </c>
      <c r="H69" s="65">
        <v>294</v>
      </c>
      <c r="I69" s="65">
        <v>290.39999999999998</v>
      </c>
      <c r="J69" s="65">
        <v>309</v>
      </c>
      <c r="K69" s="65">
        <v>288</v>
      </c>
      <c r="L69" s="65">
        <v>273</v>
      </c>
      <c r="M69" s="65">
        <v>268.7</v>
      </c>
      <c r="N69" s="65">
        <v>271.2</v>
      </c>
      <c r="O69" s="65">
        <v>274</v>
      </c>
      <c r="P69" s="65">
        <v>288.5</v>
      </c>
      <c r="Q69" s="65">
        <v>310</v>
      </c>
      <c r="R69" s="65">
        <v>334</v>
      </c>
      <c r="S69" s="65">
        <v>340</v>
      </c>
      <c r="T69" s="65">
        <v>350</v>
      </c>
      <c r="U69" s="65">
        <v>335</v>
      </c>
      <c r="V69" s="65">
        <v>305</v>
      </c>
      <c r="W69" s="65">
        <v>323.2</v>
      </c>
      <c r="X69" s="65">
        <v>296</v>
      </c>
      <c r="Y69" s="65">
        <v>244</v>
      </c>
      <c r="Z69" s="65">
        <v>50</v>
      </c>
      <c r="AA69" s="65">
        <v>81.599999999999994</v>
      </c>
      <c r="AB69" s="65">
        <v>228.2</v>
      </c>
      <c r="AC69" s="65">
        <v>276</v>
      </c>
      <c r="AD69" s="65">
        <v>284</v>
      </c>
      <c r="AE69" s="65">
        <v>293</v>
      </c>
      <c r="AF69" s="65">
        <v>330</v>
      </c>
      <c r="AG69" s="75"/>
      <c r="AH69" s="47">
        <f t="shared" si="2"/>
        <v>350</v>
      </c>
      <c r="AI69" s="48">
        <f t="shared" si="3"/>
        <v>50</v>
      </c>
      <c r="AK69" s="49"/>
    </row>
    <row r="70" spans="1:40" x14ac:dyDescent="0.25">
      <c r="A70" s="53" t="s">
        <v>78</v>
      </c>
      <c r="B70" s="65">
        <v>62</v>
      </c>
      <c r="C70" s="65">
        <v>61</v>
      </c>
      <c r="D70" s="65">
        <v>64</v>
      </c>
      <c r="E70" s="65">
        <v>58.6</v>
      </c>
      <c r="F70" s="65">
        <v>59.6</v>
      </c>
      <c r="G70" s="65">
        <v>57.2</v>
      </c>
      <c r="H70" s="65">
        <v>66</v>
      </c>
      <c r="I70" s="65">
        <v>67.099999999999994</v>
      </c>
      <c r="J70" s="65">
        <v>66.8</v>
      </c>
      <c r="K70" s="65">
        <v>59.4</v>
      </c>
      <c r="L70" s="65">
        <v>53.4</v>
      </c>
      <c r="M70" s="76">
        <v>59.2</v>
      </c>
      <c r="N70" s="76">
        <v>64</v>
      </c>
      <c r="O70" s="76">
        <v>65.400000000000006</v>
      </c>
      <c r="P70" s="76">
        <v>63</v>
      </c>
      <c r="Q70" s="76">
        <v>67.599999999999994</v>
      </c>
      <c r="R70" s="76">
        <v>60.2</v>
      </c>
      <c r="S70" s="76">
        <v>65.900000000000006</v>
      </c>
      <c r="T70" s="76">
        <v>62</v>
      </c>
      <c r="U70" s="76">
        <v>68</v>
      </c>
      <c r="V70" s="76">
        <v>63</v>
      </c>
      <c r="W70" s="76">
        <v>41</v>
      </c>
      <c r="X70" s="76">
        <v>47</v>
      </c>
      <c r="Y70" s="65">
        <v>52.2</v>
      </c>
      <c r="Z70" s="65">
        <v>53</v>
      </c>
      <c r="AA70" s="65">
        <v>50.2</v>
      </c>
      <c r="AB70" s="65">
        <v>51.4</v>
      </c>
      <c r="AC70" s="65">
        <v>53.2</v>
      </c>
      <c r="AD70" s="65">
        <v>46.8</v>
      </c>
      <c r="AE70" s="65">
        <v>53.3</v>
      </c>
      <c r="AF70" s="65">
        <v>48.2</v>
      </c>
      <c r="AG70" s="75"/>
      <c r="AH70" s="47">
        <f t="shared" si="2"/>
        <v>68</v>
      </c>
      <c r="AI70" s="48">
        <f t="shared" si="3"/>
        <v>41</v>
      </c>
      <c r="AK70" s="49"/>
    </row>
    <row r="71" spans="1:40" x14ac:dyDescent="0.25">
      <c r="A71" s="53" t="s">
        <v>79</v>
      </c>
      <c r="B71" s="45">
        <v>27</v>
      </c>
      <c r="C71" s="45">
        <v>26</v>
      </c>
      <c r="D71" s="45">
        <v>26</v>
      </c>
      <c r="E71" s="45">
        <v>25</v>
      </c>
      <c r="F71" s="45">
        <v>26</v>
      </c>
      <c r="G71" s="45">
        <v>26</v>
      </c>
      <c r="H71" s="45">
        <v>26</v>
      </c>
      <c r="I71" s="45">
        <v>28</v>
      </c>
      <c r="J71" s="45">
        <v>29</v>
      </c>
      <c r="K71" s="45">
        <v>30</v>
      </c>
      <c r="L71" s="45">
        <v>30</v>
      </c>
      <c r="M71" s="45">
        <v>30</v>
      </c>
      <c r="N71" s="45">
        <v>40</v>
      </c>
      <c r="O71" s="45">
        <v>68</v>
      </c>
      <c r="P71" s="45">
        <v>25</v>
      </c>
      <c r="Q71" s="45">
        <v>28</v>
      </c>
      <c r="R71" s="45">
        <v>28</v>
      </c>
      <c r="S71" s="45">
        <v>30</v>
      </c>
      <c r="T71" s="45">
        <v>30</v>
      </c>
      <c r="U71" s="45">
        <v>30</v>
      </c>
      <c r="V71" s="45">
        <v>30</v>
      </c>
      <c r="W71" s="45">
        <v>30</v>
      </c>
      <c r="X71" s="45">
        <v>24</v>
      </c>
      <c r="Y71" s="45">
        <v>24</v>
      </c>
      <c r="Z71" s="45">
        <v>24</v>
      </c>
      <c r="AA71" s="45">
        <v>24</v>
      </c>
      <c r="AB71" s="45">
        <v>26</v>
      </c>
      <c r="AC71" s="45">
        <v>22</v>
      </c>
      <c r="AD71" s="45">
        <v>22</v>
      </c>
      <c r="AE71" s="45">
        <v>22</v>
      </c>
      <c r="AF71" s="45">
        <v>23</v>
      </c>
      <c r="AG71" s="75"/>
      <c r="AH71" s="47">
        <f t="shared" si="2"/>
        <v>68</v>
      </c>
      <c r="AI71" s="48">
        <f t="shared" si="3"/>
        <v>22</v>
      </c>
      <c r="AK71" s="49"/>
    </row>
    <row r="72" spans="1:40" x14ac:dyDescent="0.25">
      <c r="A72" s="53" t="s">
        <v>80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0</v>
      </c>
      <c r="S72" s="77">
        <v>0</v>
      </c>
      <c r="T72" s="77">
        <v>0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0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13">MAX(B75:AF75)</f>
        <v>0</v>
      </c>
      <c r="AI75" s="48">
        <f t="shared" ref="AI75:AI113" si="14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13"/>
        <v>0</v>
      </c>
      <c r="AI76" s="48">
        <f t="shared" si="14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13"/>
        <v>0</v>
      </c>
      <c r="AI77" s="48">
        <f t="shared" si="14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F78" si="15">SUMIF(B67:B77,"&gt;0")</f>
        <v>442.4</v>
      </c>
      <c r="C78" s="60">
        <f t="shared" si="15"/>
        <v>447.9</v>
      </c>
      <c r="D78" s="60">
        <f t="shared" si="15"/>
        <v>427</v>
      </c>
      <c r="E78" s="60">
        <f t="shared" si="15"/>
        <v>419</v>
      </c>
      <c r="F78" s="60">
        <f t="shared" si="15"/>
        <v>429.6</v>
      </c>
      <c r="G78" s="60">
        <f t="shared" si="15"/>
        <v>430.5</v>
      </c>
      <c r="H78" s="60">
        <f t="shared" si="15"/>
        <v>454.7</v>
      </c>
      <c r="I78" s="60">
        <f t="shared" si="15"/>
        <v>450.29999999999995</v>
      </c>
      <c r="J78" s="60">
        <f t="shared" si="15"/>
        <v>476.8</v>
      </c>
      <c r="K78" s="60">
        <f t="shared" si="15"/>
        <v>444.4</v>
      </c>
      <c r="L78" s="60">
        <f t="shared" si="15"/>
        <v>430.9</v>
      </c>
      <c r="M78" s="60">
        <f t="shared" si="15"/>
        <v>430.3</v>
      </c>
      <c r="N78" s="60">
        <f t="shared" si="15"/>
        <v>443.2</v>
      </c>
      <c r="O78" s="60">
        <f t="shared" si="15"/>
        <v>483.4</v>
      </c>
      <c r="P78" s="60">
        <f t="shared" si="15"/>
        <v>443.8</v>
      </c>
      <c r="Q78" s="60">
        <f t="shared" ref="Q78" si="16">SUMIF(Q67:Q77,"&gt;0")</f>
        <v>478.6</v>
      </c>
      <c r="R78" s="60">
        <f t="shared" si="15"/>
        <v>488.4</v>
      </c>
      <c r="S78" s="60">
        <f t="shared" si="15"/>
        <v>501.4</v>
      </c>
      <c r="T78" s="60">
        <f t="shared" si="15"/>
        <v>500</v>
      </c>
      <c r="U78" s="60">
        <f t="shared" si="15"/>
        <v>506</v>
      </c>
      <c r="V78" s="60">
        <f t="shared" si="15"/>
        <v>466</v>
      </c>
      <c r="W78" s="60">
        <f t="shared" si="15"/>
        <v>464.7</v>
      </c>
      <c r="X78" s="60">
        <f t="shared" si="15"/>
        <v>437</v>
      </c>
      <c r="Y78" s="60">
        <v>348.6</v>
      </c>
      <c r="Z78" s="60">
        <f t="shared" si="15"/>
        <v>155.9</v>
      </c>
      <c r="AA78" s="60">
        <f t="shared" si="15"/>
        <v>208</v>
      </c>
      <c r="AB78" s="60">
        <f t="shared" si="15"/>
        <v>359.79999999999995</v>
      </c>
      <c r="AC78" s="60">
        <f t="shared" si="15"/>
        <v>422.4</v>
      </c>
      <c r="AD78" s="60">
        <f t="shared" si="15"/>
        <v>426.40000000000003</v>
      </c>
      <c r="AE78" s="60">
        <f t="shared" si="15"/>
        <v>438.6</v>
      </c>
      <c r="AF78" s="60">
        <f t="shared" si="15"/>
        <v>466.2</v>
      </c>
      <c r="AG78" s="88">
        <f>SUM(AG67:AG77)</f>
        <v>0</v>
      </c>
      <c r="AH78" s="47">
        <f t="shared" si="13"/>
        <v>506</v>
      </c>
      <c r="AI78" s="48">
        <f t="shared" si="14"/>
        <v>155.9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13"/>
        <v>0</v>
      </c>
      <c r="AI79" s="48">
        <f t="shared" si="14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13"/>
        <v>0</v>
      </c>
      <c r="AI80" s="48">
        <f t="shared" si="14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13"/>
        <v>0</v>
      </c>
      <c r="AI81" s="48">
        <f t="shared" si="14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>
        <v>0</v>
      </c>
      <c r="Z82" s="60">
        <v>0</v>
      </c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13"/>
        <v>0</v>
      </c>
      <c r="AI82" s="48">
        <f t="shared" si="14"/>
        <v>0</v>
      </c>
    </row>
    <row r="83" spans="1:37" ht="15.75" thickBot="1" x14ac:dyDescent="0.3">
      <c r="A83" s="74" t="s">
        <v>94</v>
      </c>
      <c r="B83" s="95">
        <f t="shared" ref="B83:AG83" si="17">B44+B48+B66+B62+B78+B82</f>
        <v>1075.8399999999999</v>
      </c>
      <c r="C83" s="95">
        <f t="shared" si="17"/>
        <v>1087.6399999999999</v>
      </c>
      <c r="D83" s="95">
        <f t="shared" si="17"/>
        <v>1102.1399999999999</v>
      </c>
      <c r="E83" s="95">
        <f t="shared" si="17"/>
        <v>999.54</v>
      </c>
      <c r="F83" s="95">
        <f t="shared" si="17"/>
        <v>1040.1399999999999</v>
      </c>
      <c r="G83" s="95">
        <f t="shared" si="17"/>
        <v>1063.44</v>
      </c>
      <c r="H83" s="95">
        <f t="shared" si="17"/>
        <v>1105.74</v>
      </c>
      <c r="I83" s="95">
        <f t="shared" si="17"/>
        <v>1155.44</v>
      </c>
      <c r="J83" s="95">
        <f t="shared" si="17"/>
        <v>1280.3400000000001</v>
      </c>
      <c r="K83" s="95">
        <f t="shared" si="17"/>
        <v>1295.44</v>
      </c>
      <c r="L83" s="95">
        <f t="shared" si="17"/>
        <v>1367.44</v>
      </c>
      <c r="M83" s="95">
        <f t="shared" si="17"/>
        <v>1327.94</v>
      </c>
      <c r="N83" s="95">
        <f t="shared" si="17"/>
        <v>1231.2399999999998</v>
      </c>
      <c r="O83" s="95">
        <f t="shared" si="17"/>
        <v>1215.7399999999998</v>
      </c>
      <c r="P83" s="95">
        <f t="shared" si="17"/>
        <v>1217.94</v>
      </c>
      <c r="Q83" s="95">
        <f t="shared" si="17"/>
        <v>1292.44</v>
      </c>
      <c r="R83" s="95">
        <f t="shared" si="17"/>
        <v>1287.94</v>
      </c>
      <c r="S83" s="95">
        <f t="shared" si="17"/>
        <v>1268.94</v>
      </c>
      <c r="T83" s="95">
        <f t="shared" si="17"/>
        <v>1261.1399999999999</v>
      </c>
      <c r="U83" s="95">
        <f t="shared" si="17"/>
        <v>1280.8399999999999</v>
      </c>
      <c r="V83" s="95">
        <f t="shared" si="17"/>
        <v>1218.2399999999998</v>
      </c>
      <c r="W83" s="95">
        <f t="shared" si="17"/>
        <v>1209.3399999999999</v>
      </c>
      <c r="X83" s="95">
        <f t="shared" si="17"/>
        <v>1287.54</v>
      </c>
      <c r="Y83" s="95">
        <v>1413.04</v>
      </c>
      <c r="Z83" s="95">
        <f t="shared" si="17"/>
        <v>1390.54</v>
      </c>
      <c r="AA83" s="95">
        <f t="shared" si="17"/>
        <v>1349.54</v>
      </c>
      <c r="AB83" s="95">
        <f t="shared" si="17"/>
        <v>1256.1399999999999</v>
      </c>
      <c r="AC83" s="95">
        <f t="shared" si="17"/>
        <v>1270.4899999999998</v>
      </c>
      <c r="AD83" s="95">
        <f t="shared" si="17"/>
        <v>1235.29</v>
      </c>
      <c r="AE83" s="95">
        <f t="shared" si="17"/>
        <v>1171.3899999999999</v>
      </c>
      <c r="AF83" s="95">
        <f t="shared" si="17"/>
        <v>1055.99</v>
      </c>
      <c r="AG83" s="61">
        <f t="shared" si="17"/>
        <v>2004.1900000000003</v>
      </c>
      <c r="AH83" s="47">
        <f>MAX(B83:AF83)</f>
        <v>1413.04</v>
      </c>
      <c r="AI83" s="48">
        <f>MIN(B83:AF83)</f>
        <v>999.54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>
        <v>150</v>
      </c>
      <c r="L84" s="97">
        <v>200</v>
      </c>
      <c r="M84" s="97">
        <v>200</v>
      </c>
      <c r="N84" s="97">
        <v>200</v>
      </c>
      <c r="O84" s="97">
        <v>200</v>
      </c>
      <c r="P84" s="97"/>
      <c r="Q84" s="97"/>
      <c r="R84" s="97"/>
      <c r="S84" s="97"/>
      <c r="T84" s="97"/>
      <c r="U84" s="97"/>
      <c r="V84" s="97"/>
      <c r="W84" s="97"/>
      <c r="X84" s="97"/>
      <c r="Y84" s="97">
        <v>200</v>
      </c>
      <c r="Z84" s="97">
        <v>200</v>
      </c>
      <c r="AA84" s="97">
        <v>200</v>
      </c>
      <c r="AB84" s="97">
        <v>150</v>
      </c>
      <c r="AC84" s="97">
        <v>60</v>
      </c>
      <c r="AD84" s="97"/>
      <c r="AE84" s="97"/>
      <c r="AF84" s="97"/>
      <c r="AG84" s="88"/>
      <c r="AH84" s="47">
        <f t="shared" si="13"/>
        <v>200</v>
      </c>
      <c r="AI84" s="48">
        <f t="shared" si="14"/>
        <v>60</v>
      </c>
    </row>
    <row r="85" spans="1:37" ht="15.75" thickBot="1" x14ac:dyDescent="0.3">
      <c r="A85" s="74" t="s">
        <v>96</v>
      </c>
      <c r="B85" s="95">
        <f t="shared" ref="B85:AF85" si="18">B83+B84</f>
        <v>1075.8399999999999</v>
      </c>
      <c r="C85" s="95">
        <f t="shared" si="18"/>
        <v>1087.6399999999999</v>
      </c>
      <c r="D85" s="95">
        <f t="shared" si="18"/>
        <v>1102.1399999999999</v>
      </c>
      <c r="E85" s="95">
        <f t="shared" si="18"/>
        <v>999.54</v>
      </c>
      <c r="F85" s="95">
        <f t="shared" si="18"/>
        <v>1040.1399999999999</v>
      </c>
      <c r="G85" s="95">
        <f t="shared" si="18"/>
        <v>1063.44</v>
      </c>
      <c r="H85" s="95">
        <f t="shared" si="18"/>
        <v>1105.74</v>
      </c>
      <c r="I85" s="95">
        <f t="shared" si="18"/>
        <v>1155.44</v>
      </c>
      <c r="J85" s="95">
        <f t="shared" si="18"/>
        <v>1280.3400000000001</v>
      </c>
      <c r="K85" s="95">
        <f t="shared" si="18"/>
        <v>1445.44</v>
      </c>
      <c r="L85" s="95">
        <f t="shared" si="18"/>
        <v>1567.44</v>
      </c>
      <c r="M85" s="95">
        <f t="shared" si="18"/>
        <v>1527.94</v>
      </c>
      <c r="N85" s="95">
        <f t="shared" si="18"/>
        <v>1431.2399999999998</v>
      </c>
      <c r="O85" s="95">
        <f t="shared" si="18"/>
        <v>1415.7399999999998</v>
      </c>
      <c r="P85" s="95">
        <f t="shared" si="18"/>
        <v>1217.94</v>
      </c>
      <c r="Q85" s="95">
        <f t="shared" si="18"/>
        <v>1292.44</v>
      </c>
      <c r="R85" s="95">
        <f t="shared" si="18"/>
        <v>1287.94</v>
      </c>
      <c r="S85" s="95">
        <f t="shared" si="18"/>
        <v>1268.94</v>
      </c>
      <c r="T85" s="95">
        <f t="shared" si="18"/>
        <v>1261.1399999999999</v>
      </c>
      <c r="U85" s="95">
        <f t="shared" si="18"/>
        <v>1280.8399999999999</v>
      </c>
      <c r="V85" s="95">
        <f t="shared" si="18"/>
        <v>1218.2399999999998</v>
      </c>
      <c r="W85" s="95">
        <f t="shared" si="18"/>
        <v>1209.3399999999999</v>
      </c>
      <c r="X85" s="95">
        <f t="shared" si="18"/>
        <v>1287.54</v>
      </c>
      <c r="Y85" s="95">
        <v>1573.04</v>
      </c>
      <c r="Z85" s="95">
        <f t="shared" si="18"/>
        <v>1590.54</v>
      </c>
      <c r="AA85" s="95">
        <f t="shared" si="18"/>
        <v>1549.54</v>
      </c>
      <c r="AB85" s="95">
        <f t="shared" si="18"/>
        <v>1406.1399999999999</v>
      </c>
      <c r="AC85" s="95">
        <f t="shared" si="18"/>
        <v>1330.4899999999998</v>
      </c>
      <c r="AD85" s="95">
        <f t="shared" si="18"/>
        <v>1235.29</v>
      </c>
      <c r="AE85" s="95">
        <f t="shared" si="18"/>
        <v>1171.3899999999999</v>
      </c>
      <c r="AF85" s="95">
        <f t="shared" si="18"/>
        <v>1055.99</v>
      </c>
      <c r="AG85" s="88">
        <f>AG82+AG78+AG66+AG62+AG44+AG84</f>
        <v>1466.0900000000001</v>
      </c>
      <c r="AH85" s="47">
        <f t="shared" si="13"/>
        <v>1590.54</v>
      </c>
      <c r="AI85" s="48">
        <f t="shared" si="14"/>
        <v>999.54</v>
      </c>
    </row>
    <row r="86" spans="1:37" ht="15.75" thickBot="1" x14ac:dyDescent="0.3">
      <c r="A86" s="74" t="s">
        <v>97</v>
      </c>
      <c r="B86" s="95">
        <f t="shared" ref="B86:AF86" si="19">B85-B93</f>
        <v>1075.8399999999999</v>
      </c>
      <c r="C86" s="95">
        <f t="shared" si="19"/>
        <v>1087.6399999999999</v>
      </c>
      <c r="D86" s="95">
        <f t="shared" si="19"/>
        <v>1102.1399999999999</v>
      </c>
      <c r="E86" s="95">
        <f t="shared" si="19"/>
        <v>999.54</v>
      </c>
      <c r="F86" s="95">
        <f t="shared" si="19"/>
        <v>1040.1399999999999</v>
      </c>
      <c r="G86" s="95">
        <f t="shared" si="19"/>
        <v>1063.44</v>
      </c>
      <c r="H86" s="95">
        <f t="shared" si="19"/>
        <v>1105.74</v>
      </c>
      <c r="I86" s="95">
        <f t="shared" si="19"/>
        <v>1155.44</v>
      </c>
      <c r="J86" s="95">
        <f t="shared" si="19"/>
        <v>1280.3400000000001</v>
      </c>
      <c r="K86" s="95">
        <f t="shared" si="19"/>
        <v>1445.44</v>
      </c>
      <c r="L86" s="95">
        <f t="shared" si="19"/>
        <v>1567.44</v>
      </c>
      <c r="M86" s="95">
        <f t="shared" si="19"/>
        <v>1527.94</v>
      </c>
      <c r="N86" s="95">
        <f t="shared" si="19"/>
        <v>1431.2399999999998</v>
      </c>
      <c r="O86" s="95">
        <f t="shared" si="19"/>
        <v>1415.7399999999998</v>
      </c>
      <c r="P86" s="95">
        <f t="shared" si="19"/>
        <v>1217.94</v>
      </c>
      <c r="Q86" s="95">
        <f t="shared" si="19"/>
        <v>1292.44</v>
      </c>
      <c r="R86" s="95">
        <f t="shared" si="19"/>
        <v>1287.94</v>
      </c>
      <c r="S86" s="95">
        <f t="shared" si="19"/>
        <v>1268.94</v>
      </c>
      <c r="T86" s="95">
        <f t="shared" si="19"/>
        <v>1261.1399999999999</v>
      </c>
      <c r="U86" s="95">
        <f t="shared" si="19"/>
        <v>1280.8399999999999</v>
      </c>
      <c r="V86" s="95">
        <f t="shared" si="19"/>
        <v>1218.2399999999998</v>
      </c>
      <c r="W86" s="95">
        <f t="shared" si="19"/>
        <v>1209.3399999999999</v>
      </c>
      <c r="X86" s="95">
        <f t="shared" si="19"/>
        <v>1287.54</v>
      </c>
      <c r="Y86" s="95">
        <v>1573.04</v>
      </c>
      <c r="Z86" s="95">
        <f t="shared" si="19"/>
        <v>1590.54</v>
      </c>
      <c r="AA86" s="95">
        <f t="shared" si="19"/>
        <v>1549.54</v>
      </c>
      <c r="AB86" s="95">
        <f t="shared" si="19"/>
        <v>1406.1399999999999</v>
      </c>
      <c r="AC86" s="95">
        <f t="shared" si="19"/>
        <v>1330.4899999999998</v>
      </c>
      <c r="AD86" s="95">
        <f t="shared" si="19"/>
        <v>1235.29</v>
      </c>
      <c r="AE86" s="95">
        <f t="shared" si="19"/>
        <v>1171.3899999999999</v>
      </c>
      <c r="AF86" s="95">
        <f t="shared" si="19"/>
        <v>1055.99</v>
      </c>
      <c r="AG86" s="88"/>
      <c r="AH86" s="47">
        <f t="shared" si="13"/>
        <v>1590.54</v>
      </c>
      <c r="AI86" s="48">
        <f t="shared" si="14"/>
        <v>999.54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13"/>
        <v>0</v>
      </c>
      <c r="AI87" s="48">
        <f t="shared" si="14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13"/>
        <v>0</v>
      </c>
      <c r="AI88" s="48">
        <f t="shared" si="14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13"/>
        <v>0</v>
      </c>
      <c r="AI89" s="48">
        <f t="shared" si="14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13"/>
        <v>0</v>
      </c>
      <c r="AI90" s="48">
        <f t="shared" si="14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13"/>
        <v>0</v>
      </c>
      <c r="AI91" s="48">
        <f t="shared" si="14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13"/>
        <v>0</v>
      </c>
      <c r="AI92" s="48">
        <f t="shared" si="14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>
        <v>0</v>
      </c>
      <c r="Z93" s="60"/>
      <c r="AA93" s="60"/>
      <c r="AB93" s="60"/>
      <c r="AC93" s="60"/>
      <c r="AD93" s="60"/>
      <c r="AE93" s="60"/>
      <c r="AF93" s="60"/>
      <c r="AG93" s="88"/>
      <c r="AH93" s="47">
        <f t="shared" si="13"/>
        <v>0</v>
      </c>
      <c r="AI93" s="48">
        <f t="shared" si="14"/>
        <v>0</v>
      </c>
      <c r="AK93" s="49"/>
    </row>
    <row r="94" spans="1:37" ht="15.75" thickBot="1" x14ac:dyDescent="0.3">
      <c r="A94" s="74" t="s">
        <v>102</v>
      </c>
      <c r="B94" s="60">
        <f t="shared" ref="B94:AF94" si="20">B78-B93</f>
        <v>442.4</v>
      </c>
      <c r="C94" s="60">
        <f t="shared" si="20"/>
        <v>447.9</v>
      </c>
      <c r="D94" s="60">
        <f t="shared" si="20"/>
        <v>427</v>
      </c>
      <c r="E94" s="60">
        <f t="shared" si="20"/>
        <v>419</v>
      </c>
      <c r="F94" s="60">
        <f t="shared" si="20"/>
        <v>429.6</v>
      </c>
      <c r="G94" s="60">
        <f t="shared" si="20"/>
        <v>430.5</v>
      </c>
      <c r="H94" s="60">
        <f t="shared" si="20"/>
        <v>454.7</v>
      </c>
      <c r="I94" s="60">
        <f t="shared" si="20"/>
        <v>450.29999999999995</v>
      </c>
      <c r="J94" s="60">
        <f t="shared" si="20"/>
        <v>476.8</v>
      </c>
      <c r="K94" s="60">
        <f t="shared" si="20"/>
        <v>444.4</v>
      </c>
      <c r="L94" s="60">
        <f t="shared" si="20"/>
        <v>430.9</v>
      </c>
      <c r="M94" s="60">
        <f t="shared" si="20"/>
        <v>430.3</v>
      </c>
      <c r="N94" s="60">
        <f t="shared" si="20"/>
        <v>443.2</v>
      </c>
      <c r="O94" s="60">
        <f t="shared" si="20"/>
        <v>483.4</v>
      </c>
      <c r="P94" s="60">
        <f t="shared" si="20"/>
        <v>443.8</v>
      </c>
      <c r="Q94" s="60">
        <f t="shared" si="20"/>
        <v>478.6</v>
      </c>
      <c r="R94" s="60">
        <f t="shared" si="20"/>
        <v>488.4</v>
      </c>
      <c r="S94" s="60">
        <f t="shared" si="20"/>
        <v>501.4</v>
      </c>
      <c r="T94" s="60">
        <f t="shared" si="20"/>
        <v>500</v>
      </c>
      <c r="U94" s="60">
        <f t="shared" si="20"/>
        <v>506</v>
      </c>
      <c r="V94" s="60">
        <f t="shared" si="20"/>
        <v>466</v>
      </c>
      <c r="W94" s="60">
        <f t="shared" si="20"/>
        <v>464.7</v>
      </c>
      <c r="X94" s="60">
        <f t="shared" si="20"/>
        <v>437</v>
      </c>
      <c r="Y94" s="60">
        <v>348.6</v>
      </c>
      <c r="Z94" s="60">
        <f t="shared" si="20"/>
        <v>155.9</v>
      </c>
      <c r="AA94" s="60">
        <f t="shared" si="20"/>
        <v>208</v>
      </c>
      <c r="AB94" s="60">
        <f t="shared" si="20"/>
        <v>359.79999999999995</v>
      </c>
      <c r="AC94" s="60">
        <f t="shared" si="20"/>
        <v>422.4</v>
      </c>
      <c r="AD94" s="60">
        <f t="shared" si="20"/>
        <v>426.40000000000003</v>
      </c>
      <c r="AE94" s="60">
        <f t="shared" si="20"/>
        <v>438.6</v>
      </c>
      <c r="AF94" s="60">
        <f t="shared" si="20"/>
        <v>466.2</v>
      </c>
      <c r="AG94" s="88"/>
      <c r="AH94" s="47">
        <f t="shared" si="13"/>
        <v>506</v>
      </c>
      <c r="AI94" s="48">
        <f t="shared" si="14"/>
        <v>155.9</v>
      </c>
    </row>
    <row r="95" spans="1:37" x14ac:dyDescent="0.25">
      <c r="A95" s="100" t="s">
        <v>103</v>
      </c>
      <c r="B95" s="101">
        <v>50.01</v>
      </c>
      <c r="C95" s="101">
        <v>50.02</v>
      </c>
      <c r="D95" s="101">
        <v>49.98</v>
      </c>
      <c r="E95" s="101">
        <v>50.042000000000002</v>
      </c>
      <c r="F95" s="101">
        <v>50.026000000000003</v>
      </c>
      <c r="G95" s="101">
        <v>50.07</v>
      </c>
      <c r="H95" s="101">
        <v>50.052999999999997</v>
      </c>
      <c r="I95" s="101">
        <v>49.948</v>
      </c>
      <c r="J95" s="101">
        <v>50.055999999999997</v>
      </c>
      <c r="K95" s="101">
        <v>50.06</v>
      </c>
      <c r="L95" s="101">
        <v>50.06</v>
      </c>
      <c r="M95" s="101">
        <v>49.957000000000001</v>
      </c>
      <c r="N95" s="101">
        <v>50.219000000000001</v>
      </c>
      <c r="O95" s="101">
        <v>49.95</v>
      </c>
      <c r="P95" s="101">
        <v>50.045000000000002</v>
      </c>
      <c r="Q95" s="101">
        <v>49.99</v>
      </c>
      <c r="R95" s="101">
        <v>49.847999999999999</v>
      </c>
      <c r="S95" s="101">
        <v>49.904000000000003</v>
      </c>
      <c r="T95" s="101">
        <v>50.1</v>
      </c>
      <c r="U95" s="101">
        <v>49.89</v>
      </c>
      <c r="V95" s="101">
        <v>49.8</v>
      </c>
      <c r="W95" s="101">
        <v>50.1</v>
      </c>
      <c r="X95" s="101">
        <v>50.057000000000002</v>
      </c>
      <c r="Y95" s="101">
        <v>49.966000000000001</v>
      </c>
      <c r="Z95" s="101">
        <v>49.981999999999999</v>
      </c>
      <c r="AA95" s="101">
        <v>50.1</v>
      </c>
      <c r="AB95" s="101">
        <v>50.167000000000002</v>
      </c>
      <c r="AC95" s="101">
        <v>50.097000000000001</v>
      </c>
      <c r="AD95" s="101">
        <v>50.024000000000001</v>
      </c>
      <c r="AE95" s="101">
        <v>50.09</v>
      </c>
      <c r="AF95" s="101">
        <v>49.991</v>
      </c>
      <c r="AG95" s="102"/>
      <c r="AH95" s="47">
        <f t="shared" si="13"/>
        <v>50.219000000000001</v>
      </c>
      <c r="AI95" s="48">
        <f t="shared" si="14"/>
        <v>49.8</v>
      </c>
    </row>
    <row r="96" spans="1:37" x14ac:dyDescent="0.25">
      <c r="A96" s="103" t="s">
        <v>104</v>
      </c>
      <c r="B96" s="65">
        <v>127.8</v>
      </c>
      <c r="C96" s="65">
        <v>128.69999999999999</v>
      </c>
      <c r="D96" s="65">
        <v>129.19999999999999</v>
      </c>
      <c r="E96" s="65">
        <v>130</v>
      </c>
      <c r="F96" s="65">
        <v>129</v>
      </c>
      <c r="G96" s="65">
        <v>129</v>
      </c>
      <c r="H96" s="65">
        <v>129</v>
      </c>
      <c r="I96" s="65">
        <v>128</v>
      </c>
      <c r="J96" s="65">
        <v>127</v>
      </c>
      <c r="K96" s="65">
        <v>127</v>
      </c>
      <c r="L96" s="65">
        <v>127</v>
      </c>
      <c r="M96" s="65">
        <v>129</v>
      </c>
      <c r="N96" s="65">
        <v>129.4</v>
      </c>
      <c r="O96" s="65">
        <v>128.4</v>
      </c>
      <c r="P96" s="65">
        <v>125.6</v>
      </c>
      <c r="Q96" s="65">
        <v>125.4</v>
      </c>
      <c r="R96" s="65">
        <v>124.3</v>
      </c>
      <c r="S96" s="65">
        <v>124</v>
      </c>
      <c r="T96" s="65">
        <v>127</v>
      </c>
      <c r="U96" s="65">
        <v>127</v>
      </c>
      <c r="V96" s="65">
        <v>131</v>
      </c>
      <c r="W96" s="65">
        <v>129</v>
      </c>
      <c r="X96" s="65">
        <v>129</v>
      </c>
      <c r="Y96" s="65">
        <v>129</v>
      </c>
      <c r="Z96" s="65">
        <v>129</v>
      </c>
      <c r="AA96" s="65">
        <v>129</v>
      </c>
      <c r="AB96" s="65">
        <v>129.19999999999999</v>
      </c>
      <c r="AC96" s="65">
        <v>128.9</v>
      </c>
      <c r="AD96" s="65">
        <v>128.80000000000001</v>
      </c>
      <c r="AE96" s="65">
        <v>129.5</v>
      </c>
      <c r="AF96" s="65">
        <v>127.5</v>
      </c>
      <c r="AG96" s="104"/>
      <c r="AH96" s="47">
        <f t="shared" si="13"/>
        <v>131</v>
      </c>
      <c r="AI96" s="48">
        <f t="shared" si="14"/>
        <v>124</v>
      </c>
    </row>
    <row r="97" spans="1:35" x14ac:dyDescent="0.25">
      <c r="A97" s="103" t="s">
        <v>105</v>
      </c>
      <c r="B97" s="65">
        <v>132.1</v>
      </c>
      <c r="C97" s="65">
        <v>132.6</v>
      </c>
      <c r="D97" s="65">
        <v>133.30000000000001</v>
      </c>
      <c r="E97" s="65">
        <v>134</v>
      </c>
      <c r="F97" s="65">
        <v>132</v>
      </c>
      <c r="G97" s="65">
        <v>132</v>
      </c>
      <c r="H97" s="65">
        <v>132</v>
      </c>
      <c r="I97" s="65">
        <v>131.5</v>
      </c>
      <c r="J97" s="65">
        <v>129.9</v>
      </c>
      <c r="K97" s="65">
        <v>129.9</v>
      </c>
      <c r="L97" s="65">
        <v>129.9</v>
      </c>
      <c r="M97" s="65">
        <v>130.69999999999999</v>
      </c>
      <c r="N97" s="65">
        <v>131.30000000000001</v>
      </c>
      <c r="O97" s="65">
        <v>130</v>
      </c>
      <c r="P97" s="65">
        <v>128.19999999999999</v>
      </c>
      <c r="Q97" s="65">
        <v>128.1</v>
      </c>
      <c r="R97" s="65">
        <v>127.6</v>
      </c>
      <c r="S97" s="65">
        <v>127.7</v>
      </c>
      <c r="T97" s="65">
        <v>129</v>
      </c>
      <c r="U97" s="65">
        <v>129</v>
      </c>
      <c r="V97" s="65">
        <v>132</v>
      </c>
      <c r="W97" s="65">
        <v>131</v>
      </c>
      <c r="X97" s="65">
        <v>131</v>
      </c>
      <c r="Y97" s="65">
        <v>131</v>
      </c>
      <c r="Z97" s="65">
        <v>131</v>
      </c>
      <c r="AA97" s="65">
        <v>131</v>
      </c>
      <c r="AB97" s="65">
        <v>131.1</v>
      </c>
      <c r="AC97" s="65">
        <v>131</v>
      </c>
      <c r="AD97" s="65">
        <v>131.19999999999999</v>
      </c>
      <c r="AE97" s="65">
        <v>132.6</v>
      </c>
      <c r="AF97" s="65">
        <v>131.69999999999999</v>
      </c>
      <c r="AG97" s="104"/>
      <c r="AH97" s="47">
        <f t="shared" si="13"/>
        <v>134</v>
      </c>
      <c r="AI97" s="48">
        <f t="shared" si="14"/>
        <v>127.6</v>
      </c>
    </row>
    <row r="98" spans="1:35" x14ac:dyDescent="0.25">
      <c r="A98" s="103" t="s">
        <v>106</v>
      </c>
      <c r="B98" s="65">
        <v>133.4</v>
      </c>
      <c r="C98" s="65">
        <v>134.6</v>
      </c>
      <c r="D98" s="65">
        <v>133.4</v>
      </c>
      <c r="E98" s="65">
        <v>131</v>
      </c>
      <c r="F98" s="65">
        <v>129</v>
      </c>
      <c r="G98" s="65">
        <v>129</v>
      </c>
      <c r="H98" s="65">
        <v>129</v>
      </c>
      <c r="I98" s="65">
        <v>129.69999999999999</v>
      </c>
      <c r="J98" s="65">
        <v>128.80000000000001</v>
      </c>
      <c r="K98" s="65">
        <v>128.80000000000001</v>
      </c>
      <c r="L98" s="65">
        <v>128.80000000000001</v>
      </c>
      <c r="M98" s="65">
        <v>126.9</v>
      </c>
      <c r="N98" s="65">
        <v>130.5</v>
      </c>
      <c r="O98" s="65">
        <v>129.19999999999999</v>
      </c>
      <c r="P98" s="65">
        <v>128.30000000000001</v>
      </c>
      <c r="Q98" s="65">
        <v>130.6</v>
      </c>
      <c r="R98" s="65">
        <v>130.69999999999999</v>
      </c>
      <c r="S98" s="65">
        <v>128</v>
      </c>
      <c r="T98" s="65">
        <v>128.4</v>
      </c>
      <c r="U98" s="65">
        <v>129</v>
      </c>
      <c r="V98" s="65">
        <v>132</v>
      </c>
      <c r="W98" s="65">
        <v>129.5</v>
      </c>
      <c r="X98" s="65">
        <v>129.5</v>
      </c>
      <c r="Y98" s="65">
        <v>129.5</v>
      </c>
      <c r="Z98" s="65">
        <v>129.5</v>
      </c>
      <c r="AA98" s="65">
        <v>129.5</v>
      </c>
      <c r="AB98" s="65">
        <v>125.6</v>
      </c>
      <c r="AC98" s="65">
        <v>128.4</v>
      </c>
      <c r="AD98" s="65">
        <v>129.6</v>
      </c>
      <c r="AE98" s="65">
        <v>131</v>
      </c>
      <c r="AF98" s="65">
        <v>133</v>
      </c>
      <c r="AG98" s="104"/>
      <c r="AH98" s="47">
        <f t="shared" si="13"/>
        <v>134.6</v>
      </c>
      <c r="AI98" s="48">
        <f t="shared" si="14"/>
        <v>125.6</v>
      </c>
    </row>
    <row r="99" spans="1:35" x14ac:dyDescent="0.25">
      <c r="A99" s="105" t="s">
        <v>107</v>
      </c>
      <c r="B99" s="65">
        <v>133</v>
      </c>
      <c r="C99" s="65">
        <v>134</v>
      </c>
      <c r="D99" s="65">
        <v>134</v>
      </c>
      <c r="E99" s="65">
        <v>134</v>
      </c>
      <c r="F99" s="65">
        <v>132.80000000000001</v>
      </c>
      <c r="G99" s="65">
        <v>132.80000000000001</v>
      </c>
      <c r="H99" s="65">
        <v>132.80000000000001</v>
      </c>
      <c r="I99" s="65">
        <v>132</v>
      </c>
      <c r="J99" s="65">
        <v>130.69999999999999</v>
      </c>
      <c r="K99" s="65">
        <v>130.69999999999999</v>
      </c>
      <c r="L99" s="65">
        <v>130.69999999999999</v>
      </c>
      <c r="M99" s="65">
        <v>129.19999999999999</v>
      </c>
      <c r="N99" s="65">
        <v>132.9</v>
      </c>
      <c r="O99" s="65">
        <v>131.69999999999999</v>
      </c>
      <c r="P99" s="65">
        <v>131.1</v>
      </c>
      <c r="Q99" s="65">
        <v>131.9</v>
      </c>
      <c r="R99" s="65">
        <v>132.30000000000001</v>
      </c>
      <c r="S99" s="65">
        <v>130</v>
      </c>
      <c r="T99" s="65">
        <v>130</v>
      </c>
      <c r="U99" s="65">
        <v>132</v>
      </c>
      <c r="V99" s="65">
        <v>132.6</v>
      </c>
      <c r="W99" s="65">
        <v>131</v>
      </c>
      <c r="X99" s="65">
        <v>131</v>
      </c>
      <c r="Y99" s="65">
        <v>131</v>
      </c>
      <c r="Z99" s="65">
        <v>131</v>
      </c>
      <c r="AA99" s="65">
        <v>131</v>
      </c>
      <c r="AB99" s="65">
        <v>133.1</v>
      </c>
      <c r="AC99" s="65">
        <v>130.5</v>
      </c>
      <c r="AD99" s="65">
        <v>135.6</v>
      </c>
      <c r="AE99" s="65">
        <v>134.5</v>
      </c>
      <c r="AF99" s="65">
        <v>136.19999999999999</v>
      </c>
      <c r="AG99" s="104"/>
      <c r="AH99" s="47">
        <f t="shared" si="13"/>
        <v>136.19999999999999</v>
      </c>
      <c r="AI99" s="48">
        <f t="shared" si="14"/>
        <v>129.19999999999999</v>
      </c>
    </row>
    <row r="100" spans="1:35" x14ac:dyDescent="0.25">
      <c r="A100" s="105" t="s">
        <v>108</v>
      </c>
      <c r="B100" s="106">
        <v>132.80000000000001</v>
      </c>
      <c r="C100" s="106">
        <v>133.69999999999999</v>
      </c>
      <c r="D100" s="106">
        <v>134.69999999999999</v>
      </c>
      <c r="E100" s="106">
        <v>134.80000000000001</v>
      </c>
      <c r="F100" s="106">
        <v>133.6</v>
      </c>
      <c r="G100" s="106">
        <v>133.6</v>
      </c>
      <c r="H100" s="106">
        <v>133.6</v>
      </c>
      <c r="I100" s="106">
        <v>134</v>
      </c>
      <c r="J100" s="106">
        <v>133.74</v>
      </c>
      <c r="K100" s="106">
        <v>133.74</v>
      </c>
      <c r="L100" s="106">
        <v>133.74</v>
      </c>
      <c r="M100" s="106">
        <v>134.19999999999999</v>
      </c>
      <c r="N100" s="106">
        <v>135.69999999999999</v>
      </c>
      <c r="O100" s="106">
        <v>133.1</v>
      </c>
      <c r="P100" s="106">
        <v>134.6</v>
      </c>
      <c r="Q100" s="106">
        <v>133.1</v>
      </c>
      <c r="R100" s="106">
        <v>133.5</v>
      </c>
      <c r="S100" s="106">
        <v>133.74</v>
      </c>
      <c r="T100" s="106">
        <v>132.5</v>
      </c>
      <c r="U100" s="106">
        <v>132</v>
      </c>
      <c r="V100" s="106">
        <v>132</v>
      </c>
      <c r="W100" s="106">
        <v>134</v>
      </c>
      <c r="X100" s="106">
        <v>134</v>
      </c>
      <c r="Y100" s="106">
        <v>134</v>
      </c>
      <c r="Z100" s="106">
        <v>134</v>
      </c>
      <c r="AA100" s="106">
        <v>134</v>
      </c>
      <c r="AB100" s="106">
        <v>136.9</v>
      </c>
      <c r="AC100" s="106">
        <v>136.6</v>
      </c>
      <c r="AD100" s="106">
        <v>126.6</v>
      </c>
      <c r="AE100" s="106">
        <v>135.19999999999999</v>
      </c>
      <c r="AF100" s="106">
        <v>133.69999999999999</v>
      </c>
      <c r="AG100" s="107"/>
      <c r="AH100" s="47">
        <f t="shared" si="13"/>
        <v>136.9</v>
      </c>
      <c r="AI100" s="48">
        <f t="shared" si="14"/>
        <v>126.6</v>
      </c>
    </row>
    <row r="101" spans="1:35" x14ac:dyDescent="0.25">
      <c r="A101" s="103" t="s">
        <v>109</v>
      </c>
      <c r="B101" s="65">
        <v>129.80000000000001</v>
      </c>
      <c r="C101" s="65">
        <v>131</v>
      </c>
      <c r="D101" s="65">
        <v>133.6</v>
      </c>
      <c r="E101" s="65">
        <v>133</v>
      </c>
      <c r="F101" s="65">
        <v>131</v>
      </c>
      <c r="G101" s="65">
        <v>131</v>
      </c>
      <c r="H101" s="65">
        <v>131</v>
      </c>
      <c r="I101" s="65">
        <v>128</v>
      </c>
      <c r="J101" s="65">
        <v>132</v>
      </c>
      <c r="K101" s="65">
        <v>132</v>
      </c>
      <c r="L101" s="65">
        <v>132</v>
      </c>
      <c r="M101" s="65">
        <v>129.19999999999999</v>
      </c>
      <c r="N101" s="65">
        <v>128.6</v>
      </c>
      <c r="O101" s="65">
        <v>130.19999999999999</v>
      </c>
      <c r="P101" s="65">
        <v>126.7</v>
      </c>
      <c r="Q101" s="65">
        <v>128.80000000000001</v>
      </c>
      <c r="R101" s="65">
        <v>125.9</v>
      </c>
      <c r="S101" s="65">
        <v>123.6</v>
      </c>
      <c r="T101" s="65">
        <v>127.5</v>
      </c>
      <c r="U101" s="65">
        <v>130</v>
      </c>
      <c r="V101" s="65">
        <v>130</v>
      </c>
      <c r="W101" s="65">
        <v>131.19999999999999</v>
      </c>
      <c r="X101" s="65">
        <v>131.19999999999999</v>
      </c>
      <c r="Y101" s="65">
        <v>131.19999999999999</v>
      </c>
      <c r="Z101" s="65">
        <v>131.19999999999999</v>
      </c>
      <c r="AA101" s="65">
        <v>131.19999999999999</v>
      </c>
      <c r="AB101" s="65">
        <v>126.6</v>
      </c>
      <c r="AC101" s="65">
        <v>124.8</v>
      </c>
      <c r="AD101" s="65">
        <v>16.600000000000001</v>
      </c>
      <c r="AE101" s="65">
        <v>126.4</v>
      </c>
      <c r="AF101" s="65">
        <v>137.1</v>
      </c>
      <c r="AG101" s="104"/>
      <c r="AH101" s="47">
        <f t="shared" si="13"/>
        <v>137.1</v>
      </c>
      <c r="AI101" s="48">
        <f t="shared" si="14"/>
        <v>16.600000000000001</v>
      </c>
    </row>
    <row r="102" spans="1:35" ht="15.75" thickBot="1" x14ac:dyDescent="0.3">
      <c r="A102" s="103" t="s">
        <v>110</v>
      </c>
      <c r="B102" s="92">
        <v>66.099999999999994</v>
      </c>
      <c r="C102" s="92">
        <v>66.3</v>
      </c>
      <c r="D102" s="92">
        <v>67</v>
      </c>
      <c r="E102" s="92">
        <v>67.5</v>
      </c>
      <c r="F102" s="92">
        <v>66.5</v>
      </c>
      <c r="G102" s="92">
        <v>66.5</v>
      </c>
      <c r="H102" s="92">
        <v>66.5</v>
      </c>
      <c r="I102" s="92">
        <v>66</v>
      </c>
      <c r="J102" s="92">
        <v>65.2</v>
      </c>
      <c r="K102" s="92">
        <v>65.2</v>
      </c>
      <c r="L102" s="92">
        <v>65.2</v>
      </c>
      <c r="M102" s="92">
        <v>65.3</v>
      </c>
      <c r="N102" s="92">
        <v>65.599999999999994</v>
      </c>
      <c r="O102" s="92">
        <v>64.8</v>
      </c>
      <c r="P102" s="92">
        <v>63.7</v>
      </c>
      <c r="Q102" s="92">
        <v>64.2</v>
      </c>
      <c r="R102" s="92">
        <v>63.5</v>
      </c>
      <c r="S102" s="92">
        <v>63.9</v>
      </c>
      <c r="T102" s="92">
        <v>64.8</v>
      </c>
      <c r="U102" s="92">
        <v>64.599999999999994</v>
      </c>
      <c r="V102" s="92">
        <v>64.599999999999994</v>
      </c>
      <c r="W102" s="92">
        <v>65.5</v>
      </c>
      <c r="X102" s="92">
        <v>65.5</v>
      </c>
      <c r="Y102" s="92">
        <v>65.5</v>
      </c>
      <c r="Z102" s="92">
        <v>65.5</v>
      </c>
      <c r="AA102" s="92">
        <v>65.5</v>
      </c>
      <c r="AB102" s="92">
        <v>65.3</v>
      </c>
      <c r="AC102" s="92">
        <v>65.8</v>
      </c>
      <c r="AD102" s="92">
        <v>66.099999999999994</v>
      </c>
      <c r="AE102" s="92">
        <v>67</v>
      </c>
      <c r="AF102" s="92">
        <v>66.2</v>
      </c>
      <c r="AG102" s="108"/>
      <c r="AH102" s="47">
        <f t="shared" si="13"/>
        <v>67.5</v>
      </c>
      <c r="AI102" s="48">
        <f t="shared" si="14"/>
        <v>63.5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13"/>
        <v>0</v>
      </c>
      <c r="AI103" s="48">
        <f t="shared" si="14"/>
        <v>0</v>
      </c>
    </row>
    <row r="104" spans="1:35" ht="15.75" thickBot="1" x14ac:dyDescent="0.3">
      <c r="A104" s="110" t="s">
        <v>112</v>
      </c>
      <c r="B104" s="111">
        <f t="shared" ref="B104:AF104" si="21">SUM(B16,B22,B25:B26,B52,B54:B55,B57,B59,B105:B109,B131,B137,B143,B152,B154,B166,B173,B176:B177,B184,B186,B188,B192:B194,B196:B198,B203,B209:B210,B212:B214,B222,B227)</f>
        <v>155.4</v>
      </c>
      <c r="C104" s="111">
        <f t="shared" si="21"/>
        <v>133.74</v>
      </c>
      <c r="D104" s="111">
        <f t="shared" si="21"/>
        <v>131.14000000000001</v>
      </c>
      <c r="E104" s="111">
        <f t="shared" si="21"/>
        <v>125.94</v>
      </c>
      <c r="F104" s="111">
        <f t="shared" si="21"/>
        <v>134.13999999999999</v>
      </c>
      <c r="G104" s="111">
        <f t="shared" si="21"/>
        <v>160.74</v>
      </c>
      <c r="H104" s="111">
        <f t="shared" si="21"/>
        <v>193.83999999999997</v>
      </c>
      <c r="I104" s="111">
        <f t="shared" si="21"/>
        <v>237.14</v>
      </c>
      <c r="J104" s="111">
        <f t="shared" si="21"/>
        <v>277.83999999999997</v>
      </c>
      <c r="K104" s="111">
        <f t="shared" si="21"/>
        <v>330.14</v>
      </c>
      <c r="L104" s="111">
        <f t="shared" si="21"/>
        <v>324.94</v>
      </c>
      <c r="M104" s="111">
        <f t="shared" si="21"/>
        <v>364.14</v>
      </c>
      <c r="N104" s="111">
        <f t="shared" si="21"/>
        <v>333.54</v>
      </c>
      <c r="O104" s="111">
        <f t="shared" si="21"/>
        <v>312.33999999999997</v>
      </c>
      <c r="P104" s="111">
        <v>42</v>
      </c>
      <c r="Q104" s="111">
        <f t="shared" si="21"/>
        <v>288.59999999999997</v>
      </c>
      <c r="R104" s="111">
        <f t="shared" si="21"/>
        <v>299</v>
      </c>
      <c r="S104" s="111">
        <f t="shared" si="21"/>
        <v>279.40000000000003</v>
      </c>
      <c r="T104" s="111">
        <f t="shared" si="21"/>
        <v>250.8</v>
      </c>
      <c r="U104" s="111">
        <f t="shared" si="21"/>
        <v>266.89999999999998</v>
      </c>
      <c r="V104" s="111">
        <f t="shared" si="21"/>
        <v>241.70000000000002</v>
      </c>
      <c r="W104" s="111">
        <f t="shared" si="21"/>
        <v>244</v>
      </c>
      <c r="X104" s="111">
        <f t="shared" si="21"/>
        <v>371.4</v>
      </c>
      <c r="Y104" s="111">
        <v>445.79708333333332</v>
      </c>
      <c r="Z104" s="111">
        <f t="shared" si="21"/>
        <v>396.4</v>
      </c>
      <c r="AA104" s="111">
        <f t="shared" si="21"/>
        <v>382.9</v>
      </c>
      <c r="AB104" s="111">
        <f t="shared" si="21"/>
        <v>358.9</v>
      </c>
      <c r="AC104" s="111">
        <f t="shared" si="21"/>
        <v>324.10000000000002</v>
      </c>
      <c r="AD104" s="111">
        <f t="shared" si="21"/>
        <v>315.60000000000002</v>
      </c>
      <c r="AE104" s="111">
        <f t="shared" si="21"/>
        <v>233</v>
      </c>
      <c r="AF104" s="111">
        <f t="shared" si="21"/>
        <v>171.3</v>
      </c>
      <c r="AG104" s="112"/>
      <c r="AH104" s="47">
        <f t="shared" si="13"/>
        <v>445.79708333333332</v>
      </c>
      <c r="AI104" s="48">
        <f t="shared" si="14"/>
        <v>42</v>
      </c>
    </row>
    <row r="105" spans="1:35" x14ac:dyDescent="0.25">
      <c r="A105" s="100" t="s">
        <v>113</v>
      </c>
      <c r="B105" s="113">
        <v>-10.199999999999999</v>
      </c>
      <c r="C105" s="113">
        <v>-13.1</v>
      </c>
      <c r="D105" s="113">
        <v>-9.1</v>
      </c>
      <c r="E105" s="113">
        <v>-12.3</v>
      </c>
      <c r="F105" s="113">
        <v>-12.5</v>
      </c>
      <c r="G105" s="113">
        <v>-7.9</v>
      </c>
      <c r="H105" s="113">
        <v>-2.7</v>
      </c>
      <c r="I105" s="113">
        <v>3.7</v>
      </c>
      <c r="J105" s="113">
        <v>19.899999999999999</v>
      </c>
      <c r="K105" s="113">
        <v>29.7</v>
      </c>
      <c r="L105" s="113">
        <v>29.7</v>
      </c>
      <c r="M105" s="113">
        <v>29.1</v>
      </c>
      <c r="N105" s="113">
        <v>24.2</v>
      </c>
      <c r="O105" s="113">
        <v>23.2</v>
      </c>
      <c r="P105" s="113">
        <v>21.8</v>
      </c>
      <c r="Q105" s="113">
        <v>28.7</v>
      </c>
      <c r="R105" s="113">
        <v>27.1</v>
      </c>
      <c r="S105" s="113">
        <v>25.3</v>
      </c>
      <c r="T105" s="113">
        <v>4</v>
      </c>
      <c r="U105" s="113">
        <v>3.3</v>
      </c>
      <c r="V105" s="113">
        <v>6.4</v>
      </c>
      <c r="W105" s="113">
        <v>2.7</v>
      </c>
      <c r="X105" s="113">
        <v>35.299999999999997</v>
      </c>
      <c r="Y105" s="113">
        <v>36.700000000000003</v>
      </c>
      <c r="Z105" s="113">
        <v>34</v>
      </c>
      <c r="AA105" s="113">
        <v>40.700000000000003</v>
      </c>
      <c r="AB105" s="113">
        <v>39</v>
      </c>
      <c r="AC105" s="113">
        <v>35.299999999999997</v>
      </c>
      <c r="AD105" s="113">
        <v>29.2</v>
      </c>
      <c r="AE105" s="113">
        <v>14.7</v>
      </c>
      <c r="AF105" s="113">
        <v>4.3</v>
      </c>
      <c r="AG105" s="114">
        <v>75</v>
      </c>
      <c r="AH105" s="47">
        <f t="shared" si="13"/>
        <v>40.700000000000003</v>
      </c>
      <c r="AI105" s="48">
        <f t="shared" si="14"/>
        <v>-13.1</v>
      </c>
    </row>
    <row r="106" spans="1:35" x14ac:dyDescent="0.25">
      <c r="A106" s="103" t="s">
        <v>114</v>
      </c>
      <c r="B106" s="115">
        <v>-5.0999999999999996</v>
      </c>
      <c r="C106" s="115">
        <v>-10.3</v>
      </c>
      <c r="D106" s="115">
        <v>-4</v>
      </c>
      <c r="E106" s="115">
        <v>-11</v>
      </c>
      <c r="F106" s="115">
        <v>-11.5</v>
      </c>
      <c r="G106" s="115">
        <v>-6.8</v>
      </c>
      <c r="H106" s="115">
        <v>0</v>
      </c>
      <c r="I106" s="115">
        <v>7.4</v>
      </c>
      <c r="J106" s="115">
        <v>30.3</v>
      </c>
      <c r="K106" s="115">
        <v>38.299999999999997</v>
      </c>
      <c r="L106" s="115">
        <v>38.299999999999997</v>
      </c>
      <c r="M106" s="115">
        <v>34.9</v>
      </c>
      <c r="N106" s="115">
        <v>29</v>
      </c>
      <c r="O106" s="115">
        <v>26.7</v>
      </c>
      <c r="P106" s="115">
        <v>29</v>
      </c>
      <c r="Q106" s="115">
        <v>40.6</v>
      </c>
      <c r="R106" s="115">
        <v>39.4</v>
      </c>
      <c r="S106" s="115">
        <v>37.5</v>
      </c>
      <c r="T106" s="115">
        <v>7.5</v>
      </c>
      <c r="U106" s="115">
        <v>5.3</v>
      </c>
      <c r="V106" s="115">
        <v>8</v>
      </c>
      <c r="W106" s="115">
        <v>0</v>
      </c>
      <c r="X106" s="115">
        <v>43.9</v>
      </c>
      <c r="Y106" s="115">
        <v>44.96</v>
      </c>
      <c r="Z106" s="115">
        <v>41.8</v>
      </c>
      <c r="AA106" s="115">
        <v>50.6</v>
      </c>
      <c r="AB106" s="115">
        <v>48.2</v>
      </c>
      <c r="AC106" s="115">
        <v>42</v>
      </c>
      <c r="AD106" s="115">
        <v>35.700000000000003</v>
      </c>
      <c r="AE106" s="115">
        <v>17.7</v>
      </c>
      <c r="AF106" s="115">
        <v>7.9</v>
      </c>
      <c r="AG106" s="114">
        <v>240</v>
      </c>
      <c r="AH106" s="47">
        <f t="shared" si="13"/>
        <v>50.6</v>
      </c>
      <c r="AI106" s="48">
        <f t="shared" si="14"/>
        <v>-11.5</v>
      </c>
    </row>
    <row r="107" spans="1:35" x14ac:dyDescent="0.25">
      <c r="A107" s="103" t="s">
        <v>115</v>
      </c>
      <c r="B107" s="115">
        <v>-32.6</v>
      </c>
      <c r="C107" s="115">
        <f>-18.1-19.7</f>
        <v>-37.799999999999997</v>
      </c>
      <c r="D107" s="115">
        <f>-21.4-23.1</f>
        <v>-44.5</v>
      </c>
      <c r="E107" s="115">
        <v>-29</v>
      </c>
      <c r="F107" s="115">
        <v>-33.700000000000003</v>
      </c>
      <c r="G107" s="115">
        <v>-24.8</v>
      </c>
      <c r="H107" s="115">
        <v>-11.4</v>
      </c>
      <c r="I107" s="115">
        <v>4.0999999999999996</v>
      </c>
      <c r="J107" s="115">
        <v>1.2</v>
      </c>
      <c r="K107" s="115">
        <v>27</v>
      </c>
      <c r="L107" s="115">
        <v>27</v>
      </c>
      <c r="M107" s="115">
        <v>49.8</v>
      </c>
      <c r="N107" s="115">
        <v>49.2</v>
      </c>
      <c r="O107" s="115">
        <f>22.9+25.8</f>
        <v>48.7</v>
      </c>
      <c r="P107" s="115">
        <v>18.8</v>
      </c>
      <c r="Q107" s="115">
        <f>-2.1-2.8</f>
        <v>-4.9000000000000004</v>
      </c>
      <c r="R107" s="115">
        <v>14.5</v>
      </c>
      <c r="S107" s="115">
        <v>-6.9</v>
      </c>
      <c r="T107" s="115">
        <v>-20</v>
      </c>
      <c r="U107" s="115">
        <v>-7</v>
      </c>
      <c r="V107" s="115">
        <v>-30</v>
      </c>
      <c r="W107" s="115">
        <v>-33</v>
      </c>
      <c r="X107" s="115">
        <v>44</v>
      </c>
      <c r="Y107" s="115">
        <v>55.8</v>
      </c>
      <c r="Z107" s="115">
        <v>54.5</v>
      </c>
      <c r="AA107" s="115">
        <v>40.700000000000003</v>
      </c>
      <c r="AB107" s="115">
        <v>41.7</v>
      </c>
      <c r="AC107" s="115">
        <v>25.6</v>
      </c>
      <c r="AD107" s="115">
        <v>15</v>
      </c>
      <c r="AE107" s="115">
        <v>-15</v>
      </c>
      <c r="AF107" s="115">
        <v>-32</v>
      </c>
      <c r="AG107" s="114">
        <v>240</v>
      </c>
      <c r="AH107" s="47">
        <f t="shared" si="13"/>
        <v>55.8</v>
      </c>
      <c r="AI107" s="48">
        <f t="shared" si="14"/>
        <v>-44.5</v>
      </c>
    </row>
    <row r="108" spans="1:35" x14ac:dyDescent="0.25">
      <c r="A108" s="103" t="s">
        <v>116</v>
      </c>
      <c r="B108" s="115">
        <v>-1.5</v>
      </c>
      <c r="C108" s="115">
        <v>-5.5</v>
      </c>
      <c r="D108" s="115">
        <v>-5.4</v>
      </c>
      <c r="E108" s="115">
        <v>-5</v>
      </c>
      <c r="F108" s="115">
        <v>-4.5</v>
      </c>
      <c r="G108" s="115">
        <v>-2.2000000000000002</v>
      </c>
      <c r="H108" s="115">
        <v>0.3</v>
      </c>
      <c r="I108" s="115">
        <v>6.2</v>
      </c>
      <c r="J108" s="115">
        <v>10</v>
      </c>
      <c r="K108" s="115">
        <v>19</v>
      </c>
      <c r="L108" s="115">
        <v>19</v>
      </c>
      <c r="M108" s="115">
        <v>23.6</v>
      </c>
      <c r="N108" s="115">
        <v>23</v>
      </c>
      <c r="O108" s="115">
        <v>22.3</v>
      </c>
      <c r="P108" s="115">
        <v>14.5</v>
      </c>
      <c r="Q108" s="115">
        <v>5.2</v>
      </c>
      <c r="R108" s="115">
        <v>4.7</v>
      </c>
      <c r="S108" s="115">
        <v>3</v>
      </c>
      <c r="T108" s="115">
        <v>37</v>
      </c>
      <c r="U108" s="115">
        <v>42</v>
      </c>
      <c r="V108" s="115">
        <v>52</v>
      </c>
      <c r="W108" s="115">
        <v>56.5</v>
      </c>
      <c r="X108" s="115">
        <v>53</v>
      </c>
      <c r="Y108" s="115">
        <v>63.3</v>
      </c>
      <c r="Z108" s="115">
        <v>58.2</v>
      </c>
      <c r="AA108" s="115">
        <v>50</v>
      </c>
      <c r="AB108" s="115">
        <v>34.299999999999997</v>
      </c>
      <c r="AC108" s="115">
        <v>40.6</v>
      </c>
      <c r="AD108" s="115">
        <v>33.1</v>
      </c>
      <c r="AE108" s="115">
        <v>25.2</v>
      </c>
      <c r="AF108" s="115">
        <v>-1.5</v>
      </c>
      <c r="AG108" s="114">
        <v>60</v>
      </c>
      <c r="AH108" s="47">
        <f t="shared" si="13"/>
        <v>63.3</v>
      </c>
      <c r="AI108" s="48">
        <f t="shared" si="14"/>
        <v>-5.5</v>
      </c>
    </row>
    <row r="109" spans="1:35" x14ac:dyDescent="0.25">
      <c r="A109" s="116" t="s">
        <v>117</v>
      </c>
      <c r="B109" s="117">
        <v>90.1</v>
      </c>
      <c r="C109" s="117">
        <v>89</v>
      </c>
      <c r="D109" s="117">
        <v>82.7</v>
      </c>
      <c r="E109" s="117">
        <v>70.8</v>
      </c>
      <c r="F109" s="117">
        <v>83.9</v>
      </c>
      <c r="G109" s="117">
        <v>90</v>
      </c>
      <c r="H109" s="117">
        <v>95.2</v>
      </c>
      <c r="I109" s="117">
        <v>103.3</v>
      </c>
      <c r="J109" s="117">
        <v>104</v>
      </c>
      <c r="K109" s="117">
        <v>103.7</v>
      </c>
      <c r="L109" s="117">
        <v>103.7</v>
      </c>
      <c r="M109" s="117">
        <v>114.3</v>
      </c>
      <c r="N109" s="117">
        <v>96</v>
      </c>
      <c r="O109" s="117">
        <v>79</v>
      </c>
      <c r="P109" s="117">
        <v>109.5</v>
      </c>
      <c r="Q109" s="117">
        <v>108.2</v>
      </c>
      <c r="R109" s="117">
        <v>102.3</v>
      </c>
      <c r="S109" s="117">
        <v>106.2</v>
      </c>
      <c r="T109" s="117">
        <v>108</v>
      </c>
      <c r="U109" s="117">
        <v>109</v>
      </c>
      <c r="V109" s="117">
        <v>91</v>
      </c>
      <c r="W109" s="117">
        <v>103.5</v>
      </c>
      <c r="X109" s="117">
        <v>86.9</v>
      </c>
      <c r="Y109" s="117">
        <v>106.8</v>
      </c>
      <c r="Z109" s="117">
        <v>99.6</v>
      </c>
      <c r="AA109" s="117">
        <v>92.6</v>
      </c>
      <c r="AB109" s="117">
        <v>87.4</v>
      </c>
      <c r="AC109" s="117">
        <v>73</v>
      </c>
      <c r="AD109" s="117">
        <v>95</v>
      </c>
      <c r="AE109" s="117">
        <v>82.8</v>
      </c>
      <c r="AF109" s="117">
        <v>85</v>
      </c>
      <c r="AG109" s="118">
        <v>120</v>
      </c>
      <c r="AH109" s="47">
        <f t="shared" si="13"/>
        <v>114.3</v>
      </c>
      <c r="AI109" s="48">
        <f t="shared" si="14"/>
        <v>70.8</v>
      </c>
    </row>
    <row r="110" spans="1:35" x14ac:dyDescent="0.25">
      <c r="A110" s="116" t="s">
        <v>118</v>
      </c>
      <c r="B110" s="117">
        <v>93.2</v>
      </c>
      <c r="C110" s="117">
        <v>94.8</v>
      </c>
      <c r="D110" s="117">
        <v>91.2</v>
      </c>
      <c r="E110" s="117">
        <v>69</v>
      </c>
      <c r="F110" s="117">
        <v>79.739999999999995</v>
      </c>
      <c r="G110" s="117">
        <v>81.2</v>
      </c>
      <c r="H110" s="117">
        <v>85.8</v>
      </c>
      <c r="I110" s="117">
        <v>86.5</v>
      </c>
      <c r="J110" s="117">
        <v>84.8</v>
      </c>
      <c r="K110" s="117">
        <v>76.2</v>
      </c>
      <c r="L110" s="117">
        <v>76.2</v>
      </c>
      <c r="M110" s="117">
        <v>71.3</v>
      </c>
      <c r="N110" s="117">
        <v>72.900000000000006</v>
      </c>
      <c r="O110" s="117">
        <v>65.8</v>
      </c>
      <c r="P110" s="117">
        <v>84</v>
      </c>
      <c r="Q110" s="117">
        <v>98.2</v>
      </c>
      <c r="R110" s="117">
        <v>93</v>
      </c>
      <c r="S110" s="117">
        <v>94.6</v>
      </c>
      <c r="T110" s="117">
        <v>95</v>
      </c>
      <c r="U110" s="117">
        <v>93</v>
      </c>
      <c r="V110" s="117">
        <v>72</v>
      </c>
      <c r="W110" s="117">
        <v>77</v>
      </c>
      <c r="X110" s="117">
        <v>65</v>
      </c>
      <c r="Y110" s="117">
        <v>70.2</v>
      </c>
      <c r="Z110" s="117">
        <v>70</v>
      </c>
      <c r="AA110" s="117">
        <v>61.2</v>
      </c>
      <c r="AB110" s="117">
        <v>85.3</v>
      </c>
      <c r="AC110" s="117">
        <v>86.3</v>
      </c>
      <c r="AD110" s="117">
        <v>76.7</v>
      </c>
      <c r="AE110" s="117">
        <v>75.5</v>
      </c>
      <c r="AF110" s="117">
        <v>89.4</v>
      </c>
      <c r="AG110" s="118"/>
      <c r="AH110" s="47">
        <f t="shared" si="13"/>
        <v>98.2</v>
      </c>
      <c r="AI110" s="48">
        <f t="shared" si="14"/>
        <v>61.2</v>
      </c>
    </row>
    <row r="111" spans="1:35" x14ac:dyDescent="0.25">
      <c r="A111" s="116" t="s">
        <v>119</v>
      </c>
      <c r="B111" s="117">
        <v>35.200000000000003</v>
      </c>
      <c r="C111" s="117">
        <v>37</v>
      </c>
      <c r="D111" s="117">
        <v>36.1</v>
      </c>
      <c r="E111" s="117">
        <v>37.299999999999997</v>
      </c>
      <c r="F111" s="117">
        <v>34.6</v>
      </c>
      <c r="G111" s="117">
        <v>38.799999999999997</v>
      </c>
      <c r="H111" s="117">
        <v>30.4</v>
      </c>
      <c r="I111" s="117">
        <v>25.6</v>
      </c>
      <c r="J111" s="117">
        <v>15.8</v>
      </c>
      <c r="K111" s="117">
        <v>11.7</v>
      </c>
      <c r="L111" s="117">
        <v>11.7</v>
      </c>
      <c r="M111" s="117">
        <v>13.5</v>
      </c>
      <c r="N111" s="117">
        <v>14.5</v>
      </c>
      <c r="O111" s="117">
        <v>6.7</v>
      </c>
      <c r="P111" s="117">
        <v>11.5</v>
      </c>
      <c r="Q111" s="117">
        <v>15.3</v>
      </c>
      <c r="R111" s="117">
        <v>10</v>
      </c>
      <c r="S111" s="117">
        <v>9</v>
      </c>
      <c r="T111" s="117">
        <v>16.5</v>
      </c>
      <c r="U111" s="117">
        <v>19</v>
      </c>
      <c r="V111" s="117">
        <v>16</v>
      </c>
      <c r="W111" s="117">
        <v>19.5</v>
      </c>
      <c r="X111" s="117">
        <v>-3.5</v>
      </c>
      <c r="Y111" s="117">
        <v>9.8000000000000007</v>
      </c>
      <c r="Z111" s="117">
        <v>12.4</v>
      </c>
      <c r="AA111" s="117">
        <v>4.0999999999999996</v>
      </c>
      <c r="AB111" s="117">
        <v>8.5</v>
      </c>
      <c r="AC111" s="117">
        <v>8.6</v>
      </c>
      <c r="AD111" s="117">
        <v>17.3</v>
      </c>
      <c r="AE111" s="117">
        <v>23.5</v>
      </c>
      <c r="AF111" s="117">
        <v>24.8</v>
      </c>
      <c r="AG111" s="119"/>
      <c r="AH111" s="47">
        <f t="shared" si="13"/>
        <v>38.799999999999997</v>
      </c>
      <c r="AI111" s="48">
        <f t="shared" si="14"/>
        <v>-3.5</v>
      </c>
    </row>
    <row r="112" spans="1:35" x14ac:dyDescent="0.25">
      <c r="A112" s="120" t="s">
        <v>120</v>
      </c>
      <c r="B112" s="106">
        <v>20.5</v>
      </c>
      <c r="C112" s="106">
        <v>25</v>
      </c>
      <c r="D112" s="106">
        <v>19.3</v>
      </c>
      <c r="E112" s="106">
        <v>14.3</v>
      </c>
      <c r="F112" s="106">
        <v>18</v>
      </c>
      <c r="G112" s="106">
        <v>15.8</v>
      </c>
      <c r="H112" s="106">
        <v>6.6</v>
      </c>
      <c r="I112" s="106">
        <v>-2.5</v>
      </c>
      <c r="J112" s="106">
        <v>-17.3</v>
      </c>
      <c r="K112" s="106">
        <v>-36.299999999999997</v>
      </c>
      <c r="L112" s="106">
        <v>-36.299999999999997</v>
      </c>
      <c r="M112" s="106">
        <v>-39.6</v>
      </c>
      <c r="N112" s="106">
        <v>-29.2</v>
      </c>
      <c r="O112" s="106">
        <v>-22.9</v>
      </c>
      <c r="P112" s="106">
        <v>-19.5</v>
      </c>
      <c r="Q112" s="106">
        <v>-11.7</v>
      </c>
      <c r="R112" s="106">
        <v>-5.0999999999999996</v>
      </c>
      <c r="S112" s="106">
        <v>-7.7</v>
      </c>
      <c r="T112" s="106">
        <v>-9</v>
      </c>
      <c r="U112" s="106">
        <v>18</v>
      </c>
      <c r="V112" s="106">
        <v>26</v>
      </c>
      <c r="W112" s="106">
        <v>-41.6</v>
      </c>
      <c r="X112" s="106">
        <v>-63</v>
      </c>
      <c r="Y112" s="106">
        <v>-62.9</v>
      </c>
      <c r="Z112" s="106">
        <v>-52.3</v>
      </c>
      <c r="AA112" s="106">
        <v>-40.6</v>
      </c>
      <c r="AB112" s="106">
        <v>-21.6</v>
      </c>
      <c r="AC112" s="106">
        <v>-8.6999999999999993</v>
      </c>
      <c r="AD112" s="106">
        <v>4.4000000000000004</v>
      </c>
      <c r="AE112" s="106">
        <v>4.5</v>
      </c>
      <c r="AF112" s="106">
        <v>14</v>
      </c>
      <c r="AG112" s="119"/>
      <c r="AH112" s="47">
        <f t="shared" si="13"/>
        <v>26</v>
      </c>
      <c r="AI112" s="48">
        <f t="shared" si="14"/>
        <v>-63</v>
      </c>
    </row>
    <row r="113" spans="1:37" ht="15.75" thickBot="1" x14ac:dyDescent="0.3">
      <c r="A113" s="120" t="s">
        <v>121</v>
      </c>
      <c r="B113" s="106">
        <v>11.3</v>
      </c>
      <c r="C113" s="106">
        <v>12.9</v>
      </c>
      <c r="D113" s="106">
        <v>18.899999999999999</v>
      </c>
      <c r="E113" s="106">
        <v>8.8000000000000007</v>
      </c>
      <c r="F113" s="106">
        <v>11</v>
      </c>
      <c r="G113" s="106">
        <v>1.8</v>
      </c>
      <c r="H113" s="106">
        <v>-3</v>
      </c>
      <c r="I113" s="106">
        <v>-5.8</v>
      </c>
      <c r="J113" s="106">
        <v>0</v>
      </c>
      <c r="K113" s="106">
        <v>-22.4</v>
      </c>
      <c r="L113" s="106">
        <v>-22.4</v>
      </c>
      <c r="M113" s="106">
        <v>-36.799999999999997</v>
      </c>
      <c r="N113" s="106">
        <v>-39.5</v>
      </c>
      <c r="O113" s="106">
        <v>-37.299999999999997</v>
      </c>
      <c r="P113" s="106">
        <v>-19.2</v>
      </c>
      <c r="Q113" s="106">
        <v>-2.4</v>
      </c>
      <c r="R113" s="106">
        <v>6.7</v>
      </c>
      <c r="S113" s="106">
        <v>6</v>
      </c>
      <c r="T113" s="106">
        <v>8</v>
      </c>
      <c r="U113" s="106">
        <v>19</v>
      </c>
      <c r="V113" s="106">
        <v>7</v>
      </c>
      <c r="W113" s="106">
        <v>-22</v>
      </c>
      <c r="X113" s="106">
        <v>-3.4</v>
      </c>
      <c r="Y113" s="106">
        <v>-12.8</v>
      </c>
      <c r="Z113" s="106">
        <v>-12.4</v>
      </c>
      <c r="AA113" s="106">
        <v>-6.3</v>
      </c>
      <c r="AB113" s="106">
        <v>-26.8</v>
      </c>
      <c r="AC113" s="106">
        <v>-12.7</v>
      </c>
      <c r="AD113" s="106">
        <v>0</v>
      </c>
      <c r="AE113" s="106">
        <v>20</v>
      </c>
      <c r="AF113" s="106">
        <v>16</v>
      </c>
      <c r="AG113" s="119"/>
      <c r="AH113" s="47">
        <f t="shared" si="13"/>
        <v>20</v>
      </c>
      <c r="AI113" s="48">
        <f t="shared" si="14"/>
        <v>-39.5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22">SUM(B115:B219)</f>
        <v>0</v>
      </c>
      <c r="C220" s="136">
        <f t="shared" si="22"/>
        <v>0</v>
      </c>
      <c r="D220" s="136">
        <f t="shared" si="22"/>
        <v>0</v>
      </c>
      <c r="E220" s="136">
        <f t="shared" si="22"/>
        <v>0</v>
      </c>
      <c r="F220" s="136">
        <f t="shared" si="22"/>
        <v>0</v>
      </c>
      <c r="G220" s="136">
        <f t="shared" si="22"/>
        <v>0</v>
      </c>
      <c r="H220" s="136">
        <f t="shared" si="22"/>
        <v>0</v>
      </c>
      <c r="I220" s="136">
        <f t="shared" si="22"/>
        <v>0</v>
      </c>
      <c r="J220" s="136">
        <f t="shared" si="22"/>
        <v>0</v>
      </c>
      <c r="K220" s="136">
        <f t="shared" si="22"/>
        <v>0</v>
      </c>
      <c r="L220" s="136">
        <f t="shared" si="22"/>
        <v>0</v>
      </c>
      <c r="M220" s="136">
        <f t="shared" si="22"/>
        <v>0</v>
      </c>
      <c r="N220" s="136">
        <f t="shared" si="22"/>
        <v>0</v>
      </c>
      <c r="O220" s="136">
        <f t="shared" si="22"/>
        <v>0</v>
      </c>
      <c r="P220" s="136">
        <f t="shared" si="22"/>
        <v>0</v>
      </c>
      <c r="Q220" s="136">
        <f t="shared" si="22"/>
        <v>0</v>
      </c>
      <c r="R220" s="136">
        <f t="shared" si="22"/>
        <v>0</v>
      </c>
      <c r="S220" s="136">
        <f t="shared" si="22"/>
        <v>0</v>
      </c>
      <c r="T220" s="136">
        <f t="shared" si="22"/>
        <v>0</v>
      </c>
      <c r="U220" s="136">
        <f t="shared" si="22"/>
        <v>0</v>
      </c>
      <c r="V220" s="136">
        <f t="shared" si="22"/>
        <v>0</v>
      </c>
      <c r="W220" s="136">
        <f t="shared" si="22"/>
        <v>0</v>
      </c>
      <c r="X220" s="136">
        <f t="shared" si="22"/>
        <v>0</v>
      </c>
      <c r="Y220" s="136">
        <f t="shared" si="22"/>
        <v>0</v>
      </c>
      <c r="Z220" s="136">
        <f t="shared" si="22"/>
        <v>0</v>
      </c>
      <c r="AA220" s="136">
        <f t="shared" si="22"/>
        <v>0</v>
      </c>
      <c r="AB220" s="136">
        <f t="shared" si="22"/>
        <v>0</v>
      </c>
      <c r="AC220" s="136">
        <f t="shared" si="22"/>
        <v>0</v>
      </c>
      <c r="AD220" s="136">
        <f t="shared" si="22"/>
        <v>0</v>
      </c>
      <c r="AE220" s="136">
        <f t="shared" si="22"/>
        <v>0</v>
      </c>
      <c r="AF220" s="137">
        <f t="shared" si="22"/>
        <v>0</v>
      </c>
      <c r="AG220" s="138">
        <f t="shared" si="22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23">AF222</f>
        <v>0</v>
      </c>
      <c r="C222" s="140">
        <v>0.3</v>
      </c>
      <c r="D222" s="140">
        <f t="shared" ref="D222:P227" si="24">C222</f>
        <v>0.3</v>
      </c>
      <c r="E222" s="140">
        <f t="shared" si="24"/>
        <v>0.3</v>
      </c>
      <c r="F222" s="140">
        <f t="shared" si="24"/>
        <v>0.3</v>
      </c>
      <c r="G222" s="140">
        <f t="shared" si="24"/>
        <v>0.3</v>
      </c>
      <c r="H222" s="140">
        <f t="shared" si="24"/>
        <v>0.3</v>
      </c>
      <c r="I222" s="140">
        <f t="shared" si="24"/>
        <v>0.3</v>
      </c>
      <c r="J222" s="140">
        <f t="shared" si="24"/>
        <v>0.3</v>
      </c>
      <c r="K222" s="140">
        <f t="shared" si="24"/>
        <v>0.3</v>
      </c>
      <c r="L222" s="140">
        <f t="shared" si="24"/>
        <v>0.3</v>
      </c>
      <c r="M222" s="140">
        <f t="shared" si="24"/>
        <v>0.3</v>
      </c>
      <c r="N222" s="140">
        <f t="shared" si="24"/>
        <v>0.3</v>
      </c>
      <c r="O222" s="140">
        <f t="shared" si="24"/>
        <v>0.3</v>
      </c>
      <c r="P222" s="140">
        <f t="shared" si="24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23"/>
        <v>0</v>
      </c>
      <c r="C223" s="128">
        <v>0.4</v>
      </c>
      <c r="D223" s="128">
        <f t="shared" si="24"/>
        <v>0.4</v>
      </c>
      <c r="E223" s="128">
        <f t="shared" si="24"/>
        <v>0.4</v>
      </c>
      <c r="F223" s="128">
        <f t="shared" si="24"/>
        <v>0.4</v>
      </c>
      <c r="G223" s="128">
        <f t="shared" si="24"/>
        <v>0.4</v>
      </c>
      <c r="H223" s="128">
        <f t="shared" si="24"/>
        <v>0.4</v>
      </c>
      <c r="I223" s="128">
        <f t="shared" si="24"/>
        <v>0.4</v>
      </c>
      <c r="J223" s="128">
        <f t="shared" si="24"/>
        <v>0.4</v>
      </c>
      <c r="K223" s="128">
        <f t="shared" si="24"/>
        <v>0.4</v>
      </c>
      <c r="L223" s="128">
        <f t="shared" si="24"/>
        <v>0.4</v>
      </c>
      <c r="M223" s="128">
        <f t="shared" si="24"/>
        <v>0.4</v>
      </c>
      <c r="N223" s="128">
        <f t="shared" si="24"/>
        <v>0.4</v>
      </c>
      <c r="O223" s="128">
        <f t="shared" si="24"/>
        <v>0.4</v>
      </c>
      <c r="P223" s="128">
        <f t="shared" si="24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23"/>
        <v>0</v>
      </c>
      <c r="C224" s="128">
        <v>1.5</v>
      </c>
      <c r="D224" s="128">
        <f t="shared" si="24"/>
        <v>1.5</v>
      </c>
      <c r="E224" s="128">
        <f t="shared" si="24"/>
        <v>1.5</v>
      </c>
      <c r="F224" s="128">
        <f t="shared" si="24"/>
        <v>1.5</v>
      </c>
      <c r="G224" s="128">
        <f t="shared" si="24"/>
        <v>1.5</v>
      </c>
      <c r="H224" s="128">
        <f t="shared" si="24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24"/>
        <v>1.5</v>
      </c>
      <c r="K224" s="128">
        <f t="shared" ca="1" si="24"/>
        <v>1.5</v>
      </c>
      <c r="L224" s="128">
        <f t="shared" ca="1" si="24"/>
        <v>1.5</v>
      </c>
      <c r="M224" s="128">
        <f t="shared" ca="1" si="24"/>
        <v>1.5</v>
      </c>
      <c r="N224" s="128">
        <f t="shared" ca="1" si="24"/>
        <v>1.5</v>
      </c>
      <c r="O224" s="128">
        <f t="shared" ca="1" si="24"/>
        <v>1.5</v>
      </c>
      <c r="P224" s="128">
        <f t="shared" ca="1" si="24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23"/>
        <v>0</v>
      </c>
      <c r="C225" s="128">
        <v>0.3</v>
      </c>
      <c r="D225" s="128">
        <f t="shared" si="24"/>
        <v>0.3</v>
      </c>
      <c r="E225" s="128">
        <f t="shared" si="24"/>
        <v>0.3</v>
      </c>
      <c r="F225" s="128">
        <f t="shared" si="24"/>
        <v>0.3</v>
      </c>
      <c r="G225" s="128">
        <f t="shared" si="24"/>
        <v>0.3</v>
      </c>
      <c r="H225" s="128">
        <f t="shared" si="24"/>
        <v>0.3</v>
      </c>
      <c r="I225" s="128">
        <f t="shared" si="24"/>
        <v>0.3</v>
      </c>
      <c r="J225" s="128">
        <f t="shared" si="24"/>
        <v>0.3</v>
      </c>
      <c r="K225" s="128">
        <f t="shared" si="24"/>
        <v>0.3</v>
      </c>
      <c r="L225" s="128">
        <f t="shared" si="24"/>
        <v>0.3</v>
      </c>
      <c r="M225" s="128">
        <f t="shared" si="24"/>
        <v>0.3</v>
      </c>
      <c r="N225" s="128">
        <f t="shared" si="24"/>
        <v>0.3</v>
      </c>
      <c r="O225" s="128">
        <f t="shared" si="24"/>
        <v>0.3</v>
      </c>
      <c r="P225" s="128">
        <f t="shared" si="24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23"/>
        <v>0</v>
      </c>
      <c r="C226" s="128">
        <v>0.4</v>
      </c>
      <c r="D226" s="128">
        <f t="shared" si="24"/>
        <v>0.4</v>
      </c>
      <c r="E226" s="128">
        <f t="shared" si="24"/>
        <v>0.4</v>
      </c>
      <c r="F226" s="128">
        <f t="shared" si="24"/>
        <v>0.4</v>
      </c>
      <c r="G226" s="128">
        <f t="shared" si="24"/>
        <v>0.4</v>
      </c>
      <c r="H226" s="128">
        <f t="shared" si="24"/>
        <v>0.4</v>
      </c>
      <c r="I226" s="128">
        <f t="shared" si="24"/>
        <v>0.4</v>
      </c>
      <c r="J226" s="128">
        <f t="shared" si="24"/>
        <v>0.4</v>
      </c>
      <c r="K226" s="128">
        <f t="shared" si="24"/>
        <v>0.4</v>
      </c>
      <c r="L226" s="128">
        <f t="shared" si="24"/>
        <v>0.4</v>
      </c>
      <c r="M226" s="128">
        <f t="shared" si="24"/>
        <v>0.4</v>
      </c>
      <c r="N226" s="128">
        <f t="shared" si="24"/>
        <v>0.4</v>
      </c>
      <c r="O226" s="128">
        <f t="shared" si="24"/>
        <v>0.4</v>
      </c>
      <c r="P226" s="128">
        <f t="shared" si="24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23"/>
        <v>0</v>
      </c>
      <c r="C227" s="132">
        <v>0.64</v>
      </c>
      <c r="D227" s="132">
        <f t="shared" si="24"/>
        <v>0.64</v>
      </c>
      <c r="E227" s="132">
        <f t="shared" si="24"/>
        <v>0.64</v>
      </c>
      <c r="F227" s="132">
        <f t="shared" si="24"/>
        <v>0.64</v>
      </c>
      <c r="G227" s="132">
        <f t="shared" si="24"/>
        <v>0.64</v>
      </c>
      <c r="H227" s="132">
        <f t="shared" si="24"/>
        <v>0.64</v>
      </c>
      <c r="I227" s="132">
        <f t="shared" si="24"/>
        <v>0.64</v>
      </c>
      <c r="J227" s="132">
        <f t="shared" si="24"/>
        <v>0.64</v>
      </c>
      <c r="K227" s="132">
        <f t="shared" si="24"/>
        <v>0.64</v>
      </c>
      <c r="L227" s="132">
        <f t="shared" si="24"/>
        <v>0.64</v>
      </c>
      <c r="M227" s="132">
        <f t="shared" si="24"/>
        <v>0.64</v>
      </c>
      <c r="N227" s="132">
        <f t="shared" si="24"/>
        <v>0.64</v>
      </c>
      <c r="O227" s="132">
        <f t="shared" si="24"/>
        <v>0.64</v>
      </c>
      <c r="P227" s="132">
        <f t="shared" si="24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25">SUM(B222:B227)</f>
        <v>0</v>
      </c>
      <c r="C228" s="136">
        <f t="shared" si="25"/>
        <v>3.54</v>
      </c>
      <c r="D228" s="136">
        <f t="shared" si="25"/>
        <v>3.54</v>
      </c>
      <c r="E228" s="136">
        <f t="shared" si="25"/>
        <v>3.54</v>
      </c>
      <c r="F228" s="136">
        <f t="shared" si="25"/>
        <v>3.54</v>
      </c>
      <c r="G228" s="136">
        <f t="shared" si="25"/>
        <v>3.54</v>
      </c>
      <c r="H228" s="136">
        <f t="shared" si="25"/>
        <v>3.54</v>
      </c>
      <c r="I228" s="136">
        <f t="shared" ca="1" si="25"/>
        <v>3.54</v>
      </c>
      <c r="J228" s="136">
        <f t="shared" ca="1" si="25"/>
        <v>3.54</v>
      </c>
      <c r="K228" s="136">
        <f t="shared" ca="1" si="25"/>
        <v>3.54</v>
      </c>
      <c r="L228" s="136">
        <f t="shared" ca="1" si="25"/>
        <v>3.54</v>
      </c>
      <c r="M228" s="136">
        <f t="shared" ca="1" si="25"/>
        <v>3.54</v>
      </c>
      <c r="N228" s="136">
        <f t="shared" ca="1" si="25"/>
        <v>3.54</v>
      </c>
      <c r="O228" s="136">
        <f t="shared" ca="1" si="25"/>
        <v>3.54</v>
      </c>
      <c r="P228" s="136">
        <f t="shared" ca="1" si="25"/>
        <v>3.54</v>
      </c>
      <c r="Q228" s="136">
        <f t="shared" si="25"/>
        <v>0</v>
      </c>
      <c r="R228" s="136">
        <f t="shared" si="25"/>
        <v>0</v>
      </c>
      <c r="S228" s="136">
        <f t="shared" si="25"/>
        <v>0</v>
      </c>
      <c r="T228" s="136">
        <f t="shared" si="25"/>
        <v>0</v>
      </c>
      <c r="U228" s="136">
        <f t="shared" si="25"/>
        <v>0</v>
      </c>
      <c r="V228" s="136">
        <f t="shared" si="25"/>
        <v>0</v>
      </c>
      <c r="W228" s="136">
        <f t="shared" si="25"/>
        <v>0</v>
      </c>
      <c r="X228" s="136">
        <f t="shared" si="25"/>
        <v>0</v>
      </c>
      <c r="Y228" s="136">
        <f t="shared" si="25"/>
        <v>0</v>
      </c>
      <c r="Z228" s="136">
        <f t="shared" si="25"/>
        <v>0</v>
      </c>
      <c r="AA228" s="136">
        <f t="shared" si="25"/>
        <v>0</v>
      </c>
      <c r="AB228" s="136">
        <f t="shared" si="25"/>
        <v>0</v>
      </c>
      <c r="AC228" s="136">
        <f t="shared" si="25"/>
        <v>0</v>
      </c>
      <c r="AD228" s="136">
        <f t="shared" si="25"/>
        <v>0</v>
      </c>
      <c r="AE228" s="136">
        <f t="shared" si="25"/>
        <v>0</v>
      </c>
      <c r="AF228" s="136">
        <f t="shared" si="25"/>
        <v>0</v>
      </c>
      <c r="AG228" s="145">
        <f t="shared" si="25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1567.44</v>
      </c>
      <c r="C237" s="161">
        <f>INDEX(G9:N9,1,MATCH(MAX(G85:N85),G85:N85,0))</f>
        <v>0.3125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19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str">
        <f ca="1">"Pie Chart of Daily Peak Demand(Inclusive of Export) of Nepal ("&amp;A4&amp;" "&amp;B4&amp;")"</f>
        <v>Pie Chart of Daily Peak Demand(Inclusive of Export) of Nepal (Nepali Date: 2079/09/19)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2079/09/19)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6">B85</f>
        <v>1075.8399999999999</v>
      </c>
      <c r="U242" s="170">
        <f t="shared" si="26"/>
        <v>1087.6399999999999</v>
      </c>
      <c r="V242" s="170">
        <f t="shared" si="26"/>
        <v>1102.1399999999999</v>
      </c>
      <c r="W242" s="170">
        <f t="shared" si="26"/>
        <v>999.54</v>
      </c>
      <c r="X242" s="170">
        <f t="shared" si="26"/>
        <v>1040.1399999999999</v>
      </c>
      <c r="Y242" s="170">
        <f t="shared" si="26"/>
        <v>1063.44</v>
      </c>
      <c r="Z242" s="170">
        <f t="shared" si="26"/>
        <v>1105.74</v>
      </c>
      <c r="AA242" s="170">
        <f t="shared" si="26"/>
        <v>1155.44</v>
      </c>
      <c r="AB242" s="170">
        <f t="shared" si="26"/>
        <v>1280.3400000000001</v>
      </c>
      <c r="AC242" s="170">
        <f t="shared" si="26"/>
        <v>1445.44</v>
      </c>
      <c r="AD242" s="170">
        <f t="shared" si="26"/>
        <v>1567.44</v>
      </c>
      <c r="AE242" s="170">
        <f t="shared" si="26"/>
        <v>1527.94</v>
      </c>
      <c r="AF242" s="170">
        <f t="shared" si="26"/>
        <v>1431.2399999999998</v>
      </c>
      <c r="AG242" s="170">
        <f t="shared" si="26"/>
        <v>1415.7399999999998</v>
      </c>
      <c r="AH242" s="170">
        <f t="shared" si="26"/>
        <v>1217.94</v>
      </c>
      <c r="AI242" s="170">
        <f t="shared" si="26"/>
        <v>1292.44</v>
      </c>
      <c r="AJ242" s="170">
        <f t="shared" si="26"/>
        <v>1287.94</v>
      </c>
      <c r="AK242" s="170">
        <f t="shared" si="26"/>
        <v>1268.94</v>
      </c>
      <c r="AL242" s="170">
        <f t="shared" si="26"/>
        <v>1261.1399999999999</v>
      </c>
      <c r="AM242" s="170">
        <f t="shared" si="26"/>
        <v>1280.8399999999999</v>
      </c>
      <c r="AN242" s="170">
        <f t="shared" si="26"/>
        <v>1218.2399999999998</v>
      </c>
      <c r="AO242" s="170">
        <f t="shared" si="26"/>
        <v>1209.3399999999999</v>
      </c>
      <c r="AP242" s="170">
        <f t="shared" si="26"/>
        <v>1287.54</v>
      </c>
      <c r="AQ242" s="170">
        <f t="shared" si="26"/>
        <v>1573.04</v>
      </c>
      <c r="AR242" s="170">
        <f t="shared" si="26"/>
        <v>1590.54</v>
      </c>
      <c r="AS242" s="170">
        <f t="shared" si="26"/>
        <v>1549.54</v>
      </c>
      <c r="AT242" s="170">
        <f t="shared" si="26"/>
        <v>1406.1399999999999</v>
      </c>
      <c r="AU242" s="170">
        <f t="shared" si="26"/>
        <v>1330.4899999999998</v>
      </c>
      <c r="AV242" s="170">
        <f t="shared" si="26"/>
        <v>1235.29</v>
      </c>
      <c r="AW242" s="170">
        <f t="shared" si="26"/>
        <v>1171.3899999999999</v>
      </c>
      <c r="AX242" s="170">
        <f t="shared" si="26"/>
        <v>1055.99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7">C227</f>
        <v>0.64</v>
      </c>
      <c r="C263" s="173">
        <f t="shared" si="27"/>
        <v>0.64</v>
      </c>
      <c r="D263" s="173">
        <f t="shared" si="27"/>
        <v>0.64</v>
      </c>
      <c r="E263" s="173">
        <f t="shared" si="27"/>
        <v>0.64</v>
      </c>
      <c r="F263" s="173">
        <f t="shared" si="27"/>
        <v>0.64</v>
      </c>
      <c r="G263" s="173">
        <f t="shared" si="27"/>
        <v>0.64</v>
      </c>
      <c r="H263" s="173">
        <f t="shared" si="27"/>
        <v>0.64</v>
      </c>
      <c r="I263" s="173">
        <f t="shared" si="27"/>
        <v>0.64</v>
      </c>
      <c r="J263" s="173">
        <f t="shared" si="27"/>
        <v>0.64</v>
      </c>
      <c r="K263" s="173">
        <f t="shared" si="27"/>
        <v>0.64</v>
      </c>
      <c r="L263" s="173">
        <f t="shared" si="27"/>
        <v>0.64</v>
      </c>
      <c r="M263" s="173">
        <f t="shared" si="27"/>
        <v>0.64</v>
      </c>
      <c r="N263" s="173">
        <f t="shared" si="27"/>
        <v>0.64</v>
      </c>
      <c r="O263" s="173">
        <f t="shared" si="27"/>
        <v>0.64</v>
      </c>
      <c r="P263" s="173">
        <f t="shared" si="27"/>
        <v>0</v>
      </c>
      <c r="Q263" s="173">
        <f t="shared" si="27"/>
        <v>0</v>
      </c>
      <c r="R263" s="173">
        <f t="shared" si="27"/>
        <v>0</v>
      </c>
      <c r="S263" s="173">
        <f t="shared" si="27"/>
        <v>0</v>
      </c>
      <c r="T263" s="173">
        <f t="shared" si="27"/>
        <v>0</v>
      </c>
      <c r="U263" s="173">
        <f t="shared" si="27"/>
        <v>0</v>
      </c>
      <c r="V263" s="173">
        <f t="shared" si="27"/>
        <v>0</v>
      </c>
      <c r="W263" s="173">
        <f t="shared" si="27"/>
        <v>0</v>
      </c>
      <c r="X263" s="173">
        <f t="shared" si="27"/>
        <v>0</v>
      </c>
      <c r="Y263" s="173">
        <f t="shared" si="27"/>
        <v>0</v>
      </c>
      <c r="Z263" s="173">
        <f t="shared" si="27"/>
        <v>0</v>
      </c>
      <c r="AA263" s="173">
        <f t="shared" si="27"/>
        <v>0</v>
      </c>
      <c r="AB263" s="173">
        <f t="shared" si="27"/>
        <v>0</v>
      </c>
      <c r="AC263" s="173">
        <f t="shared" si="27"/>
        <v>0</v>
      </c>
      <c r="AD263" s="173">
        <f t="shared" si="27"/>
        <v>0</v>
      </c>
      <c r="AE263" s="173">
        <f t="shared" si="27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8">IF(B231&lt;100,"",B231-520)</f>
        <v/>
      </c>
      <c r="C264" s="174" t="str">
        <f t="shared" si="28"/>
        <v/>
      </c>
      <c r="D264" s="174" t="str">
        <f t="shared" si="28"/>
        <v/>
      </c>
      <c r="E264" s="174" t="str">
        <f t="shared" si="28"/>
        <v/>
      </c>
      <c r="F264" s="174" t="str">
        <f t="shared" si="28"/>
        <v/>
      </c>
      <c r="G264" s="174" t="str">
        <f t="shared" si="28"/>
        <v/>
      </c>
      <c r="H264" s="174" t="str">
        <f t="shared" si="28"/>
        <v/>
      </c>
      <c r="I264" s="174" t="str">
        <f t="shared" si="28"/>
        <v/>
      </c>
      <c r="J264" s="174" t="str">
        <f t="shared" si="28"/>
        <v/>
      </c>
      <c r="K264" s="174" t="str">
        <f t="shared" si="28"/>
        <v/>
      </c>
      <c r="L264" s="174" t="str">
        <f t="shared" si="28"/>
        <v/>
      </c>
      <c r="M264" s="174" t="str">
        <f t="shared" si="28"/>
        <v/>
      </c>
      <c r="N264" s="174" t="str">
        <f t="shared" si="28"/>
        <v/>
      </c>
      <c r="O264" s="174" t="str">
        <f t="shared" si="28"/>
        <v/>
      </c>
      <c r="P264" s="174" t="str">
        <f t="shared" si="28"/>
        <v/>
      </c>
      <c r="Q264" s="174" t="str">
        <f t="shared" si="28"/>
        <v/>
      </c>
      <c r="R264" s="174" t="str">
        <f t="shared" si="28"/>
        <v/>
      </c>
      <c r="S264" s="174" t="str">
        <f t="shared" si="28"/>
        <v/>
      </c>
      <c r="T264" s="174" t="str">
        <f t="shared" si="28"/>
        <v/>
      </c>
      <c r="U264" s="174" t="str">
        <f t="shared" si="28"/>
        <v/>
      </c>
      <c r="V264" s="174" t="str">
        <f t="shared" si="28"/>
        <v/>
      </c>
      <c r="W264" s="174" t="str">
        <f t="shared" si="28"/>
        <v/>
      </c>
      <c r="X264" s="174" t="str">
        <f t="shared" si="28"/>
        <v/>
      </c>
      <c r="Y264" s="174" t="str">
        <f t="shared" si="28"/>
        <v/>
      </c>
      <c r="Z264" s="174" t="str">
        <f t="shared" si="28"/>
        <v/>
      </c>
      <c r="AA264" s="174" t="str">
        <f t="shared" si="28"/>
        <v/>
      </c>
      <c r="AB264" s="174" t="str">
        <f t="shared" si="28"/>
        <v/>
      </c>
      <c r="AC264" s="174" t="str">
        <f t="shared" si="28"/>
        <v/>
      </c>
      <c r="AD264" s="174" t="str">
        <f t="shared" si="28"/>
        <v/>
      </c>
      <c r="AE264" s="174" t="str">
        <f t="shared" si="28"/>
        <v/>
      </c>
      <c r="AF264" s="174" t="str">
        <f t="shared" si="28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9">IF(B232&lt;100,"",B232-620)</f>
        <v/>
      </c>
      <c r="C265" s="174" t="str">
        <f t="shared" si="29"/>
        <v/>
      </c>
      <c r="D265" s="174" t="str">
        <f t="shared" si="29"/>
        <v/>
      </c>
      <c r="E265" s="174" t="str">
        <f t="shared" si="29"/>
        <v/>
      </c>
      <c r="F265" s="174" t="str">
        <f t="shared" si="29"/>
        <v/>
      </c>
      <c r="G265" s="174" t="str">
        <f t="shared" si="29"/>
        <v/>
      </c>
      <c r="H265" s="174" t="str">
        <f t="shared" si="29"/>
        <v/>
      </c>
      <c r="I265" s="174" t="str">
        <f t="shared" si="29"/>
        <v/>
      </c>
      <c r="J265" s="174" t="str">
        <f t="shared" si="29"/>
        <v/>
      </c>
      <c r="K265" s="174" t="str">
        <f t="shared" si="29"/>
        <v/>
      </c>
      <c r="L265" s="174" t="str">
        <f t="shared" si="29"/>
        <v/>
      </c>
      <c r="M265" s="174" t="str">
        <f t="shared" si="29"/>
        <v/>
      </c>
      <c r="N265" s="174" t="str">
        <f t="shared" si="29"/>
        <v/>
      </c>
      <c r="O265" s="174" t="str">
        <f t="shared" si="29"/>
        <v/>
      </c>
      <c r="P265" s="174" t="str">
        <f t="shared" si="29"/>
        <v/>
      </c>
      <c r="Q265" s="174" t="str">
        <f t="shared" si="29"/>
        <v/>
      </c>
      <c r="R265" s="174" t="str">
        <f t="shared" si="29"/>
        <v/>
      </c>
      <c r="S265" s="174" t="str">
        <f t="shared" si="29"/>
        <v/>
      </c>
      <c r="T265" s="174" t="str">
        <f t="shared" si="29"/>
        <v/>
      </c>
      <c r="U265" s="174" t="str">
        <f t="shared" si="29"/>
        <v/>
      </c>
      <c r="V265" s="174" t="str">
        <f t="shared" si="29"/>
        <v/>
      </c>
      <c r="W265" s="174" t="str">
        <f t="shared" si="29"/>
        <v/>
      </c>
      <c r="X265" s="174" t="str">
        <f t="shared" si="29"/>
        <v/>
      </c>
      <c r="Y265" s="174" t="str">
        <f t="shared" si="29"/>
        <v/>
      </c>
      <c r="Z265" s="174" t="str">
        <f t="shared" si="29"/>
        <v/>
      </c>
      <c r="AA265" s="174" t="str">
        <f t="shared" si="29"/>
        <v/>
      </c>
      <c r="AB265" s="174" t="str">
        <f t="shared" si="29"/>
        <v/>
      </c>
      <c r="AC265" s="174" t="str">
        <f t="shared" si="29"/>
        <v/>
      </c>
      <c r="AD265" s="174" t="str">
        <f t="shared" si="29"/>
        <v/>
      </c>
      <c r="AE265" s="174" t="str">
        <f t="shared" si="29"/>
        <v/>
      </c>
      <c r="AF265" s="174" t="str">
        <f t="shared" si="29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30">IF(B233&lt;100,"",B233-330)</f>
        <v/>
      </c>
      <c r="C266" s="174" t="str">
        <f t="shared" si="30"/>
        <v/>
      </c>
      <c r="D266" s="174" t="str">
        <f t="shared" si="30"/>
        <v/>
      </c>
      <c r="E266" s="174" t="str">
        <f t="shared" si="30"/>
        <v/>
      </c>
      <c r="F266" s="174" t="str">
        <f t="shared" si="30"/>
        <v/>
      </c>
      <c r="G266" s="174" t="str">
        <f t="shared" si="30"/>
        <v/>
      </c>
      <c r="H266" s="174" t="str">
        <f t="shared" si="30"/>
        <v/>
      </c>
      <c r="I266" s="174" t="str">
        <f t="shared" si="30"/>
        <v/>
      </c>
      <c r="J266" s="174" t="str">
        <f t="shared" si="30"/>
        <v/>
      </c>
      <c r="K266" s="174" t="str">
        <f t="shared" si="30"/>
        <v/>
      </c>
      <c r="L266" s="174" t="str">
        <f t="shared" si="30"/>
        <v/>
      </c>
      <c r="M266" s="174" t="str">
        <f t="shared" si="30"/>
        <v/>
      </c>
      <c r="N266" s="174" t="str">
        <f t="shared" si="30"/>
        <v/>
      </c>
      <c r="O266" s="174" t="str">
        <f t="shared" si="30"/>
        <v/>
      </c>
      <c r="P266" s="174" t="str">
        <f t="shared" si="30"/>
        <v/>
      </c>
      <c r="Q266" s="174" t="str">
        <f t="shared" si="30"/>
        <v/>
      </c>
      <c r="R266" s="174" t="str">
        <f t="shared" si="30"/>
        <v/>
      </c>
      <c r="S266" s="174" t="str">
        <f t="shared" si="30"/>
        <v/>
      </c>
      <c r="T266" s="174" t="str">
        <f t="shared" si="30"/>
        <v/>
      </c>
      <c r="U266" s="174" t="str">
        <f t="shared" si="30"/>
        <v/>
      </c>
      <c r="V266" s="174" t="str">
        <f t="shared" si="30"/>
        <v/>
      </c>
      <c r="W266" s="174" t="str">
        <f t="shared" si="30"/>
        <v/>
      </c>
      <c r="X266" s="174" t="str">
        <f t="shared" si="30"/>
        <v/>
      </c>
      <c r="Y266" s="174" t="str">
        <f t="shared" si="30"/>
        <v/>
      </c>
      <c r="Z266" s="174" t="str">
        <f t="shared" si="30"/>
        <v/>
      </c>
      <c r="AA266" s="174" t="str">
        <f t="shared" si="30"/>
        <v/>
      </c>
      <c r="AB266" s="174" t="str">
        <f t="shared" si="30"/>
        <v/>
      </c>
      <c r="AC266" s="174" t="str">
        <f t="shared" si="30"/>
        <v/>
      </c>
      <c r="AD266" s="174" t="str">
        <f t="shared" si="30"/>
        <v/>
      </c>
      <c r="AE266" s="174" t="str">
        <f t="shared" si="30"/>
        <v/>
      </c>
      <c r="AF266" s="174" t="str">
        <f t="shared" si="30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31">IF(B234&lt;100,"",B234-1500)</f>
        <v/>
      </c>
      <c r="C267" s="174" t="str">
        <f t="shared" si="31"/>
        <v/>
      </c>
      <c r="D267" s="174" t="str">
        <f t="shared" si="31"/>
        <v/>
      </c>
      <c r="E267" s="174" t="str">
        <f t="shared" si="31"/>
        <v/>
      </c>
      <c r="F267" s="174" t="str">
        <f t="shared" si="31"/>
        <v/>
      </c>
      <c r="G267" s="174" t="str">
        <f t="shared" si="31"/>
        <v/>
      </c>
      <c r="H267" s="174" t="str">
        <f t="shared" si="31"/>
        <v/>
      </c>
      <c r="I267" s="174" t="str">
        <f t="shared" si="31"/>
        <v/>
      </c>
      <c r="J267" s="174" t="str">
        <f t="shared" si="31"/>
        <v/>
      </c>
      <c r="K267" s="174" t="str">
        <f t="shared" si="31"/>
        <v/>
      </c>
      <c r="L267" s="174" t="str">
        <f t="shared" si="31"/>
        <v/>
      </c>
      <c r="M267" s="174" t="str">
        <f t="shared" si="31"/>
        <v/>
      </c>
      <c r="N267" s="174" t="str">
        <f t="shared" si="31"/>
        <v/>
      </c>
      <c r="O267" s="174" t="str">
        <f t="shared" si="31"/>
        <v/>
      </c>
      <c r="P267" s="174" t="str">
        <f t="shared" si="31"/>
        <v/>
      </c>
      <c r="Q267" s="174" t="str">
        <f t="shared" si="31"/>
        <v/>
      </c>
      <c r="R267" s="174" t="str">
        <f t="shared" si="31"/>
        <v/>
      </c>
      <c r="S267" s="174" t="str">
        <f t="shared" si="31"/>
        <v/>
      </c>
      <c r="T267" s="174" t="str">
        <f t="shared" si="31"/>
        <v/>
      </c>
      <c r="U267" s="174" t="str">
        <f t="shared" si="31"/>
        <v/>
      </c>
      <c r="V267" s="174" t="str">
        <f t="shared" si="31"/>
        <v/>
      </c>
      <c r="W267" s="174" t="str">
        <f t="shared" si="31"/>
        <v/>
      </c>
      <c r="X267" s="174" t="str">
        <f t="shared" si="31"/>
        <v/>
      </c>
      <c r="Y267" s="174" t="str">
        <f t="shared" si="31"/>
        <v/>
      </c>
      <c r="Z267" s="174" t="str">
        <f t="shared" si="31"/>
        <v/>
      </c>
      <c r="AA267" s="174" t="str">
        <f t="shared" si="31"/>
        <v/>
      </c>
      <c r="AB267" s="174" t="str">
        <f t="shared" si="31"/>
        <v/>
      </c>
      <c r="AC267" s="174" t="str">
        <f t="shared" si="31"/>
        <v/>
      </c>
      <c r="AD267" s="174" t="str">
        <f t="shared" si="31"/>
        <v/>
      </c>
      <c r="AE267" s="174" t="str">
        <f t="shared" si="31"/>
        <v/>
      </c>
      <c r="AF267" s="174" t="str">
        <f t="shared" si="31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27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5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AB11:AC14 D105:AF105 D107:AF112 AC15:AC16 AD11:AF16">
    <cfRule type="expression" dxfId="4563" priority="271">
      <formula>B$9&gt;=20/24</formula>
    </cfRule>
    <cfRule type="expression" dxfId="4562" priority="272">
      <formula>AND(B$9&gt;=14/24,B$9&lt;20/24)</formula>
    </cfRule>
    <cfRule type="expression" dxfId="4561" priority="273">
      <formula>AND(B$9&gt;=8/24,B$9&lt;14/24)</formula>
    </cfRule>
    <cfRule type="expression" dxfId="4560" priority="274">
      <formula>B$9&lt;8/24</formula>
    </cfRule>
  </conditionalFormatting>
  <conditionalFormatting sqref="AL4:AL6">
    <cfRule type="iconSet" priority="270">
      <iconSet iconSet="3TrafficLights2" reverse="1">
        <cfvo type="percent" val="0"/>
        <cfvo type="num" val="1"/>
        <cfvo type="num" val="1"/>
      </iconSet>
    </cfRule>
  </conditionalFormatting>
  <conditionalFormatting sqref="AG61 AB11:AC14 AC15:AC16 AD11:AF16">
    <cfRule type="expression" dxfId="4559" priority="269">
      <formula>AB11&gt;$AG11</formula>
    </cfRule>
  </conditionalFormatting>
  <conditionalFormatting sqref="A95:A105 A55:A82 A91:A93 A198:A228 A42:A53 A114:A185 A38:A39 A87:A89 A84:A85 A107:A109 A35:A36 A17:A18 A11:A15 A20:A33">
    <cfRule type="expression" dxfId="4558" priority="268">
      <formula>$AH11=0</formula>
    </cfRule>
  </conditionalFormatting>
  <conditionalFormatting sqref="A110">
    <cfRule type="expression" dxfId="4557" priority="267">
      <formula>$AH110=0</formula>
    </cfRule>
  </conditionalFormatting>
  <conditionalFormatting sqref="AL39">
    <cfRule type="iconSet" priority="266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4556" priority="265">
      <formula>$AH41=0</formula>
    </cfRule>
  </conditionalFormatting>
  <conditionalFormatting sqref="A94">
    <cfRule type="expression" dxfId="4555" priority="264">
      <formula>$AH94=0</formula>
    </cfRule>
  </conditionalFormatting>
  <conditionalFormatting sqref="A16">
    <cfRule type="expression" dxfId="4554" priority="263">
      <formula>$AH16=0</formula>
    </cfRule>
  </conditionalFormatting>
  <conditionalFormatting sqref="A192:A197">
    <cfRule type="expression" dxfId="4553" priority="262">
      <formula>$AH192=0</formula>
    </cfRule>
  </conditionalFormatting>
  <conditionalFormatting sqref="A186:A191">
    <cfRule type="expression" dxfId="4552" priority="261">
      <formula>$AH186=0</formula>
    </cfRule>
  </conditionalFormatting>
  <conditionalFormatting sqref="A54">
    <cfRule type="expression" dxfId="4551" priority="260">
      <formula>$AH54=0</formula>
    </cfRule>
  </conditionalFormatting>
  <conditionalFormatting sqref="A90">
    <cfRule type="expression" dxfId="4550" priority="259">
      <formula>$AH90=0</formula>
    </cfRule>
  </conditionalFormatting>
  <conditionalFormatting sqref="AD95:AF95 E95:X95">
    <cfRule type="expression" dxfId="4549" priority="255">
      <formula>E$9&gt;=20/24</formula>
    </cfRule>
    <cfRule type="expression" dxfId="4548" priority="256">
      <formula>AND(E$9&gt;=14/24,E$9&lt;20/24)</formula>
    </cfRule>
    <cfRule type="expression" dxfId="4547" priority="257">
      <formula>AND(E$9&gt;=8/24,E$9&lt;14/24)</formula>
    </cfRule>
    <cfRule type="expression" dxfId="4546" priority="258">
      <formula>E$9&lt;8/24</formula>
    </cfRule>
  </conditionalFormatting>
  <conditionalFormatting sqref="AL40">
    <cfRule type="iconSet" priority="254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545" priority="277">
      <formula>C$9&gt;=20/24</formula>
    </cfRule>
    <cfRule type="expression" dxfId="4544" priority="278">
      <formula>AND(C$9&gt;=14/24,C$9&lt;20/24)</formula>
    </cfRule>
    <cfRule type="expression" dxfId="4543" priority="279">
      <formula>AND(C$9&gt;=8/24,C$9&lt;14/24)</formula>
    </cfRule>
    <cfRule type="expression" dxfId="4542" priority="280">
      <formula>C$9&lt;8/24</formula>
    </cfRule>
  </conditionalFormatting>
  <conditionalFormatting sqref="A229">
    <cfRule type="expression" dxfId="4541" priority="281">
      <formula>$AH229=0</formula>
    </cfRule>
  </conditionalFormatting>
  <conditionalFormatting sqref="AG241">
    <cfRule type="expression" dxfId="4540" priority="282">
      <formula>B$9&gt;=20/24</formula>
    </cfRule>
    <cfRule type="expression" dxfId="4539" priority="283">
      <formula>AND(B$9&gt;=14/24,B$9&lt;20/24)</formula>
    </cfRule>
    <cfRule type="expression" dxfId="4538" priority="284">
      <formula>AND(B$9&gt;=8/24,B$9&lt;14/24)</formula>
    </cfRule>
    <cfRule type="expression" dxfId="4537" priority="285">
      <formula>B$9&lt;8/24</formula>
    </cfRule>
  </conditionalFormatting>
  <conditionalFormatting sqref="S8">
    <cfRule type="expression" dxfId="4536" priority="250">
      <formula>U$9&gt;=20/24</formula>
    </cfRule>
    <cfRule type="expression" dxfId="4535" priority="251">
      <formula>AND(U$9&gt;=14/24,U$9&lt;20/24)</formula>
    </cfRule>
    <cfRule type="expression" dxfId="4534" priority="252">
      <formula>AND(U$9&gt;=8/24,U$9&lt;14/24)</formula>
    </cfRule>
    <cfRule type="expression" dxfId="4533" priority="253">
      <formula>U$9&lt;8/24</formula>
    </cfRule>
  </conditionalFormatting>
  <conditionalFormatting sqref="AB8">
    <cfRule type="expression" dxfId="4532" priority="246">
      <formula>AD$9&gt;=20/24</formula>
    </cfRule>
    <cfRule type="expression" dxfId="4531" priority="247">
      <formula>AND(AD$9&gt;=14/24,AD$9&lt;20/24)</formula>
    </cfRule>
    <cfRule type="expression" dxfId="4530" priority="248">
      <formula>AND(AD$9&gt;=8/24,AD$9&lt;14/24)</formula>
    </cfRule>
    <cfRule type="expression" dxfId="4529" priority="249">
      <formula>AD$9&lt;8/24</formula>
    </cfRule>
  </conditionalFormatting>
  <conditionalFormatting sqref="AH241:AX241">
    <cfRule type="expression" dxfId="4528" priority="286">
      <formula>AG$9&gt;=20/24</formula>
    </cfRule>
    <cfRule type="expression" dxfId="4527" priority="287">
      <formula>AND(AG$9&gt;=14/24,AG$9&lt;20/24)</formula>
    </cfRule>
    <cfRule type="expression" dxfId="4526" priority="288">
      <formula>AND(AG$9&gt;=8/24,AG$9&lt;14/24)</formula>
    </cfRule>
    <cfRule type="expression" dxfId="4525" priority="289">
      <formula>AG$9&lt;8/24</formula>
    </cfRule>
  </conditionalFormatting>
  <conditionalFormatting sqref="T241">
    <cfRule type="expression" dxfId="4524" priority="290">
      <formula>AX$9&gt;=20/24</formula>
    </cfRule>
    <cfRule type="expression" dxfId="4523" priority="291">
      <formula>AND(AX$9&gt;=14/24,AX$9&lt;20/24)</formula>
    </cfRule>
    <cfRule type="expression" dxfId="4522" priority="292">
      <formula>AND(AX$9&gt;=8/24,AX$9&lt;14/24)</formula>
    </cfRule>
    <cfRule type="expression" dxfId="4521" priority="293">
      <formula>AX$9&lt;8/24</formula>
    </cfRule>
  </conditionalFormatting>
  <conditionalFormatting sqref="A111:A112">
    <cfRule type="expression" dxfId="4520" priority="245">
      <formula>$AH111=0</formula>
    </cfRule>
  </conditionalFormatting>
  <conditionalFormatting sqref="M50:X51 S54:T54 M52:T53 U52:X54 M67:AF67 Y52:AF53">
    <cfRule type="expression" dxfId="4519" priority="241">
      <formula>M$9&gt;=20/24</formula>
    </cfRule>
    <cfRule type="expression" dxfId="4518" priority="242">
      <formula>AND(M$9&gt;=14/24,M$9&lt;20/24)</formula>
    </cfRule>
    <cfRule type="expression" dxfId="4517" priority="243">
      <formula>AND(M$9&gt;=8/24,M$9&lt;14/24)</formula>
    </cfRule>
    <cfRule type="expression" dxfId="4516" priority="244">
      <formula>M$9&lt;8/24</formula>
    </cfRule>
  </conditionalFormatting>
  <conditionalFormatting sqref="M49:X49">
    <cfRule type="expression" dxfId="4515" priority="237">
      <formula>M$9&gt;=20/24</formula>
    </cfRule>
    <cfRule type="expression" dxfId="4514" priority="238">
      <formula>AND(M$9&gt;=14/24,M$9&lt;20/24)</formula>
    </cfRule>
    <cfRule type="expression" dxfId="4513" priority="239">
      <formula>AND(M$9&gt;=8/24,M$9&lt;14/24)</formula>
    </cfRule>
    <cfRule type="expression" dxfId="4512" priority="240">
      <formula>M$9&lt;8/24</formula>
    </cfRule>
  </conditionalFormatting>
  <conditionalFormatting sqref="M49:X51 S54:T54 M52:T53 U52:X54 Y52:AF53">
    <cfRule type="expression" dxfId="4511" priority="236">
      <formula>M49&gt;$AG49</formula>
    </cfRule>
  </conditionalFormatting>
  <conditionalFormatting sqref="X43:AF43 AD96:AF102 Y70:AA70 M68:AA69 D82:AF82 M96:AA102 X63:AF65 AB68:AF70 AB92:AF92">
    <cfRule type="expression" dxfId="4510" priority="232">
      <formula>D$9&gt;=20/24</formula>
    </cfRule>
    <cfRule type="expression" dxfId="4509" priority="233">
      <formula>AND(D$9&gt;=14/24,D$9&lt;20/24)</formula>
    </cfRule>
    <cfRule type="expression" dxfId="4508" priority="234">
      <formula>AND(D$9&gt;=8/24,D$9&lt;14/24)</formula>
    </cfRule>
    <cfRule type="expression" dxfId="4507" priority="235">
      <formula>D$9&lt;8/24</formula>
    </cfRule>
  </conditionalFormatting>
  <conditionalFormatting sqref="X43:AF43 X63:AF65">
    <cfRule type="expression" dxfId="4506" priority="231">
      <formula>X43&gt;$AG43</formula>
    </cfRule>
  </conditionalFormatting>
  <conditionalFormatting sqref="Y49:AF51">
    <cfRule type="expression" dxfId="4505" priority="227">
      <formula>Y$9&gt;=20/24</formula>
    </cfRule>
    <cfRule type="expression" dxfId="4504" priority="228">
      <formula>AND(Y$9&gt;=14/24,Y$9&lt;20/24)</formula>
    </cfRule>
    <cfRule type="expression" dxfId="4503" priority="229">
      <formula>AND(Y$9&gt;=8/24,Y$9&lt;14/24)</formula>
    </cfRule>
    <cfRule type="expression" dxfId="4502" priority="230">
      <formula>Y$9&lt;8/24</formula>
    </cfRule>
  </conditionalFormatting>
  <conditionalFormatting sqref="Y49:AF51">
    <cfRule type="expression" dxfId="4501" priority="226">
      <formula>Y49&gt;$AG49</formula>
    </cfRule>
  </conditionalFormatting>
  <conditionalFormatting sqref="D93:AF93 D84:AF84">
    <cfRule type="expression" dxfId="4500" priority="222">
      <formula>D$9&gt;=20/24</formula>
    </cfRule>
    <cfRule type="expression" dxfId="4499" priority="223">
      <formula>AND(D$9&gt;=14/24,D$9&lt;20/24)</formula>
    </cfRule>
    <cfRule type="expression" dxfId="4498" priority="224">
      <formula>AND(D$9&gt;=8/24,D$9&lt;14/24)</formula>
    </cfRule>
    <cfRule type="expression" dxfId="4497" priority="225">
      <formula>D$9&lt;8/24</formula>
    </cfRule>
  </conditionalFormatting>
  <conditionalFormatting sqref="T43:W43">
    <cfRule type="expression" dxfId="4496" priority="218">
      <formula>T$9&gt;=20/24</formula>
    </cfRule>
    <cfRule type="expression" dxfId="4495" priority="219">
      <formula>AND(T$9&gt;=14/24,T$9&lt;20/24)</formula>
    </cfRule>
    <cfRule type="expression" dxfId="4494" priority="220">
      <formula>AND(T$9&gt;=8/24,T$9&lt;14/24)</formula>
    </cfRule>
    <cfRule type="expression" dxfId="4493" priority="221">
      <formula>T$9&lt;8/24</formula>
    </cfRule>
  </conditionalFormatting>
  <conditionalFormatting sqref="T43:W43">
    <cfRule type="expression" dxfId="4492" priority="217">
      <formula>T43&gt;$AG43</formula>
    </cfRule>
  </conditionalFormatting>
  <conditionalFormatting sqref="AB42:AF42">
    <cfRule type="expression" dxfId="4491" priority="213">
      <formula>AB$9&gt;=20/24</formula>
    </cfRule>
    <cfRule type="expression" dxfId="4490" priority="214">
      <formula>AND(AB$9&gt;=14/24,AB$9&lt;20/24)</formula>
    </cfRule>
    <cfRule type="expression" dxfId="4489" priority="215">
      <formula>AND(AB$9&gt;=8/24,AB$9&lt;14/24)</formula>
    </cfRule>
    <cfRule type="expression" dxfId="4488" priority="216">
      <formula>AB$9&lt;8/24</formula>
    </cfRule>
  </conditionalFormatting>
  <conditionalFormatting sqref="AB42:AF42">
    <cfRule type="expression" dxfId="4487" priority="212">
      <formula>AB42&gt;$AG42</formula>
    </cfRule>
  </conditionalFormatting>
  <conditionalFormatting sqref="AG66 AG83 T63:W65 E96:L102">
    <cfRule type="expression" dxfId="4486" priority="208">
      <formula>E$9&gt;=20/24</formula>
    </cfRule>
    <cfRule type="expression" dxfId="4485" priority="209">
      <formula>AND(E$9&gt;=14/24,E$9&lt;20/24)</formula>
    </cfRule>
    <cfRule type="expression" dxfId="4484" priority="210">
      <formula>AND(E$9&gt;=8/24,E$9&lt;14/24)</formula>
    </cfRule>
    <cfRule type="expression" dxfId="4483" priority="211">
      <formula>E$9&lt;8/24</formula>
    </cfRule>
  </conditionalFormatting>
  <conditionalFormatting sqref="AG44 AG62 AG66 T63:W65">
    <cfRule type="expression" dxfId="4482" priority="207">
      <formula>T44&gt;$AG44</formula>
    </cfRule>
  </conditionalFormatting>
  <conditionalFormatting sqref="Y54:AF54">
    <cfRule type="expression" dxfId="4481" priority="203">
      <formula>Y$9&gt;=20/24</formula>
    </cfRule>
    <cfRule type="expression" dxfId="4480" priority="204">
      <formula>AND(Y$9&gt;=14/24,Y$9&lt;20/24)</formula>
    </cfRule>
    <cfRule type="expression" dxfId="4479" priority="205">
      <formula>AND(Y$9&gt;=8/24,Y$9&lt;14/24)</formula>
    </cfRule>
    <cfRule type="expression" dxfId="4478" priority="206">
      <formula>Y$9&lt;8/24</formula>
    </cfRule>
  </conditionalFormatting>
  <conditionalFormatting sqref="Y54:AF54">
    <cfRule type="expression" dxfId="4477" priority="202">
      <formula>Y54&gt;$AG54</formula>
    </cfRule>
  </conditionalFormatting>
  <conditionalFormatting sqref="A40">
    <cfRule type="expression" dxfId="4476" priority="201">
      <formula>$AH40=0</formula>
    </cfRule>
  </conditionalFormatting>
  <conditionalFormatting sqref="AB87:AF91">
    <cfRule type="expression" dxfId="4475" priority="197">
      <formula>AB$9&gt;=20/24</formula>
    </cfRule>
    <cfRule type="expression" dxfId="4474" priority="198">
      <formula>AND(AB$9&gt;=14/24,AB$9&lt;20/24)</formula>
    </cfRule>
    <cfRule type="expression" dxfId="4473" priority="199">
      <formula>AND(AB$9&gt;=8/24,AB$9&lt;14/24)</formula>
    </cfRule>
    <cfRule type="expression" dxfId="4472" priority="200">
      <formula>AB$9&lt;8/24</formula>
    </cfRule>
  </conditionalFormatting>
  <conditionalFormatting sqref="AL41 AL38 AL20:AL33 AL35:AL36 AL7:AL18">
    <cfRule type="iconSet" priority="294">
      <iconSet iconSet="3TrafficLights2" reverse="1">
        <cfvo type="percent" val="0"/>
        <cfvo type="num" val="1"/>
        <cfvo type="num" val="1"/>
      </iconSet>
    </cfRule>
  </conditionalFormatting>
  <conditionalFormatting sqref="F45:AF47">
    <cfRule type="expression" dxfId="4471" priority="193">
      <formula>F$9&gt;=20/24</formula>
    </cfRule>
    <cfRule type="expression" dxfId="4470" priority="194">
      <formula>AND(F$9&gt;=14/24,F$9&lt;20/24)</formula>
    </cfRule>
    <cfRule type="expression" dxfId="4469" priority="195">
      <formula>AND(F$9&gt;=8/24,F$9&lt;14/24)</formula>
    </cfRule>
    <cfRule type="expression" dxfId="4468" priority="196">
      <formula>F$9&lt;8/24</formula>
    </cfRule>
  </conditionalFormatting>
  <conditionalFormatting sqref="F45:AF47">
    <cfRule type="expression" dxfId="4467" priority="192">
      <formula>F45&gt;$AG45</formula>
    </cfRule>
  </conditionalFormatting>
  <conditionalFormatting sqref="AG48">
    <cfRule type="expression" dxfId="4466" priority="188">
      <formula>AG$9&gt;=20/24</formula>
    </cfRule>
    <cfRule type="expression" dxfId="4465" priority="189">
      <formula>AND(AG$9&gt;=14/24,AG$9&lt;20/24)</formula>
    </cfRule>
    <cfRule type="expression" dxfId="4464" priority="190">
      <formula>AND(AG$9&gt;=8/24,AG$9&lt;14/24)</formula>
    </cfRule>
    <cfRule type="expression" dxfId="4463" priority="191">
      <formula>AG$9&lt;8/24</formula>
    </cfRule>
  </conditionalFormatting>
  <conditionalFormatting sqref="AG48">
    <cfRule type="expression" dxfId="4462" priority="187">
      <formula>AG48&gt;$AG48</formula>
    </cfRule>
  </conditionalFormatting>
  <conditionalFormatting sqref="D103:AF103">
    <cfRule type="expression" dxfId="4461" priority="183">
      <formula>D$9&gt;=20/24</formula>
    </cfRule>
    <cfRule type="expression" dxfId="4460" priority="184">
      <formula>AND(D$9&gt;=14/24,D$9&lt;20/24)</formula>
    </cfRule>
    <cfRule type="expression" dxfId="4459" priority="185">
      <formula>AND(D$9&gt;=8/24,D$9&lt;14/24)</formula>
    </cfRule>
    <cfRule type="expression" dxfId="4458" priority="186">
      <formula>D$9&lt;8/24</formula>
    </cfRule>
  </conditionalFormatting>
  <conditionalFormatting sqref="AL37">
    <cfRule type="iconSet" priority="182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4457" priority="181">
      <formula>$AH37=0</formula>
    </cfRule>
  </conditionalFormatting>
  <conditionalFormatting sqref="A86">
    <cfRule type="expression" dxfId="4456" priority="179">
      <formula>$AH86=0</formula>
    </cfRule>
  </conditionalFormatting>
  <conditionalFormatting sqref="A83">
    <cfRule type="expression" dxfId="4455" priority="180">
      <formula>$AH83=0</formula>
    </cfRule>
  </conditionalFormatting>
  <conditionalFormatting sqref="A113">
    <cfRule type="expression" dxfId="4454" priority="174">
      <formula>$AH113=0</formula>
    </cfRule>
  </conditionalFormatting>
  <conditionalFormatting sqref="D106:AF106">
    <cfRule type="expression" dxfId="4453" priority="170">
      <formula>D$9&gt;=20/24</formula>
    </cfRule>
    <cfRule type="expression" dxfId="4452" priority="171">
      <formula>AND(D$9&gt;=14/24,D$9&lt;20/24)</formula>
    </cfRule>
    <cfRule type="expression" dxfId="4451" priority="172">
      <formula>AND(D$9&gt;=8/24,D$9&lt;14/24)</formula>
    </cfRule>
    <cfRule type="expression" dxfId="4450" priority="173">
      <formula>D$9&lt;8/24</formula>
    </cfRule>
  </conditionalFormatting>
  <conditionalFormatting sqref="A106">
    <cfRule type="expression" dxfId="4449" priority="169">
      <formula>$AH106=0</formula>
    </cfRule>
  </conditionalFormatting>
  <conditionalFormatting sqref="A19">
    <cfRule type="expression" dxfId="4448" priority="167">
      <formula>$AH19=0</formula>
    </cfRule>
  </conditionalFormatting>
  <conditionalFormatting sqref="AL19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4447" priority="165">
      <formula>$AH34=0</formula>
    </cfRule>
  </conditionalFormatting>
  <conditionalFormatting sqref="AL34">
    <cfRule type="iconSet" priority="166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4446" priority="161">
      <formula>Y$9&gt;=20/24</formula>
    </cfRule>
    <cfRule type="expression" dxfId="4445" priority="162">
      <formula>AND(Y$9&gt;=14/24,Y$9&lt;20/24)</formula>
    </cfRule>
    <cfRule type="expression" dxfId="4444" priority="163">
      <formula>AND(Y$9&gt;=8/24,Y$9&lt;14/24)</formula>
    </cfRule>
    <cfRule type="expression" dxfId="4443" priority="164">
      <formula>Y$9&lt;8/24</formula>
    </cfRule>
  </conditionalFormatting>
  <conditionalFormatting sqref="AB96:AC102">
    <cfRule type="expression" dxfId="4442" priority="157">
      <formula>AB$9&gt;=20/24</formula>
    </cfRule>
    <cfRule type="expression" dxfId="4441" priority="158">
      <formula>AND(AB$9&gt;=14/24,AB$9&lt;20/24)</formula>
    </cfRule>
    <cfRule type="expression" dxfId="4440" priority="159">
      <formula>AND(AB$9&gt;=8/24,AB$9&lt;14/24)</formula>
    </cfRule>
    <cfRule type="expression" dxfId="4439" priority="160">
      <formula>AB$9&lt;8/24</formula>
    </cfRule>
  </conditionalFormatting>
  <conditionalFormatting sqref="S15:AB18 AC17:AF18">
    <cfRule type="expression" dxfId="4438" priority="153">
      <formula>S$9&gt;=20/24</formula>
    </cfRule>
    <cfRule type="expression" dxfId="4437" priority="154">
      <formula>AND(S$9&gt;=14/24,S$9&lt;20/24)</formula>
    </cfRule>
    <cfRule type="expression" dxfId="4436" priority="155">
      <formula>AND(S$9&gt;=8/24,S$9&lt;14/24)</formula>
    </cfRule>
    <cfRule type="expression" dxfId="4435" priority="156">
      <formula>S$9&lt;8/24</formula>
    </cfRule>
  </conditionalFormatting>
  <conditionalFormatting sqref="E43:S43">
    <cfRule type="expression" dxfId="4434" priority="149">
      <formula>E$9&gt;=20/24</formula>
    </cfRule>
    <cfRule type="expression" dxfId="4433" priority="150">
      <formula>AND(E$9&gt;=14/24,E$9&lt;20/24)</formula>
    </cfRule>
    <cfRule type="expression" dxfId="4432" priority="151">
      <formula>AND(E$9&gt;=8/24,E$9&lt;14/24)</formula>
    </cfRule>
    <cfRule type="expression" dxfId="4431" priority="152">
      <formula>E$9&lt;8/24</formula>
    </cfRule>
  </conditionalFormatting>
  <conditionalFormatting sqref="E43:S43 S15:AB18 AC17:AF18">
    <cfRule type="expression" dxfId="4430" priority="148">
      <formula>E15&gt;$AG15</formula>
    </cfRule>
  </conditionalFormatting>
  <conditionalFormatting sqref="D95">
    <cfRule type="expression" dxfId="4429" priority="144">
      <formula>D$9&gt;=20/24</formula>
    </cfRule>
    <cfRule type="expression" dxfId="4428" priority="145">
      <formula>AND(D$9&gt;=14/24,D$9&lt;20/24)</formula>
    </cfRule>
    <cfRule type="expression" dxfId="4427" priority="146">
      <formula>AND(D$9&gt;=8/24,D$9&lt;14/24)</formula>
    </cfRule>
    <cfRule type="expression" dxfId="4426" priority="147">
      <formula>D$9&lt;8/24</formula>
    </cfRule>
  </conditionalFormatting>
  <conditionalFormatting sqref="D96:D102 M70:X71 I63:S65 D92:AA92 O72:X72 Y71:AF72 D79:AF81">
    <cfRule type="expression" dxfId="4425" priority="140">
      <formula>D$9&gt;=20/24</formula>
    </cfRule>
    <cfRule type="expression" dxfId="4424" priority="141">
      <formula>AND(D$9&gt;=14/24,D$9&lt;20/24)</formula>
    </cfRule>
    <cfRule type="expression" dxfId="4423" priority="142">
      <formula>AND(D$9&gt;=8/24,D$9&lt;14/24)</formula>
    </cfRule>
    <cfRule type="expression" dxfId="4422" priority="143">
      <formula>D$9&lt;8/24</formula>
    </cfRule>
  </conditionalFormatting>
  <conditionalFormatting sqref="I63:S65">
    <cfRule type="expression" dxfId="4421" priority="139">
      <formula>I63&gt;$AG63</formula>
    </cfRule>
  </conditionalFormatting>
  <conditionalFormatting sqref="D83:AF83 D85:AF85 D94:AF94 E66:AF66">
    <cfRule type="expression" dxfId="4420" priority="135">
      <formula>D$9&gt;=20/24</formula>
    </cfRule>
    <cfRule type="expression" dxfId="4419" priority="136">
      <formula>AND(D$9&gt;=14/24,D$9&lt;20/24)</formula>
    </cfRule>
    <cfRule type="expression" dxfId="4418" priority="137">
      <formula>AND(D$9&gt;=8/24,D$9&lt;14/24)</formula>
    </cfRule>
    <cfRule type="expression" dxfId="4417" priority="138">
      <formula>D$9&lt;8/24</formula>
    </cfRule>
  </conditionalFormatting>
  <conditionalFormatting sqref="E61:AF62 E44:AF44 E66:AF66">
    <cfRule type="expression" dxfId="4416" priority="134">
      <formula>E44&gt;$AG44</formula>
    </cfRule>
  </conditionalFormatting>
  <conditionalFormatting sqref="D78:AF78">
    <cfRule type="expression" dxfId="4415" priority="130">
      <formula>D$9&gt;=20/24</formula>
    </cfRule>
    <cfRule type="expression" dxfId="4414" priority="131">
      <formula>AND(D$9&gt;=14/24,D$9&lt;20/24)</formula>
    </cfRule>
    <cfRule type="expression" dxfId="4413" priority="132">
      <formula>AND(D$9&gt;=8/24,D$9&lt;14/24)</formula>
    </cfRule>
    <cfRule type="expression" dxfId="4412" priority="133">
      <formula>D$9&lt;8/24</formula>
    </cfRule>
  </conditionalFormatting>
  <conditionalFormatting sqref="D87:AA91">
    <cfRule type="expression" dxfId="4411" priority="126">
      <formula>D$9&gt;=20/24</formula>
    </cfRule>
    <cfRule type="expression" dxfId="4410" priority="127">
      <formula>AND(D$9&gt;=14/24,D$9&lt;20/24)</formula>
    </cfRule>
    <cfRule type="expression" dxfId="4409" priority="128">
      <formula>AND(D$9&gt;=8/24,D$9&lt;14/24)</formula>
    </cfRule>
    <cfRule type="expression" dxfId="4408" priority="129">
      <formula>D$9&lt;8/24</formula>
    </cfRule>
  </conditionalFormatting>
  <conditionalFormatting sqref="E48:AF48">
    <cfRule type="expression" dxfId="4407" priority="122">
      <formula>E$9&gt;=20/24</formula>
    </cfRule>
    <cfRule type="expression" dxfId="4406" priority="123">
      <formula>AND(E$9&gt;=14/24,E$9&lt;20/24)</formula>
    </cfRule>
    <cfRule type="expression" dxfId="4405" priority="124">
      <formula>AND(E$9&gt;=8/24,E$9&lt;14/24)</formula>
    </cfRule>
    <cfRule type="expression" dxfId="4404" priority="125">
      <formula>E$9&lt;8/24</formula>
    </cfRule>
  </conditionalFormatting>
  <conditionalFormatting sqref="E48:AF48">
    <cfRule type="expression" dxfId="4403" priority="121">
      <formula>E48&gt;$AG48</formula>
    </cfRule>
  </conditionalFormatting>
  <conditionalFormatting sqref="AB55:AF60">
    <cfRule type="expression" dxfId="4402" priority="113">
      <formula>AB$9&gt;=20/24</formula>
    </cfRule>
    <cfRule type="expression" dxfId="4401" priority="114">
      <formula>AND(AB$9&gt;=14/24,AB$9&lt;20/24)</formula>
    </cfRule>
    <cfRule type="expression" dxfId="4400" priority="115">
      <formula>AND(AB$9&gt;=8/24,AB$9&lt;14/24)</formula>
    </cfRule>
    <cfRule type="expression" dxfId="4399" priority="116">
      <formula>AB$9&lt;8/24</formula>
    </cfRule>
  </conditionalFormatting>
  <conditionalFormatting sqref="AB55:AF60">
    <cfRule type="expression" dxfId="4398" priority="112">
      <formula>AB55&gt;$AG55</formula>
    </cfRule>
  </conditionalFormatting>
  <conditionalFormatting sqref="P13:S13 S14 T13:AA14">
    <cfRule type="expression" dxfId="4397" priority="111">
      <formula>P13&gt;$AG13</formula>
    </cfRule>
  </conditionalFormatting>
  <conditionalFormatting sqref="P11:AA11">
    <cfRule type="expression" dxfId="4396" priority="107">
      <formula>P$9&gt;=20/24</formula>
    </cfRule>
    <cfRule type="expression" dxfId="4395" priority="108">
      <formula>AND(P$9&gt;=14/24,P$9&lt;20/24)</formula>
    </cfRule>
    <cfRule type="expression" dxfId="4394" priority="109">
      <formula>AND(P$9&gt;=8/24,P$9&lt;14/24)</formula>
    </cfRule>
    <cfRule type="expression" dxfId="4393" priority="110">
      <formula>P$9&lt;8/24</formula>
    </cfRule>
  </conditionalFormatting>
  <conditionalFormatting sqref="P11:AA11">
    <cfRule type="expression" dxfId="4392" priority="106">
      <formula>P11&gt;$AG11</formula>
    </cfRule>
  </conditionalFormatting>
  <conditionalFormatting sqref="P13:S13 S14 T13:AA14">
    <cfRule type="expression" dxfId="4391" priority="102">
      <formula>P$9&gt;=20/24</formula>
    </cfRule>
    <cfRule type="expression" dxfId="4390" priority="103">
      <formula>AND(P$9&gt;=14/24,P$9&lt;20/24)</formula>
    </cfRule>
    <cfRule type="expression" dxfId="4389" priority="104">
      <formula>AND(P$9&gt;=8/24,P$9&lt;14/24)</formula>
    </cfRule>
    <cfRule type="expression" dxfId="4388" priority="105">
      <formula>P$9&lt;8/24</formula>
    </cfRule>
  </conditionalFormatting>
  <conditionalFormatting sqref="O73:AF77">
    <cfRule type="expression" dxfId="4387" priority="98">
      <formula>O$9&gt;=20/24</formula>
    </cfRule>
    <cfRule type="expression" dxfId="4386" priority="99">
      <formula>AND(O$9&gt;=14/24,O$9&lt;20/24)</formula>
    </cfRule>
    <cfRule type="expression" dxfId="4385" priority="100">
      <formula>AND(O$9&gt;=8/24,O$9&lt;14/24)</formula>
    </cfRule>
    <cfRule type="expression" dxfId="4384" priority="101">
      <formula>O$9&lt;8/24</formula>
    </cfRule>
  </conditionalFormatting>
  <conditionalFormatting sqref="AL74:AN74 AL80:AN80 AN75:AN76">
    <cfRule type="expression" dxfId="4383" priority="94">
      <formula>AL$9&gt;=20/24</formula>
    </cfRule>
    <cfRule type="expression" dxfId="4382" priority="95">
      <formula>AND(AL$9&gt;=14/24,AL$9&lt;20/24)</formula>
    </cfRule>
    <cfRule type="expression" dxfId="4381" priority="96">
      <formula>AND(AL$9&gt;=8/24,AL$9&lt;14/24)</formula>
    </cfRule>
    <cfRule type="expression" dxfId="4380" priority="97">
      <formula>AL$9&lt;8/24</formula>
    </cfRule>
  </conditionalFormatting>
  <conditionalFormatting sqref="AN77:AN78">
    <cfRule type="expression" dxfId="4379" priority="90">
      <formula>AN$9&gt;=20/24</formula>
    </cfRule>
    <cfRule type="expression" dxfId="4378" priority="91">
      <formula>AND(AN$9&gt;=14/24,AN$9&lt;20/24)</formula>
    </cfRule>
    <cfRule type="expression" dxfId="4377" priority="92">
      <formula>AND(AN$9&gt;=8/24,AN$9&lt;14/24)</formula>
    </cfRule>
    <cfRule type="expression" dxfId="4376" priority="93">
      <formula>AN$9&lt;8/24</formula>
    </cfRule>
  </conditionalFormatting>
  <conditionalFormatting sqref="AL75:AM79">
    <cfRule type="expression" dxfId="4375" priority="295">
      <formula>AJ$9&gt;=20/24</formula>
    </cfRule>
    <cfRule type="expression" dxfId="4374" priority="296">
      <formula>AND(AJ$9&gt;=14/24,AJ$9&lt;20/24)</formula>
    </cfRule>
    <cfRule type="expression" dxfId="4373" priority="297">
      <formula>AND(AJ$9&gt;=8/24,AJ$9&lt;14/24)</formula>
    </cfRule>
    <cfRule type="expression" dxfId="4372" priority="298">
      <formula>AJ$9&lt;8/24</formula>
    </cfRule>
  </conditionalFormatting>
  <conditionalFormatting sqref="B105:C105 B107:C112 B11:O41 P14:R41 P12:AA12 S19:AF41">
    <cfRule type="expression" dxfId="4371" priority="86">
      <formula>B$9&gt;=20/24</formula>
    </cfRule>
    <cfRule type="expression" dxfId="4370" priority="87">
      <formula>AND(B$9&gt;=14/24,B$9&lt;20/24)</formula>
    </cfRule>
    <cfRule type="expression" dxfId="4369" priority="88">
      <formula>AND(B$9&gt;=8/24,B$9&lt;14/24)</formula>
    </cfRule>
    <cfRule type="expression" dxfId="4368" priority="89">
      <formula>B$9&lt;8/24</formula>
    </cfRule>
  </conditionalFormatting>
  <conditionalFormatting sqref="B11:O41 P14:R41 P12:AA12 S19:AF41">
    <cfRule type="expression" dxfId="4367" priority="85">
      <formula>B11&gt;$AG11</formula>
    </cfRule>
  </conditionalFormatting>
  <conditionalFormatting sqref="B95:C95">
    <cfRule type="expression" dxfId="4366" priority="81">
      <formula>B$9&gt;=20/24</formula>
    </cfRule>
    <cfRule type="expression" dxfId="4365" priority="82">
      <formula>AND(B$9&gt;=14/24,B$9&lt;20/24)</formula>
    </cfRule>
    <cfRule type="expression" dxfId="4364" priority="83">
      <formula>AND(B$9&gt;=8/24,B$9&lt;14/24)</formula>
    </cfRule>
    <cfRule type="expression" dxfId="4363" priority="84">
      <formula>B$9&lt;8/24</formula>
    </cfRule>
  </conditionalFormatting>
  <conditionalFormatting sqref="B67:L67 B50:L53">
    <cfRule type="expression" dxfId="4362" priority="77">
      <formula>B$9&gt;=20/24</formula>
    </cfRule>
    <cfRule type="expression" dxfId="4361" priority="78">
      <formula>AND(B$9&gt;=14/24,B$9&lt;20/24)</formula>
    </cfRule>
    <cfRule type="expression" dxfId="4360" priority="79">
      <formula>AND(B$9&gt;=8/24,B$9&lt;14/24)</formula>
    </cfRule>
    <cfRule type="expression" dxfId="4359" priority="80">
      <formula>B$9&lt;8/24</formula>
    </cfRule>
  </conditionalFormatting>
  <conditionalFormatting sqref="B49:L49">
    <cfRule type="expression" dxfId="4358" priority="73">
      <formula>B$9&gt;=20/24</formula>
    </cfRule>
    <cfRule type="expression" dxfId="4357" priority="74">
      <formula>AND(B$9&gt;=14/24,B$9&lt;20/24)</formula>
    </cfRule>
    <cfRule type="expression" dxfId="4356" priority="75">
      <formula>AND(B$9&gt;=8/24,B$9&lt;14/24)</formula>
    </cfRule>
    <cfRule type="expression" dxfId="4355" priority="76">
      <formula>B$9&lt;8/24</formula>
    </cfRule>
  </conditionalFormatting>
  <conditionalFormatting sqref="B49:L53">
    <cfRule type="expression" dxfId="4354" priority="72">
      <formula>B49&gt;$AG49</formula>
    </cfRule>
  </conditionalFormatting>
  <conditionalFormatting sqref="B82:C82 B92:C92 B96:C102 B43:D43 B63:H65 B68:L70">
    <cfRule type="expression" dxfId="4353" priority="68">
      <formula>B$9&gt;=20/24</formula>
    </cfRule>
    <cfRule type="expression" dxfId="4352" priority="69">
      <formula>AND(B$9&gt;=14/24,B$9&lt;20/24)</formula>
    </cfRule>
    <cfRule type="expression" dxfId="4351" priority="70">
      <formula>AND(B$9&gt;=8/24,B$9&lt;14/24)</formula>
    </cfRule>
    <cfRule type="expression" dxfId="4350" priority="71">
      <formula>B$9&lt;8/24</formula>
    </cfRule>
  </conditionalFormatting>
  <conditionalFormatting sqref="B43:D43 B63:H65">
    <cfRule type="expression" dxfId="4349" priority="67">
      <formula>B43&gt;$AG43</formula>
    </cfRule>
  </conditionalFormatting>
  <conditionalFormatting sqref="B93:C93 B84:C84">
    <cfRule type="expression" dxfId="4348" priority="63">
      <formula>B$9&gt;=20/24</formula>
    </cfRule>
    <cfRule type="expression" dxfId="4347" priority="64">
      <formula>AND(B$9&gt;=14/24,B$9&lt;20/24)</formula>
    </cfRule>
    <cfRule type="expression" dxfId="4346" priority="65">
      <formula>AND(B$9&gt;=8/24,B$9&lt;14/24)</formula>
    </cfRule>
    <cfRule type="expression" dxfId="4345" priority="66">
      <formula>B$9&lt;8/24</formula>
    </cfRule>
  </conditionalFormatting>
  <conditionalFormatting sqref="B42:AA42">
    <cfRule type="expression" dxfId="4344" priority="59">
      <formula>B$9&gt;=20/24</formula>
    </cfRule>
    <cfRule type="expression" dxfId="4343" priority="60">
      <formula>AND(B$9&gt;=14/24,B$9&lt;20/24)</formula>
    </cfRule>
    <cfRule type="expression" dxfId="4342" priority="61">
      <formula>AND(B$9&gt;=8/24,B$9&lt;14/24)</formula>
    </cfRule>
    <cfRule type="expression" dxfId="4341" priority="62">
      <formula>B$9&lt;8/24</formula>
    </cfRule>
  </conditionalFormatting>
  <conditionalFormatting sqref="B42:AA42">
    <cfRule type="expression" dxfId="4340" priority="58">
      <formula>B42&gt;$AG42</formula>
    </cfRule>
  </conditionalFormatting>
  <conditionalFormatting sqref="B54:R54">
    <cfRule type="expression" dxfId="4339" priority="54">
      <formula>B$9&gt;=20/24</formula>
    </cfRule>
    <cfRule type="expression" dxfId="4338" priority="55">
      <formula>AND(B$9&gt;=14/24,B$9&lt;20/24)</formula>
    </cfRule>
    <cfRule type="expression" dxfId="4337" priority="56">
      <formula>AND(B$9&gt;=8/24,B$9&lt;14/24)</formula>
    </cfRule>
    <cfRule type="expression" dxfId="4336" priority="57">
      <formula>B$9&lt;8/24</formula>
    </cfRule>
  </conditionalFormatting>
  <conditionalFormatting sqref="B54:R54">
    <cfRule type="expression" dxfId="4335" priority="53">
      <formula>B54&gt;$AG54</formula>
    </cfRule>
  </conditionalFormatting>
  <conditionalFormatting sqref="B87:C91">
    <cfRule type="expression" dxfId="4334" priority="49">
      <formula>B$9&gt;=20/24</formula>
    </cfRule>
    <cfRule type="expression" dxfId="4333" priority="50">
      <formula>AND(B$9&gt;=14/24,B$9&lt;20/24)</formula>
    </cfRule>
    <cfRule type="expression" dxfId="4332" priority="51">
      <formula>AND(B$9&gt;=8/24,B$9&lt;14/24)</formula>
    </cfRule>
    <cfRule type="expression" dxfId="4331" priority="52">
      <formula>B$9&lt;8/24</formula>
    </cfRule>
  </conditionalFormatting>
  <conditionalFormatting sqref="B45:E47">
    <cfRule type="expression" dxfId="4330" priority="45">
      <formula>B$9&gt;=20/24</formula>
    </cfRule>
    <cfRule type="expression" dxfId="4329" priority="46">
      <formula>AND(B$9&gt;=14/24,B$9&lt;20/24)</formula>
    </cfRule>
    <cfRule type="expression" dxfId="4328" priority="47">
      <formula>AND(B$9&gt;=8/24,B$9&lt;14/24)</formula>
    </cfRule>
    <cfRule type="expression" dxfId="4327" priority="48">
      <formula>B$9&lt;8/24</formula>
    </cfRule>
  </conditionalFormatting>
  <conditionalFormatting sqref="B45:E47">
    <cfRule type="expression" dxfId="4326" priority="44">
      <formula>B45&gt;$AG45</formula>
    </cfRule>
  </conditionalFormatting>
  <conditionalFormatting sqref="B103:C103">
    <cfRule type="expression" dxfId="4325" priority="40">
      <formula>B$9&gt;=20/24</formula>
    </cfRule>
    <cfRule type="expression" dxfId="4324" priority="41">
      <formula>AND(B$9&gt;=14/24,B$9&lt;20/24)</formula>
    </cfRule>
    <cfRule type="expression" dxfId="4323" priority="42">
      <formula>AND(B$9&gt;=8/24,B$9&lt;14/24)</formula>
    </cfRule>
    <cfRule type="expression" dxfId="4322" priority="43">
      <formula>B$9&lt;8/24</formula>
    </cfRule>
  </conditionalFormatting>
  <conditionalFormatting sqref="B106:C106">
    <cfRule type="expression" dxfId="4321" priority="32">
      <formula>B$9&gt;=20/24</formula>
    </cfRule>
    <cfRule type="expression" dxfId="4320" priority="33">
      <formula>AND(B$9&gt;=14/24,B$9&lt;20/24)</formula>
    </cfRule>
    <cfRule type="expression" dxfId="4319" priority="34">
      <formula>AND(B$9&gt;=8/24,B$9&lt;14/24)</formula>
    </cfRule>
    <cfRule type="expression" dxfId="4318" priority="35">
      <formula>B$9&lt;8/24</formula>
    </cfRule>
  </conditionalFormatting>
  <conditionalFormatting sqref="B79:C81 B71:L72 M72:N72">
    <cfRule type="expression" dxfId="4317" priority="28">
      <formula>B$9&gt;=20/24</formula>
    </cfRule>
    <cfRule type="expression" dxfId="4316" priority="29">
      <formula>AND(B$9&gt;=14/24,B$9&lt;20/24)</formula>
    </cfRule>
    <cfRule type="expression" dxfId="4315" priority="30">
      <formula>AND(B$9&gt;=8/24,B$9&lt;14/24)</formula>
    </cfRule>
    <cfRule type="expression" dxfId="4314" priority="31">
      <formula>B$9&lt;8/24</formula>
    </cfRule>
  </conditionalFormatting>
  <conditionalFormatting sqref="B83:C83 B85:C85 B94:C94 B66:D66">
    <cfRule type="expression" dxfId="4313" priority="24">
      <formula>B$9&gt;=20/24</formula>
    </cfRule>
    <cfRule type="expression" dxfId="4312" priority="25">
      <formula>AND(B$9&gt;=14/24,B$9&lt;20/24)</formula>
    </cfRule>
    <cfRule type="expression" dxfId="4311" priority="26">
      <formula>AND(B$9&gt;=8/24,B$9&lt;14/24)</formula>
    </cfRule>
    <cfRule type="expression" dxfId="4310" priority="27">
      <formula>B$9&lt;8/24</formula>
    </cfRule>
  </conditionalFormatting>
  <conditionalFormatting sqref="B44:D44 B61:D62 B66:D66">
    <cfRule type="expression" dxfId="4309" priority="23">
      <formula>B44&gt;$AG44</formula>
    </cfRule>
  </conditionalFormatting>
  <conditionalFormatting sqref="B78:C78">
    <cfRule type="expression" dxfId="4308" priority="19">
      <formula>B$9&gt;=20/24</formula>
    </cfRule>
    <cfRule type="expression" dxfId="4307" priority="20">
      <formula>AND(B$9&gt;=14/24,B$9&lt;20/24)</formula>
    </cfRule>
    <cfRule type="expression" dxfId="4306" priority="21">
      <formula>AND(B$9&gt;=8/24,B$9&lt;14/24)</formula>
    </cfRule>
    <cfRule type="expression" dxfId="4305" priority="22">
      <formula>B$9&lt;8/24</formula>
    </cfRule>
  </conditionalFormatting>
  <conditionalFormatting sqref="B48:D48">
    <cfRule type="expression" dxfId="4304" priority="15">
      <formula>B$9&gt;=20/24</formula>
    </cfRule>
    <cfRule type="expression" dxfId="4303" priority="16">
      <formula>AND(B$9&gt;=14/24,B$9&lt;20/24)</formula>
    </cfRule>
    <cfRule type="expression" dxfId="4302" priority="17">
      <formula>AND(B$9&gt;=8/24,B$9&lt;14/24)</formula>
    </cfRule>
    <cfRule type="expression" dxfId="4301" priority="18">
      <formula>B$9&lt;8/24</formula>
    </cfRule>
  </conditionalFormatting>
  <conditionalFormatting sqref="B48:D48">
    <cfRule type="expression" dxfId="4300" priority="14">
      <formula>B48&gt;$AG48</formula>
    </cfRule>
  </conditionalFormatting>
  <conditionalFormatting sqref="B55:AA60">
    <cfRule type="expression" dxfId="4299" priority="6">
      <formula>B$9&gt;=20/24</formula>
    </cfRule>
    <cfRule type="expression" dxfId="4298" priority="7">
      <formula>AND(B$9&gt;=14/24,B$9&lt;20/24)</formula>
    </cfRule>
    <cfRule type="expression" dxfId="4297" priority="8">
      <formula>AND(B$9&gt;=8/24,B$9&lt;14/24)</formula>
    </cfRule>
    <cfRule type="expression" dxfId="4296" priority="9">
      <formula>B$9&lt;8/24</formula>
    </cfRule>
  </conditionalFormatting>
  <conditionalFormatting sqref="B55:AA60">
    <cfRule type="expression" dxfId="4295" priority="5">
      <formula>B55&gt;$AG55</formula>
    </cfRule>
  </conditionalFormatting>
  <conditionalFormatting sqref="B73:N77">
    <cfRule type="expression" dxfId="4294" priority="1">
      <formula>B$9&gt;=20/24</formula>
    </cfRule>
    <cfRule type="expression" dxfId="4293" priority="2">
      <formula>AND(B$9&gt;=14/24,B$9&lt;20/24)</formula>
    </cfRule>
    <cfRule type="expression" dxfId="4292" priority="3">
      <formula>AND(B$9&gt;=8/24,B$9&lt;14/24)</formula>
    </cfRule>
    <cfRule type="expression" dxfId="4291" priority="4">
      <formula>B$9&lt;8/24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5" id="{2D9484C5-FD13-4170-83E8-70E80038A75D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76" id="{F14BEBF7-EDB5-4609-95B3-D0298B4B3EB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7" id="{8F190E3C-3B94-43E8-8FA7-D209864FBEE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78" id="{E35DB93D-3E3A-4318-8DD2-1024F11E3BF8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17" id="{530812A9-2F86-4B87-BF29-416510204CAA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18" id="{AFDC5676-0309-4282-98EF-F7DB389E42B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19" id="{68FECBF3-DD6A-4B56-82F1-23A3FF336127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20" id="{5FF2CF73-C4CA-48AA-95F6-E6564B2C7B4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D86:AF86</xm:sqref>
        </x14:conditionalFormatting>
        <x14:conditionalFormatting xmlns:xm="http://schemas.microsoft.com/office/excel/2006/main">
          <x14:cfRule type="expression" priority="36" id="{EA0666A9-073C-4C51-87B0-E6A32502C744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95D0626A-63BE-4B7B-AB62-664D94AC488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B519D4D8-D459-4CEB-B617-1E05898DF3BE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0461331C-5EFB-44BB-BB23-B0CD49B73D58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B113:C113</xm:sqref>
        </x14:conditionalFormatting>
        <x14:conditionalFormatting xmlns:xm="http://schemas.microsoft.com/office/excel/2006/main">
          <x14:cfRule type="expression" priority="10" id="{96DDDB34-643F-48A0-988F-EF72E209568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1" id="{85444708-4262-439B-81DC-BC6BCA5BD60C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2" id="{273E67BC-CD46-4629-8EA5-EB9026FE122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" id="{FFB873D0-8A8E-4A0B-9634-B58157541EF6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B86:C86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J274"/>
  <sheetViews>
    <sheetView workbookViewId="0">
      <pane ySplit="10" topLeftCell="A53" activePane="bottomLeft" state="frozen"/>
      <selection activeCell="U80" sqref="U80"/>
      <selection pane="bottomLeft" activeCell="AL102" sqref="AL102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/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str">
        <f ca="1">"2079/"&amp;"09/"&amp;INT(MID(CELL("filename",D6),FIND("]",CELL("filename",D6))+1,200))</f>
        <v>2079/09/20</v>
      </c>
      <c r="C4" s="771"/>
      <c r="D4" s="771"/>
      <c r="E4" s="772" t="str">
        <f ca="1">"2079/"&amp;"09/"&amp;INT(MID(CELL("filename",G6),FIND("]",CELL("filename",G6))+1,200))</f>
        <v>2079/09/20</v>
      </c>
      <c r="F4" s="772"/>
      <c r="G4" s="772"/>
      <c r="H4" s="772" t="str">
        <f ca="1">TEXT(E4,"dddd")</f>
        <v>Wednesday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484</v>
      </c>
      <c r="C5" s="30">
        <f t="shared" si="0"/>
        <v>462</v>
      </c>
      <c r="D5" s="30">
        <f t="shared" si="0"/>
        <v>466</v>
      </c>
      <c r="E5" s="30">
        <f t="shared" si="0"/>
        <v>463.2</v>
      </c>
      <c r="F5" s="30">
        <f t="shared" si="0"/>
        <v>503.6</v>
      </c>
      <c r="G5" s="30">
        <f t="shared" si="0"/>
        <v>475.3</v>
      </c>
      <c r="H5" s="30">
        <f t="shared" si="0"/>
        <v>485.4</v>
      </c>
      <c r="I5" s="30">
        <f t="shared" si="0"/>
        <v>430.3</v>
      </c>
      <c r="J5" s="30">
        <f t="shared" si="0"/>
        <v>454.8</v>
      </c>
      <c r="K5" s="30">
        <f t="shared" si="0"/>
        <v>438</v>
      </c>
      <c r="L5" s="30">
        <f t="shared" si="0"/>
        <v>431</v>
      </c>
      <c r="M5" s="30">
        <f t="shared" si="0"/>
        <v>449</v>
      </c>
      <c r="N5" s="30">
        <f t="shared" si="0"/>
        <v>459.5</v>
      </c>
      <c r="O5" s="30">
        <f t="shared" si="0"/>
        <v>451.1</v>
      </c>
      <c r="P5" s="30">
        <f t="shared" si="0"/>
        <v>473.7</v>
      </c>
      <c r="Q5" s="30">
        <f t="shared" si="0"/>
        <v>513.4</v>
      </c>
      <c r="R5" s="30">
        <f t="shared" si="0"/>
        <v>491.2</v>
      </c>
      <c r="S5" s="30">
        <f t="shared" si="0"/>
        <v>462.7</v>
      </c>
      <c r="T5" s="30">
        <f t="shared" si="0"/>
        <v>504.2</v>
      </c>
      <c r="U5" s="30">
        <f t="shared" si="0"/>
        <v>457.90000000000003</v>
      </c>
      <c r="V5" s="30">
        <f t="shared" si="0"/>
        <v>449.5</v>
      </c>
      <c r="W5" s="30">
        <f t="shared" si="0"/>
        <v>445.3</v>
      </c>
      <c r="X5" s="30">
        <f t="shared" si="0"/>
        <v>381</v>
      </c>
      <c r="Y5" s="30">
        <f t="shared" si="0"/>
        <v>302</v>
      </c>
      <c r="Z5" s="30">
        <f t="shared" si="0"/>
        <v>222</v>
      </c>
      <c r="AA5" s="30">
        <f t="shared" si="0"/>
        <v>330.2</v>
      </c>
      <c r="AB5" s="30">
        <f t="shared" si="0"/>
        <v>438</v>
      </c>
      <c r="AC5" s="30">
        <f t="shared" si="0"/>
        <v>440</v>
      </c>
      <c r="AD5" s="30">
        <f t="shared" si="0"/>
        <v>434</v>
      </c>
      <c r="AE5" s="30">
        <f t="shared" si="0"/>
        <v>439</v>
      </c>
      <c r="AF5" s="30">
        <f>B78</f>
        <v>466.7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1562MW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Load=984</v>
      </c>
      <c r="B7" s="35">
        <f t="shared" ref="B7:AF7" si="1">B85</f>
        <v>1050.49</v>
      </c>
      <c r="C7" s="35">
        <f t="shared" si="1"/>
        <v>1009.0899999999999</v>
      </c>
      <c r="D7" s="35">
        <f t="shared" si="1"/>
        <v>993.08999999999992</v>
      </c>
      <c r="E7" s="35">
        <f t="shared" si="1"/>
        <v>1004.14</v>
      </c>
      <c r="F7" s="35">
        <f t="shared" si="1"/>
        <v>984.44</v>
      </c>
      <c r="G7" s="35">
        <f t="shared" si="1"/>
        <v>1050.44</v>
      </c>
      <c r="H7" s="35">
        <f t="shared" si="1"/>
        <v>1085.94</v>
      </c>
      <c r="I7" s="35">
        <f t="shared" si="1"/>
        <v>1170.74</v>
      </c>
      <c r="J7" s="35">
        <f t="shared" si="1"/>
        <v>1231.68</v>
      </c>
      <c r="K7" s="35">
        <f t="shared" si="1"/>
        <v>1475.55</v>
      </c>
      <c r="L7" s="35">
        <f t="shared" si="1"/>
        <v>1519.8400000000001</v>
      </c>
      <c r="M7" s="35">
        <f t="shared" si="1"/>
        <v>1561.74</v>
      </c>
      <c r="N7" s="35">
        <f>N85</f>
        <v>1468.94</v>
      </c>
      <c r="O7" s="35">
        <f t="shared" si="1"/>
        <v>1432.1399999999999</v>
      </c>
      <c r="P7" s="35">
        <f t="shared" si="1"/>
        <v>1347.8400000000001</v>
      </c>
      <c r="Q7" s="35">
        <f t="shared" si="1"/>
        <v>1307.54</v>
      </c>
      <c r="R7" s="35">
        <f t="shared" si="1"/>
        <v>1294.44</v>
      </c>
      <c r="S7" s="35">
        <f t="shared" si="1"/>
        <v>1256.3400000000001</v>
      </c>
      <c r="T7" s="35">
        <f t="shared" si="1"/>
        <v>1266.3400000000001</v>
      </c>
      <c r="U7" s="35">
        <f t="shared" si="1"/>
        <v>1302.8400000000001</v>
      </c>
      <c r="V7" s="35">
        <f t="shared" si="1"/>
        <v>1243.0400000000002</v>
      </c>
      <c r="W7" s="35">
        <f t="shared" si="1"/>
        <v>1243.94</v>
      </c>
      <c r="X7" s="35">
        <f t="shared" si="1"/>
        <v>1510.04</v>
      </c>
      <c r="Y7" s="35">
        <f t="shared" si="1"/>
        <v>1593.24</v>
      </c>
      <c r="Z7" s="35">
        <f t="shared" si="1"/>
        <v>1549.14</v>
      </c>
      <c r="AA7" s="35">
        <f t="shared" si="1"/>
        <v>1511.3400000000001</v>
      </c>
      <c r="AB7" s="35">
        <f t="shared" si="1"/>
        <v>1391.14</v>
      </c>
      <c r="AC7" s="35">
        <f t="shared" si="1"/>
        <v>1255.6400000000001</v>
      </c>
      <c r="AD7" s="35">
        <f t="shared" si="1"/>
        <v>1281.6400000000001</v>
      </c>
      <c r="AE7" s="35">
        <f t="shared" si="1"/>
        <v>1168.04</v>
      </c>
      <c r="AF7" s="35">
        <f t="shared" si="1"/>
        <v>1065.04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16.600000000000001</v>
      </c>
      <c r="C11" s="45">
        <v>16.600000000000001</v>
      </c>
      <c r="D11" s="45">
        <v>16.600000000000001</v>
      </c>
      <c r="E11" s="45">
        <v>17.5</v>
      </c>
      <c r="F11" s="45">
        <v>17.5</v>
      </c>
      <c r="G11" s="45">
        <v>17.600000000000001</v>
      </c>
      <c r="H11" s="45">
        <v>17.5</v>
      </c>
      <c r="I11" s="45">
        <v>17</v>
      </c>
      <c r="J11" s="45">
        <v>16</v>
      </c>
      <c r="K11" s="45">
        <v>14</v>
      </c>
      <c r="L11" s="45">
        <v>14</v>
      </c>
      <c r="M11" s="45">
        <v>15.6</v>
      </c>
      <c r="N11" s="45">
        <v>17.899999999999999</v>
      </c>
      <c r="O11" s="45">
        <v>15.9</v>
      </c>
      <c r="P11" s="45">
        <v>15.8</v>
      </c>
      <c r="Q11" s="45">
        <v>16.399999999999999</v>
      </c>
      <c r="R11" s="45">
        <v>16.3</v>
      </c>
      <c r="S11" s="45">
        <v>16.3</v>
      </c>
      <c r="T11" s="45">
        <v>16.3</v>
      </c>
      <c r="U11" s="45">
        <v>16.3</v>
      </c>
      <c r="V11" s="45">
        <v>16.3</v>
      </c>
      <c r="W11" s="45">
        <v>16.3</v>
      </c>
      <c r="X11" s="45">
        <v>16.3</v>
      </c>
      <c r="Y11" s="45">
        <v>16.3</v>
      </c>
      <c r="Z11" s="45">
        <v>16.3</v>
      </c>
      <c r="AA11" s="45">
        <v>16.3</v>
      </c>
      <c r="AB11" s="45">
        <v>16.3</v>
      </c>
      <c r="AC11" s="45">
        <v>16.3</v>
      </c>
      <c r="AD11" s="45">
        <v>16.3</v>
      </c>
      <c r="AE11" s="45">
        <v>17</v>
      </c>
      <c r="AF11" s="45">
        <v>17</v>
      </c>
      <c r="AG11" s="46">
        <v>52.4</v>
      </c>
      <c r="AH11" s="47">
        <f t="shared" ref="AH11:AH74" si="2">MAX(B11:AF11)</f>
        <v>17.899999999999999</v>
      </c>
      <c r="AI11" s="48">
        <f t="shared" ref="AI11:AI74" si="3">MIN(B11:AF11)</f>
        <v>14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31.85</v>
      </c>
      <c r="C12" s="45">
        <v>31.85</v>
      </c>
      <c r="D12" s="45">
        <v>31.85</v>
      </c>
      <c r="E12" s="45">
        <v>32.799999999999997</v>
      </c>
      <c r="F12" s="45">
        <v>32.4</v>
      </c>
      <c r="G12" s="45">
        <v>33.1</v>
      </c>
      <c r="H12" s="45">
        <v>33.200000000000003</v>
      </c>
      <c r="I12" s="45">
        <v>33.9</v>
      </c>
      <c r="J12" s="45">
        <v>32.9</v>
      </c>
      <c r="K12" s="45">
        <v>33</v>
      </c>
      <c r="L12" s="45">
        <v>33</v>
      </c>
      <c r="M12" s="45">
        <v>33</v>
      </c>
      <c r="N12" s="45">
        <v>33.1</v>
      </c>
      <c r="O12" s="45">
        <v>32.4</v>
      </c>
      <c r="P12" s="45">
        <v>33.200000000000003</v>
      </c>
      <c r="Q12" s="45">
        <v>33.1</v>
      </c>
      <c r="R12" s="45">
        <v>32.6</v>
      </c>
      <c r="S12" s="45">
        <v>32.6</v>
      </c>
      <c r="T12" s="45">
        <v>32.6</v>
      </c>
      <c r="U12" s="45">
        <v>32.6</v>
      </c>
      <c r="V12" s="45">
        <v>32.6</v>
      </c>
      <c r="W12" s="45">
        <v>32.6</v>
      </c>
      <c r="X12" s="45">
        <v>32.6</v>
      </c>
      <c r="Y12" s="45">
        <v>32.6</v>
      </c>
      <c r="Z12" s="45">
        <v>32.6</v>
      </c>
      <c r="AA12" s="45">
        <v>32.6</v>
      </c>
      <c r="AB12" s="45">
        <v>32.6</v>
      </c>
      <c r="AC12" s="45">
        <v>32.6</v>
      </c>
      <c r="AD12" s="45">
        <v>32.6</v>
      </c>
      <c r="AE12" s="45">
        <v>32.6</v>
      </c>
      <c r="AF12" s="45">
        <v>32.6</v>
      </c>
      <c r="AG12" s="50">
        <v>50</v>
      </c>
      <c r="AH12" s="47">
        <f t="shared" si="2"/>
        <v>33.9</v>
      </c>
      <c r="AI12" s="48">
        <f t="shared" si="3"/>
        <v>31.85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21</v>
      </c>
      <c r="C13" s="45">
        <v>21</v>
      </c>
      <c r="D13" s="45">
        <v>21</v>
      </c>
      <c r="E13" s="45">
        <v>19.100000000000001</v>
      </c>
      <c r="F13" s="45">
        <v>18.7</v>
      </c>
      <c r="G13" s="45">
        <v>16.100000000000001</v>
      </c>
      <c r="H13" s="45">
        <v>19.100000000000001</v>
      </c>
      <c r="I13" s="45">
        <v>19.2</v>
      </c>
      <c r="J13" s="45">
        <v>18.8</v>
      </c>
      <c r="K13" s="45">
        <v>15.7</v>
      </c>
      <c r="L13" s="45">
        <v>19.100000000000001</v>
      </c>
      <c r="M13" s="45">
        <v>19.100000000000001</v>
      </c>
      <c r="N13" s="45">
        <v>16.100000000000001</v>
      </c>
      <c r="O13" s="45">
        <v>16.5</v>
      </c>
      <c r="P13" s="45">
        <v>15.3</v>
      </c>
      <c r="Q13" s="45">
        <v>15.5</v>
      </c>
      <c r="R13" s="45">
        <v>16</v>
      </c>
      <c r="S13" s="45">
        <v>16</v>
      </c>
      <c r="T13" s="45">
        <v>16</v>
      </c>
      <c r="U13" s="45">
        <v>16</v>
      </c>
      <c r="V13" s="45">
        <v>16</v>
      </c>
      <c r="W13" s="45">
        <v>16</v>
      </c>
      <c r="X13" s="45">
        <v>16</v>
      </c>
      <c r="Y13" s="45">
        <v>20.399999999999999</v>
      </c>
      <c r="Z13" s="45">
        <v>20.399999999999999</v>
      </c>
      <c r="AA13" s="45">
        <v>20.399999999999999</v>
      </c>
      <c r="AB13" s="45">
        <v>20.399999999999999</v>
      </c>
      <c r="AC13" s="45">
        <v>20.399999999999999</v>
      </c>
      <c r="AD13" s="45">
        <v>20.399999999999999</v>
      </c>
      <c r="AE13" s="45">
        <v>20.399999999999999</v>
      </c>
      <c r="AF13" s="45">
        <v>20.399999999999999</v>
      </c>
      <c r="AG13" s="50">
        <v>45</v>
      </c>
      <c r="AH13" s="47">
        <f t="shared" si="2"/>
        <v>21</v>
      </c>
      <c r="AI13" s="48">
        <f t="shared" si="3"/>
        <v>15.3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9</v>
      </c>
      <c r="C14" s="45">
        <v>9</v>
      </c>
      <c r="D14" s="45">
        <v>9</v>
      </c>
      <c r="E14" s="45">
        <v>9</v>
      </c>
      <c r="F14" s="45">
        <v>9</v>
      </c>
      <c r="G14" s="45">
        <v>9</v>
      </c>
      <c r="H14" s="45">
        <v>9</v>
      </c>
      <c r="I14" s="45">
        <v>9</v>
      </c>
      <c r="J14" s="45">
        <v>9</v>
      </c>
      <c r="K14" s="45">
        <v>9</v>
      </c>
      <c r="L14" s="45">
        <v>9</v>
      </c>
      <c r="M14" s="45">
        <v>9</v>
      </c>
      <c r="N14" s="45">
        <v>9</v>
      </c>
      <c r="O14" s="45">
        <v>9</v>
      </c>
      <c r="P14" s="45">
        <v>9</v>
      </c>
      <c r="Q14" s="45">
        <v>9</v>
      </c>
      <c r="R14" s="45">
        <v>9</v>
      </c>
      <c r="S14" s="45">
        <v>9</v>
      </c>
      <c r="T14" s="45">
        <v>9</v>
      </c>
      <c r="U14" s="45">
        <v>9</v>
      </c>
      <c r="V14" s="45">
        <v>9</v>
      </c>
      <c r="W14" s="45">
        <v>9</v>
      </c>
      <c r="X14" s="45">
        <v>9</v>
      </c>
      <c r="Y14" s="45">
        <v>9</v>
      </c>
      <c r="Z14" s="45">
        <v>9</v>
      </c>
      <c r="AA14" s="45">
        <v>9</v>
      </c>
      <c r="AB14" s="45">
        <v>9</v>
      </c>
      <c r="AC14" s="45">
        <v>9</v>
      </c>
      <c r="AD14" s="45">
        <v>9</v>
      </c>
      <c r="AE14" s="45">
        <v>9</v>
      </c>
      <c r="AF14" s="45">
        <v>9</v>
      </c>
      <c r="AG14" s="50">
        <v>42</v>
      </c>
      <c r="AH14" s="47">
        <f t="shared" si="2"/>
        <v>9</v>
      </c>
      <c r="AI14" s="48">
        <f t="shared" si="3"/>
        <v>9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13</v>
      </c>
      <c r="C15" s="45">
        <v>13</v>
      </c>
      <c r="D15" s="45">
        <v>13</v>
      </c>
      <c r="E15" s="45">
        <v>13</v>
      </c>
      <c r="F15" s="45">
        <v>13</v>
      </c>
      <c r="G15" s="45">
        <v>13</v>
      </c>
      <c r="H15" s="45">
        <v>13</v>
      </c>
      <c r="I15" s="45">
        <v>13</v>
      </c>
      <c r="J15" s="45">
        <v>13</v>
      </c>
      <c r="K15" s="45">
        <v>13</v>
      </c>
      <c r="L15" s="45">
        <v>13</v>
      </c>
      <c r="M15" s="45">
        <v>13</v>
      </c>
      <c r="N15" s="45">
        <v>13</v>
      </c>
      <c r="O15" s="45">
        <v>13</v>
      </c>
      <c r="P15" s="45">
        <v>13</v>
      </c>
      <c r="Q15" s="45">
        <v>13</v>
      </c>
      <c r="R15" s="45">
        <v>13</v>
      </c>
      <c r="S15" s="45">
        <v>13</v>
      </c>
      <c r="T15" s="45">
        <v>13</v>
      </c>
      <c r="U15" s="45">
        <v>13</v>
      </c>
      <c r="V15" s="45">
        <v>13</v>
      </c>
      <c r="W15" s="45">
        <v>13</v>
      </c>
      <c r="X15" s="45">
        <v>13</v>
      </c>
      <c r="Y15" s="45">
        <v>13</v>
      </c>
      <c r="Z15" s="45">
        <v>13</v>
      </c>
      <c r="AA15" s="45">
        <v>13</v>
      </c>
      <c r="AB15" s="45">
        <v>13</v>
      </c>
      <c r="AC15" s="45">
        <v>13</v>
      </c>
      <c r="AD15" s="45">
        <v>13</v>
      </c>
      <c r="AE15" s="45">
        <v>13</v>
      </c>
      <c r="AF15" s="45">
        <v>13</v>
      </c>
      <c r="AG15" s="50">
        <v>36</v>
      </c>
      <c r="AH15" s="47">
        <f t="shared" si="2"/>
        <v>13</v>
      </c>
      <c r="AI15" s="48">
        <f t="shared" si="3"/>
        <v>13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7.7</v>
      </c>
      <c r="C16" s="45">
        <v>7.7</v>
      </c>
      <c r="D16" s="45">
        <v>7.7</v>
      </c>
      <c r="E16" s="45">
        <v>7.7</v>
      </c>
      <c r="F16" s="45">
        <v>7.7</v>
      </c>
      <c r="G16" s="45">
        <v>7.7</v>
      </c>
      <c r="H16" s="45">
        <v>7.7</v>
      </c>
      <c r="I16" s="45">
        <v>7.7</v>
      </c>
      <c r="J16" s="45">
        <v>7.7</v>
      </c>
      <c r="K16" s="45">
        <v>7.7</v>
      </c>
      <c r="L16" s="45">
        <v>7.7</v>
      </c>
      <c r="M16" s="45">
        <v>7.7</v>
      </c>
      <c r="N16" s="45">
        <v>8.6999999999999993</v>
      </c>
      <c r="O16" s="45">
        <v>8.3000000000000007</v>
      </c>
      <c r="P16" s="45">
        <v>8.1999999999999993</v>
      </c>
      <c r="Q16" s="45">
        <v>8.1999999999999993</v>
      </c>
      <c r="R16" s="45">
        <v>7.9</v>
      </c>
      <c r="S16" s="45">
        <v>7.9</v>
      </c>
      <c r="T16" s="45">
        <v>7.9</v>
      </c>
      <c r="U16" s="45">
        <v>7.9</v>
      </c>
      <c r="V16" s="45">
        <v>7.9</v>
      </c>
      <c r="W16" s="45">
        <v>7.9</v>
      </c>
      <c r="X16" s="45">
        <v>7.9</v>
      </c>
      <c r="Y16" s="45">
        <v>8.9</v>
      </c>
      <c r="Z16" s="45">
        <v>8.9</v>
      </c>
      <c r="AA16" s="45">
        <v>8.9</v>
      </c>
      <c r="AB16" s="45">
        <v>8.9</v>
      </c>
      <c r="AC16" s="45">
        <v>8.9</v>
      </c>
      <c r="AD16" s="45">
        <v>8.9</v>
      </c>
      <c r="AE16" s="45">
        <v>8.9</v>
      </c>
      <c r="AF16" s="45">
        <v>8.9</v>
      </c>
      <c r="AG16" s="51">
        <v>30</v>
      </c>
      <c r="AH16" s="47">
        <f t="shared" si="2"/>
        <v>8.9</v>
      </c>
      <c r="AI16" s="48">
        <f t="shared" si="3"/>
        <v>7.7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7.3</v>
      </c>
      <c r="C17" s="45">
        <v>7.3</v>
      </c>
      <c r="D17" s="45">
        <v>7.3</v>
      </c>
      <c r="E17" s="45">
        <v>7.3</v>
      </c>
      <c r="F17" s="45">
        <v>7.3</v>
      </c>
      <c r="G17" s="45">
        <v>7.3</v>
      </c>
      <c r="H17" s="45">
        <v>7.3</v>
      </c>
      <c r="I17" s="45">
        <v>7.3</v>
      </c>
      <c r="J17" s="45">
        <v>7.3</v>
      </c>
      <c r="K17" s="45">
        <v>7.3</v>
      </c>
      <c r="L17" s="45">
        <v>7.3</v>
      </c>
      <c r="M17" s="45">
        <v>7.3</v>
      </c>
      <c r="N17" s="45">
        <v>7.3</v>
      </c>
      <c r="O17" s="45">
        <v>7.1</v>
      </c>
      <c r="P17" s="45">
        <v>7</v>
      </c>
      <c r="Q17" s="45">
        <v>7</v>
      </c>
      <c r="R17" s="45">
        <v>7</v>
      </c>
      <c r="S17" s="45">
        <v>7</v>
      </c>
      <c r="T17" s="45">
        <v>7</v>
      </c>
      <c r="U17" s="45">
        <v>7</v>
      </c>
      <c r="V17" s="45">
        <v>7</v>
      </c>
      <c r="W17" s="45">
        <v>7</v>
      </c>
      <c r="X17" s="45">
        <v>7</v>
      </c>
      <c r="Y17" s="45">
        <v>7</v>
      </c>
      <c r="Z17" s="45">
        <v>7</v>
      </c>
      <c r="AA17" s="45">
        <v>7</v>
      </c>
      <c r="AB17" s="45">
        <v>7</v>
      </c>
      <c r="AC17" s="45">
        <v>7</v>
      </c>
      <c r="AD17" s="45">
        <v>7</v>
      </c>
      <c r="AE17" s="45">
        <v>7</v>
      </c>
      <c r="AF17" s="45">
        <v>7</v>
      </c>
      <c r="AG17" s="50">
        <v>24.2</v>
      </c>
      <c r="AH17" s="47">
        <f t="shared" si="2"/>
        <v>7.3</v>
      </c>
      <c r="AI17" s="48">
        <f t="shared" si="3"/>
        <v>7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50">
        <v>28</v>
      </c>
      <c r="AH18" s="47">
        <f t="shared" si="2"/>
        <v>8</v>
      </c>
      <c r="AI18" s="48">
        <f t="shared" si="3"/>
        <v>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9.4</v>
      </c>
      <c r="C20" s="45">
        <v>9.4</v>
      </c>
      <c r="D20" s="45">
        <v>9.4</v>
      </c>
      <c r="E20" s="45">
        <v>9.4</v>
      </c>
      <c r="F20" s="45">
        <v>9.4</v>
      </c>
      <c r="G20" s="45">
        <v>9.4</v>
      </c>
      <c r="H20" s="45">
        <v>9.4</v>
      </c>
      <c r="I20" s="45">
        <v>9.4</v>
      </c>
      <c r="J20" s="45">
        <v>9.4</v>
      </c>
      <c r="K20" s="45">
        <v>9.4</v>
      </c>
      <c r="L20" s="45">
        <v>9.4</v>
      </c>
      <c r="M20" s="45">
        <v>9.4</v>
      </c>
      <c r="N20" s="45">
        <v>9.4</v>
      </c>
      <c r="O20" s="45">
        <v>9.4</v>
      </c>
      <c r="P20" s="45">
        <v>9.4</v>
      </c>
      <c r="Q20" s="45">
        <v>9.4</v>
      </c>
      <c r="R20" s="45">
        <v>9.4</v>
      </c>
      <c r="S20" s="45">
        <v>9.4</v>
      </c>
      <c r="T20" s="45">
        <v>9.4</v>
      </c>
      <c r="U20" s="45">
        <v>9.4</v>
      </c>
      <c r="V20" s="45">
        <v>9.4</v>
      </c>
      <c r="W20" s="45">
        <v>9.4</v>
      </c>
      <c r="X20" s="45">
        <v>9.4</v>
      </c>
      <c r="Y20" s="45">
        <v>9.4</v>
      </c>
      <c r="Z20" s="45">
        <v>9.4</v>
      </c>
      <c r="AA20" s="45">
        <v>9.4</v>
      </c>
      <c r="AB20" s="45">
        <v>9.4</v>
      </c>
      <c r="AC20" s="45">
        <v>9.4</v>
      </c>
      <c r="AD20" s="45">
        <v>9.4</v>
      </c>
      <c r="AE20" s="45">
        <v>9.4</v>
      </c>
      <c r="AF20" s="45">
        <v>9.4</v>
      </c>
      <c r="AG20" s="50">
        <v>25</v>
      </c>
      <c r="AH20" s="47">
        <f t="shared" si="2"/>
        <v>9.4</v>
      </c>
      <c r="AI20" s="48">
        <f t="shared" si="3"/>
        <v>9.4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0">
        <v>25</v>
      </c>
      <c r="AH22" s="47">
        <f t="shared" si="2"/>
        <v>11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7.6</v>
      </c>
      <c r="C24" s="45">
        <v>7.6</v>
      </c>
      <c r="D24" s="45">
        <v>7.6</v>
      </c>
      <c r="E24" s="45">
        <v>7.6</v>
      </c>
      <c r="F24" s="45">
        <v>7.6</v>
      </c>
      <c r="G24" s="45">
        <v>7.6</v>
      </c>
      <c r="H24" s="45">
        <v>7.6</v>
      </c>
      <c r="I24" s="45">
        <v>7.6</v>
      </c>
      <c r="J24" s="45">
        <v>7.6</v>
      </c>
      <c r="K24" s="45">
        <v>7.6</v>
      </c>
      <c r="L24" s="45">
        <v>7.6</v>
      </c>
      <c r="M24" s="45">
        <v>7.6</v>
      </c>
      <c r="N24" s="45">
        <v>7.6</v>
      </c>
      <c r="O24" s="45">
        <v>7.9</v>
      </c>
      <c r="P24" s="45">
        <v>7.9</v>
      </c>
      <c r="Q24" s="45">
        <v>7.9</v>
      </c>
      <c r="R24" s="45">
        <v>7.9</v>
      </c>
      <c r="S24" s="45">
        <v>7.9</v>
      </c>
      <c r="T24" s="45">
        <v>7.9</v>
      </c>
      <c r="U24" s="45">
        <v>7.9</v>
      </c>
      <c r="V24" s="45">
        <v>7.9</v>
      </c>
      <c r="W24" s="45">
        <v>7.9</v>
      </c>
      <c r="X24" s="45">
        <v>7.9</v>
      </c>
      <c r="Y24" s="45">
        <v>3.1</v>
      </c>
      <c r="Z24" s="45">
        <v>3.1</v>
      </c>
      <c r="AA24" s="45">
        <v>3.1</v>
      </c>
      <c r="AB24" s="45">
        <v>3.1</v>
      </c>
      <c r="AC24" s="45">
        <v>3.1</v>
      </c>
      <c r="AD24" s="45">
        <v>3.1</v>
      </c>
      <c r="AE24" s="45">
        <v>3.1</v>
      </c>
      <c r="AF24" s="45">
        <v>3.1</v>
      </c>
      <c r="AG24" s="50">
        <v>23.5</v>
      </c>
      <c r="AH24" s="47">
        <f t="shared" si="2"/>
        <v>7.9</v>
      </c>
      <c r="AI24" s="48">
        <f t="shared" si="3"/>
        <v>3.1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11</v>
      </c>
      <c r="C28" s="45">
        <v>11</v>
      </c>
      <c r="D28" s="45">
        <v>11</v>
      </c>
      <c r="E28" s="45">
        <v>11</v>
      </c>
      <c r="F28" s="45">
        <v>11</v>
      </c>
      <c r="G28" s="45">
        <v>11</v>
      </c>
      <c r="H28" s="45">
        <v>11</v>
      </c>
      <c r="I28" s="45">
        <v>11</v>
      </c>
      <c r="J28" s="45">
        <v>11</v>
      </c>
      <c r="K28" s="45">
        <v>11</v>
      </c>
      <c r="L28" s="45">
        <v>11</v>
      </c>
      <c r="M28" s="45">
        <v>11</v>
      </c>
      <c r="N28" s="45">
        <v>11</v>
      </c>
      <c r="O28" s="45">
        <v>8</v>
      </c>
      <c r="P28" s="45">
        <v>8</v>
      </c>
      <c r="Q28" s="45">
        <v>8</v>
      </c>
      <c r="R28" s="45">
        <v>8</v>
      </c>
      <c r="S28" s="45">
        <v>8</v>
      </c>
      <c r="T28" s="45">
        <v>8</v>
      </c>
      <c r="U28" s="45">
        <v>8</v>
      </c>
      <c r="V28" s="45">
        <v>8</v>
      </c>
      <c r="W28" s="45">
        <v>8</v>
      </c>
      <c r="X28" s="45">
        <v>8</v>
      </c>
      <c r="Y28" s="45">
        <v>8</v>
      </c>
      <c r="Z28" s="45">
        <v>8</v>
      </c>
      <c r="AA28" s="45">
        <v>8</v>
      </c>
      <c r="AB28" s="45">
        <v>8</v>
      </c>
      <c r="AC28" s="45">
        <v>8</v>
      </c>
      <c r="AD28" s="45">
        <v>8</v>
      </c>
      <c r="AE28" s="45">
        <v>8</v>
      </c>
      <c r="AF28" s="45">
        <v>8</v>
      </c>
      <c r="AG28" s="50">
        <v>22</v>
      </c>
      <c r="AH28" s="47">
        <f t="shared" si="2"/>
        <v>11</v>
      </c>
      <c r="AI28" s="48">
        <f t="shared" si="3"/>
        <v>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>
        <v>10</v>
      </c>
      <c r="L35" s="45">
        <v>10</v>
      </c>
      <c r="M35" s="45">
        <v>10</v>
      </c>
      <c r="N35" s="45">
        <v>10</v>
      </c>
      <c r="O35" s="45">
        <v>10</v>
      </c>
      <c r="P35" s="45">
        <v>10</v>
      </c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45">
        <v>10</v>
      </c>
      <c r="Z35" s="45">
        <v>10</v>
      </c>
      <c r="AA35" s="45">
        <v>10</v>
      </c>
      <c r="AB35" s="45">
        <v>10</v>
      </c>
      <c r="AC35" s="45">
        <v>10</v>
      </c>
      <c r="AD35" s="45">
        <v>10</v>
      </c>
      <c r="AE35" s="45">
        <v>10</v>
      </c>
      <c r="AF35" s="45">
        <v>10</v>
      </c>
      <c r="AG35" s="50">
        <v>12</v>
      </c>
      <c r="AH35" s="47">
        <f t="shared" si="2"/>
        <v>10</v>
      </c>
      <c r="AI35" s="48">
        <f t="shared" si="3"/>
        <v>10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1</v>
      </c>
      <c r="T41" s="45">
        <v>1</v>
      </c>
      <c r="U41" s="45">
        <v>1</v>
      </c>
      <c r="V41" s="45">
        <v>1</v>
      </c>
      <c r="W41" s="45">
        <v>1</v>
      </c>
      <c r="X41" s="45">
        <v>1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1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100</v>
      </c>
      <c r="C42" s="56">
        <v>100</v>
      </c>
      <c r="D42" s="56">
        <v>100</v>
      </c>
      <c r="E42" s="56">
        <v>100</v>
      </c>
      <c r="F42" s="56">
        <v>100</v>
      </c>
      <c r="G42" s="56">
        <v>100</v>
      </c>
      <c r="H42" s="56">
        <v>100</v>
      </c>
      <c r="I42" s="56">
        <v>100</v>
      </c>
      <c r="J42" s="56">
        <v>100</v>
      </c>
      <c r="K42" s="56">
        <v>100</v>
      </c>
      <c r="L42" s="56">
        <v>100</v>
      </c>
      <c r="M42" s="56">
        <v>100</v>
      </c>
      <c r="N42" s="56">
        <v>100</v>
      </c>
      <c r="O42" s="56">
        <v>100</v>
      </c>
      <c r="P42" s="56">
        <v>100</v>
      </c>
      <c r="Q42" s="56">
        <v>100</v>
      </c>
      <c r="R42" s="56">
        <v>100</v>
      </c>
      <c r="S42" s="56">
        <v>100</v>
      </c>
      <c r="T42" s="56">
        <v>100</v>
      </c>
      <c r="U42" s="56">
        <v>100</v>
      </c>
      <c r="V42" s="56">
        <v>100</v>
      </c>
      <c r="W42" s="56">
        <v>100</v>
      </c>
      <c r="X42" s="56">
        <v>100</v>
      </c>
      <c r="Y42" s="56">
        <v>100</v>
      </c>
      <c r="Z42" s="56">
        <v>100</v>
      </c>
      <c r="AA42" s="56">
        <v>100</v>
      </c>
      <c r="AB42" s="56">
        <v>100</v>
      </c>
      <c r="AC42" s="56">
        <v>100</v>
      </c>
      <c r="AD42" s="56">
        <v>100</v>
      </c>
      <c r="AE42" s="56">
        <v>100</v>
      </c>
      <c r="AF42" s="56">
        <v>100</v>
      </c>
      <c r="AG42" s="54">
        <v>85</v>
      </c>
      <c r="AH42" s="47">
        <f t="shared" si="2"/>
        <v>100</v>
      </c>
      <c r="AI42" s="48">
        <f t="shared" si="3"/>
        <v>100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:AG44" si="4">SUM(B11:B42)</f>
        <v>381.15</v>
      </c>
      <c r="C44" s="60">
        <f t="shared" si="4"/>
        <v>381.15</v>
      </c>
      <c r="D44" s="60">
        <f t="shared" si="4"/>
        <v>381.15</v>
      </c>
      <c r="E44" s="60">
        <f t="shared" si="4"/>
        <v>381.09999999999997</v>
      </c>
      <c r="F44" s="60">
        <f t="shared" si="4"/>
        <v>380.3</v>
      </c>
      <c r="G44" s="60">
        <f t="shared" si="4"/>
        <v>378.5</v>
      </c>
      <c r="H44" s="60">
        <f t="shared" si="4"/>
        <v>381.5</v>
      </c>
      <c r="I44" s="60">
        <f t="shared" si="4"/>
        <v>381.8</v>
      </c>
      <c r="J44" s="60">
        <f t="shared" si="4"/>
        <v>379.4</v>
      </c>
      <c r="K44" s="60">
        <f t="shared" si="4"/>
        <v>374.4</v>
      </c>
      <c r="L44" s="60">
        <f t="shared" si="4"/>
        <v>377.8</v>
      </c>
      <c r="M44" s="60">
        <f t="shared" si="4"/>
        <v>379.4</v>
      </c>
      <c r="N44" s="60">
        <f t="shared" si="4"/>
        <v>379.8</v>
      </c>
      <c r="O44" s="60">
        <f t="shared" ref="O44:P44" si="5">SUM(O11:O42)</f>
        <v>374.2</v>
      </c>
      <c r="P44" s="60">
        <f t="shared" si="5"/>
        <v>373.5</v>
      </c>
      <c r="Q44" s="60">
        <f t="shared" si="4"/>
        <v>374.2</v>
      </c>
      <c r="R44" s="60">
        <f t="shared" si="4"/>
        <v>373.8</v>
      </c>
      <c r="S44" s="60">
        <f t="shared" si="4"/>
        <v>374.8</v>
      </c>
      <c r="T44" s="60">
        <f t="shared" si="4"/>
        <v>374.8</v>
      </c>
      <c r="U44" s="60">
        <f t="shared" si="4"/>
        <v>374.8</v>
      </c>
      <c r="V44" s="60">
        <f t="shared" si="4"/>
        <v>374.8</v>
      </c>
      <c r="W44" s="60">
        <f t="shared" si="4"/>
        <v>374.8</v>
      </c>
      <c r="X44" s="60">
        <f t="shared" si="4"/>
        <v>374.8</v>
      </c>
      <c r="Y44" s="60">
        <f t="shared" si="4"/>
        <v>374.40000000000003</v>
      </c>
      <c r="Z44" s="60">
        <f t="shared" si="4"/>
        <v>374.40000000000003</v>
      </c>
      <c r="AA44" s="60">
        <f t="shared" si="4"/>
        <v>374.40000000000003</v>
      </c>
      <c r="AB44" s="60">
        <f t="shared" si="4"/>
        <v>374.40000000000003</v>
      </c>
      <c r="AC44" s="60">
        <f t="shared" si="4"/>
        <v>374.40000000000003</v>
      </c>
      <c r="AD44" s="60">
        <f t="shared" si="4"/>
        <v>374.40000000000003</v>
      </c>
      <c r="AE44" s="60">
        <f t="shared" si="4"/>
        <v>375.09999999999997</v>
      </c>
      <c r="AF44" s="60">
        <f t="shared" si="4"/>
        <v>375.09999999999997</v>
      </c>
      <c r="AG44" s="61">
        <f t="shared" si="4"/>
        <v>814.78000000000009</v>
      </c>
      <c r="AH44" s="47">
        <f t="shared" si="2"/>
        <v>381.8</v>
      </c>
      <c r="AI44" s="48">
        <f t="shared" si="3"/>
        <v>373.5</v>
      </c>
      <c r="AK44" s="49"/>
    </row>
    <row r="45" spans="1:88" x14ac:dyDescent="0.25">
      <c r="A45" s="62" t="s">
        <v>53</v>
      </c>
      <c r="B45" s="45">
        <v>40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15</v>
      </c>
      <c r="I45" s="45">
        <v>40</v>
      </c>
      <c r="J45" s="45">
        <v>120</v>
      </c>
      <c r="K45" s="45">
        <v>120</v>
      </c>
      <c r="L45" s="45">
        <v>140</v>
      </c>
      <c r="M45" s="63">
        <v>170</v>
      </c>
      <c r="N45" s="63">
        <v>130</v>
      </c>
      <c r="O45" s="63">
        <v>140</v>
      </c>
      <c r="P45" s="63">
        <v>110</v>
      </c>
      <c r="Q45" s="45">
        <v>130</v>
      </c>
      <c r="R45" s="45">
        <v>65</v>
      </c>
      <c r="S45" s="45">
        <v>65</v>
      </c>
      <c r="T45" s="45">
        <v>100</v>
      </c>
      <c r="U45" s="45">
        <v>90</v>
      </c>
      <c r="V45" s="45">
        <v>90</v>
      </c>
      <c r="W45" s="45">
        <v>100</v>
      </c>
      <c r="X45" s="45">
        <v>120</v>
      </c>
      <c r="Y45" s="45">
        <v>180</v>
      </c>
      <c r="Z45" s="45">
        <v>225</v>
      </c>
      <c r="AA45" s="45">
        <v>280</v>
      </c>
      <c r="AB45" s="45">
        <v>150</v>
      </c>
      <c r="AC45" s="45">
        <v>100</v>
      </c>
      <c r="AD45" s="45">
        <v>110</v>
      </c>
      <c r="AE45" s="45">
        <v>50</v>
      </c>
      <c r="AF45" s="45">
        <v>0</v>
      </c>
      <c r="AG45" s="51">
        <v>456</v>
      </c>
      <c r="AH45" s="47">
        <f t="shared" si="2"/>
        <v>280</v>
      </c>
      <c r="AI45" s="48">
        <f t="shared" si="3"/>
        <v>0</v>
      </c>
      <c r="AK45" s="49"/>
    </row>
    <row r="46" spans="1:88" x14ac:dyDescent="0.25">
      <c r="A46" s="64" t="s">
        <v>54</v>
      </c>
      <c r="B46" s="65">
        <v>30</v>
      </c>
      <c r="C46" s="65">
        <v>30</v>
      </c>
      <c r="D46" s="65">
        <v>30</v>
      </c>
      <c r="E46" s="65">
        <v>30</v>
      </c>
      <c r="F46" s="65">
        <v>30</v>
      </c>
      <c r="G46" s="65">
        <v>30</v>
      </c>
      <c r="H46" s="65">
        <v>30</v>
      </c>
      <c r="I46" s="65">
        <v>30</v>
      </c>
      <c r="J46" s="65">
        <v>30</v>
      </c>
      <c r="K46" s="65">
        <v>30</v>
      </c>
      <c r="L46" s="65">
        <v>30</v>
      </c>
      <c r="M46" s="65">
        <v>30</v>
      </c>
      <c r="N46" s="65">
        <v>30</v>
      </c>
      <c r="O46" s="65">
        <v>30</v>
      </c>
      <c r="P46" s="65">
        <v>30</v>
      </c>
      <c r="Q46" s="65">
        <v>30</v>
      </c>
      <c r="R46" s="65">
        <v>30</v>
      </c>
      <c r="S46" s="65">
        <v>30</v>
      </c>
      <c r="T46" s="65">
        <v>30</v>
      </c>
      <c r="U46" s="65">
        <v>30</v>
      </c>
      <c r="V46" s="65">
        <v>30</v>
      </c>
      <c r="W46" s="65">
        <v>30</v>
      </c>
      <c r="X46" s="65">
        <v>30</v>
      </c>
      <c r="Y46" s="65">
        <v>30</v>
      </c>
      <c r="Z46" s="65">
        <v>30</v>
      </c>
      <c r="AA46" s="65">
        <v>30</v>
      </c>
      <c r="AB46" s="65">
        <v>30</v>
      </c>
      <c r="AC46" s="65">
        <v>30</v>
      </c>
      <c r="AD46" s="65">
        <v>30</v>
      </c>
      <c r="AE46" s="65">
        <v>30</v>
      </c>
      <c r="AF46" s="65">
        <v>30</v>
      </c>
      <c r="AG46" s="54">
        <v>60</v>
      </c>
      <c r="AH46" s="47">
        <f t="shared" si="2"/>
        <v>30</v>
      </c>
      <c r="AI46" s="48">
        <f t="shared" si="3"/>
        <v>30</v>
      </c>
      <c r="AK46" s="49"/>
    </row>
    <row r="47" spans="1:88" ht="15.75" thickBot="1" x14ac:dyDescent="0.3">
      <c r="A47" s="66" t="s">
        <v>55</v>
      </c>
      <c r="B47" s="67">
        <v>10.199999999999999</v>
      </c>
      <c r="C47" s="67">
        <v>10</v>
      </c>
      <c r="D47" s="67">
        <v>10</v>
      </c>
      <c r="E47" s="67">
        <v>10.199999999999999</v>
      </c>
      <c r="F47" s="67">
        <v>10.199999999999999</v>
      </c>
      <c r="G47" s="67">
        <v>10.3</v>
      </c>
      <c r="H47" s="67">
        <v>10.199999999999999</v>
      </c>
      <c r="I47" s="67">
        <v>10.8</v>
      </c>
      <c r="J47" s="67">
        <v>10.8</v>
      </c>
      <c r="K47" s="67">
        <v>10.8</v>
      </c>
      <c r="L47" s="67">
        <v>10.1</v>
      </c>
      <c r="M47" s="67">
        <v>10.199999999999999</v>
      </c>
      <c r="N47" s="67">
        <v>10.199999999999999</v>
      </c>
      <c r="O47" s="67">
        <v>10.199999999999999</v>
      </c>
      <c r="P47" s="67">
        <v>10.199999999999999</v>
      </c>
      <c r="Q47" s="67">
        <v>10.199999999999999</v>
      </c>
      <c r="R47" s="67">
        <v>10.199999999999999</v>
      </c>
      <c r="S47" s="67">
        <v>10.199999999999999</v>
      </c>
      <c r="T47" s="67">
        <v>10.199999999999999</v>
      </c>
      <c r="U47" s="67">
        <v>10.199999999999999</v>
      </c>
      <c r="V47" s="67">
        <v>10.199999999999999</v>
      </c>
      <c r="W47" s="67">
        <v>10.199999999999999</v>
      </c>
      <c r="X47" s="67">
        <v>10.199999999999999</v>
      </c>
      <c r="Y47" s="67">
        <v>10.199999999999999</v>
      </c>
      <c r="Z47" s="67">
        <v>10.199999999999999</v>
      </c>
      <c r="AA47" s="67">
        <v>10.199999999999999</v>
      </c>
      <c r="AB47" s="67">
        <v>10.199999999999999</v>
      </c>
      <c r="AC47" s="67">
        <v>10.199999999999999</v>
      </c>
      <c r="AD47" s="67">
        <v>10.199999999999999</v>
      </c>
      <c r="AE47" s="67">
        <v>10</v>
      </c>
      <c r="AF47" s="67">
        <v>10</v>
      </c>
      <c r="AG47" s="68">
        <v>22.1</v>
      </c>
      <c r="AH47" s="47">
        <f t="shared" si="2"/>
        <v>10.8</v>
      </c>
      <c r="AI47" s="48">
        <f t="shared" si="3"/>
        <v>10</v>
      </c>
      <c r="AK47" s="49"/>
    </row>
    <row r="48" spans="1:88" ht="15.75" thickBot="1" x14ac:dyDescent="0.3">
      <c r="A48" s="69" t="s">
        <v>56</v>
      </c>
      <c r="B48" s="60">
        <f t="shared" ref="B48:AG48" si="6">SUM(B45:B47)</f>
        <v>80.2</v>
      </c>
      <c r="C48" s="60">
        <f t="shared" si="6"/>
        <v>40</v>
      </c>
      <c r="D48" s="60">
        <f t="shared" si="6"/>
        <v>40</v>
      </c>
      <c r="E48" s="60">
        <f t="shared" si="6"/>
        <v>40.200000000000003</v>
      </c>
      <c r="F48" s="60">
        <f t="shared" si="6"/>
        <v>40.200000000000003</v>
      </c>
      <c r="G48" s="60">
        <f t="shared" si="6"/>
        <v>40.299999999999997</v>
      </c>
      <c r="H48" s="60">
        <f t="shared" si="6"/>
        <v>55.2</v>
      </c>
      <c r="I48" s="60">
        <f t="shared" si="6"/>
        <v>80.8</v>
      </c>
      <c r="J48" s="60">
        <f t="shared" si="6"/>
        <v>160.80000000000001</v>
      </c>
      <c r="K48" s="60">
        <f t="shared" si="6"/>
        <v>160.80000000000001</v>
      </c>
      <c r="L48" s="60">
        <f t="shared" si="6"/>
        <v>180.1</v>
      </c>
      <c r="M48" s="60">
        <f t="shared" si="6"/>
        <v>210.2</v>
      </c>
      <c r="N48" s="60">
        <f t="shared" si="6"/>
        <v>170.2</v>
      </c>
      <c r="O48" s="60">
        <f t="shared" ref="O48:P48" si="7">SUM(O45:O47)</f>
        <v>180.2</v>
      </c>
      <c r="P48" s="60">
        <f t="shared" si="7"/>
        <v>150.19999999999999</v>
      </c>
      <c r="Q48" s="60">
        <f t="shared" si="6"/>
        <v>170.2</v>
      </c>
      <c r="R48" s="60">
        <f t="shared" si="6"/>
        <v>105.2</v>
      </c>
      <c r="S48" s="60">
        <f t="shared" si="6"/>
        <v>105.2</v>
      </c>
      <c r="T48" s="60">
        <f t="shared" si="6"/>
        <v>140.19999999999999</v>
      </c>
      <c r="U48" s="60">
        <f t="shared" si="6"/>
        <v>130.19999999999999</v>
      </c>
      <c r="V48" s="60">
        <f t="shared" si="6"/>
        <v>130.19999999999999</v>
      </c>
      <c r="W48" s="60">
        <f t="shared" si="6"/>
        <v>140.19999999999999</v>
      </c>
      <c r="X48" s="60">
        <f t="shared" si="6"/>
        <v>160.19999999999999</v>
      </c>
      <c r="Y48" s="60">
        <f t="shared" si="6"/>
        <v>220.2</v>
      </c>
      <c r="Z48" s="60">
        <f t="shared" si="6"/>
        <v>265.2</v>
      </c>
      <c r="AA48" s="60">
        <f t="shared" si="6"/>
        <v>320.2</v>
      </c>
      <c r="AB48" s="60">
        <f t="shared" si="6"/>
        <v>190.2</v>
      </c>
      <c r="AC48" s="60">
        <f t="shared" si="6"/>
        <v>140.19999999999999</v>
      </c>
      <c r="AD48" s="60">
        <f t="shared" si="6"/>
        <v>150.19999999999999</v>
      </c>
      <c r="AE48" s="60">
        <f t="shared" si="6"/>
        <v>90</v>
      </c>
      <c r="AF48" s="60">
        <f t="shared" si="6"/>
        <v>40</v>
      </c>
      <c r="AG48" s="61">
        <f t="shared" si="6"/>
        <v>538.1</v>
      </c>
      <c r="AH48" s="47">
        <f t="shared" si="2"/>
        <v>320.2</v>
      </c>
      <c r="AI48" s="48">
        <f t="shared" si="3"/>
        <v>40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30</v>
      </c>
      <c r="I49" s="45">
        <v>59.5</v>
      </c>
      <c r="J49" s="45">
        <v>80.14</v>
      </c>
      <c r="K49" s="45">
        <v>93.21</v>
      </c>
      <c r="L49" s="45">
        <v>94</v>
      </c>
      <c r="M49" s="45">
        <v>93</v>
      </c>
      <c r="N49" s="45">
        <v>61</v>
      </c>
      <c r="O49" s="45">
        <v>61</v>
      </c>
      <c r="P49" s="45">
        <v>72.599999999999994</v>
      </c>
      <c r="Q49" s="45">
        <v>94.2</v>
      </c>
      <c r="R49" s="45">
        <v>94.2</v>
      </c>
      <c r="S49" s="45">
        <v>94.2</v>
      </c>
      <c r="T49" s="45">
        <v>71.099999999999994</v>
      </c>
      <c r="U49" s="45">
        <v>61.1</v>
      </c>
      <c r="V49" s="45">
        <v>61.1</v>
      </c>
      <c r="W49" s="45">
        <v>61.1</v>
      </c>
      <c r="X49" s="45">
        <v>92</v>
      </c>
      <c r="Y49" s="45">
        <v>120</v>
      </c>
      <c r="Z49" s="45">
        <v>100</v>
      </c>
      <c r="AA49" s="45">
        <v>100</v>
      </c>
      <c r="AB49" s="45">
        <v>91</v>
      </c>
      <c r="AC49" s="45">
        <v>91</v>
      </c>
      <c r="AD49" s="45">
        <v>91.6</v>
      </c>
      <c r="AE49" s="45">
        <v>60</v>
      </c>
      <c r="AF49" s="45">
        <v>45</v>
      </c>
      <c r="AG49" s="51">
        <v>144</v>
      </c>
      <c r="AH49" s="47">
        <f t="shared" si="2"/>
        <v>120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22.3</v>
      </c>
      <c r="I50" s="65">
        <v>22</v>
      </c>
      <c r="J50" s="65">
        <v>34.6</v>
      </c>
      <c r="K50" s="65">
        <v>61.2</v>
      </c>
      <c r="L50" s="65">
        <v>69.8</v>
      </c>
      <c r="M50" s="65">
        <v>50.5</v>
      </c>
      <c r="N50" s="65">
        <v>49</v>
      </c>
      <c r="O50" s="65">
        <v>24.9</v>
      </c>
      <c r="P50" s="65">
        <v>24.9</v>
      </c>
      <c r="Q50" s="65">
        <v>58.6</v>
      </c>
      <c r="R50" s="45">
        <v>70</v>
      </c>
      <c r="S50" s="45">
        <v>53.3</v>
      </c>
      <c r="T50" s="45">
        <v>46.9</v>
      </c>
      <c r="U50" s="45">
        <v>22.3</v>
      </c>
      <c r="V50" s="45">
        <v>22.3</v>
      </c>
      <c r="W50" s="45">
        <v>22.3</v>
      </c>
      <c r="X50" s="45">
        <v>46</v>
      </c>
      <c r="Y50" s="45">
        <v>49.4</v>
      </c>
      <c r="Z50" s="45">
        <v>49.4</v>
      </c>
      <c r="AA50" s="45">
        <v>49.4</v>
      </c>
      <c r="AB50" s="45">
        <v>24.7</v>
      </c>
      <c r="AC50" s="65">
        <v>25</v>
      </c>
      <c r="AD50" s="65">
        <v>35</v>
      </c>
      <c r="AE50" s="65">
        <v>35</v>
      </c>
      <c r="AF50" s="65">
        <v>25</v>
      </c>
      <c r="AG50" s="54">
        <v>70</v>
      </c>
      <c r="AH50" s="47">
        <f t="shared" si="2"/>
        <v>70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34.5</v>
      </c>
      <c r="C51" s="65">
        <v>16</v>
      </c>
      <c r="D51" s="65">
        <v>22</v>
      </c>
      <c r="E51" s="65">
        <v>16</v>
      </c>
      <c r="F51" s="65">
        <v>0</v>
      </c>
      <c r="G51" s="65">
        <v>23</v>
      </c>
      <c r="H51" s="65">
        <v>16.5</v>
      </c>
      <c r="I51" s="65">
        <v>36.299999999999997</v>
      </c>
      <c r="J51" s="65">
        <v>46.2</v>
      </c>
      <c r="K51" s="65">
        <v>46.3</v>
      </c>
      <c r="L51" s="65">
        <v>46.1</v>
      </c>
      <c r="M51" s="65">
        <v>46</v>
      </c>
      <c r="N51" s="65">
        <v>35</v>
      </c>
      <c r="O51" s="65">
        <v>23</v>
      </c>
      <c r="P51" s="65">
        <v>17</v>
      </c>
      <c r="Q51" s="65">
        <v>23.1</v>
      </c>
      <c r="R51" s="45">
        <v>23.3</v>
      </c>
      <c r="S51" s="45">
        <v>23</v>
      </c>
      <c r="T51" s="45">
        <v>47.1</v>
      </c>
      <c r="U51" s="45">
        <v>48</v>
      </c>
      <c r="V51" s="45">
        <v>34.5</v>
      </c>
      <c r="W51" s="45">
        <v>34.5</v>
      </c>
      <c r="X51" s="45">
        <v>34.5</v>
      </c>
      <c r="Y51" s="45">
        <v>68</v>
      </c>
      <c r="Z51" s="45">
        <v>62</v>
      </c>
      <c r="AA51" s="45">
        <v>55</v>
      </c>
      <c r="AB51" s="45">
        <v>53</v>
      </c>
      <c r="AC51" s="65">
        <v>65.599999999999994</v>
      </c>
      <c r="AD51" s="65">
        <v>69</v>
      </c>
      <c r="AE51" s="65">
        <v>68</v>
      </c>
      <c r="AF51" s="65">
        <v>50</v>
      </c>
      <c r="AG51" s="54">
        <v>69</v>
      </c>
      <c r="AH51" s="47">
        <f t="shared" si="2"/>
        <v>69</v>
      </c>
      <c r="AI51" s="48">
        <f t="shared" si="3"/>
        <v>0</v>
      </c>
      <c r="AK51" s="49"/>
    </row>
    <row r="52" spans="1:41" x14ac:dyDescent="0.25">
      <c r="A52" s="53" t="s">
        <v>60</v>
      </c>
      <c r="B52" s="56">
        <v>42.6</v>
      </c>
      <c r="C52" s="56">
        <v>42.6</v>
      </c>
      <c r="D52" s="56">
        <v>42.6</v>
      </c>
      <c r="E52" s="56">
        <v>44.8</v>
      </c>
      <c r="F52" s="56">
        <v>44.8</v>
      </c>
      <c r="G52" s="56">
        <v>44.1</v>
      </c>
      <c r="H52" s="56">
        <v>44.2</v>
      </c>
      <c r="I52" s="56">
        <v>44</v>
      </c>
      <c r="J52" s="56">
        <v>44.3</v>
      </c>
      <c r="K52" s="56">
        <v>44.1</v>
      </c>
      <c r="L52" s="56">
        <v>44.1</v>
      </c>
      <c r="M52" s="65">
        <v>43.8</v>
      </c>
      <c r="N52" s="65">
        <v>45.6</v>
      </c>
      <c r="O52" s="65">
        <v>45.6</v>
      </c>
      <c r="P52" s="65">
        <v>44.6</v>
      </c>
      <c r="Q52" s="65">
        <v>44.6</v>
      </c>
      <c r="R52" s="45">
        <v>45.6</v>
      </c>
      <c r="S52" s="45">
        <v>45.6</v>
      </c>
      <c r="T52" s="45">
        <v>43.6</v>
      </c>
      <c r="U52" s="45">
        <v>43.6</v>
      </c>
      <c r="V52" s="45">
        <v>43.6</v>
      </c>
      <c r="W52" s="45">
        <v>43.6</v>
      </c>
      <c r="X52" s="45">
        <v>43.6</v>
      </c>
      <c r="Y52" s="65">
        <v>40</v>
      </c>
      <c r="Z52" s="65">
        <v>40</v>
      </c>
      <c r="AA52" s="65">
        <v>40</v>
      </c>
      <c r="AB52" s="65">
        <v>40</v>
      </c>
      <c r="AC52" s="65">
        <v>43</v>
      </c>
      <c r="AD52" s="65">
        <v>44</v>
      </c>
      <c r="AE52" s="65">
        <v>44</v>
      </c>
      <c r="AF52" s="65">
        <v>44</v>
      </c>
      <c r="AG52" s="54">
        <v>60</v>
      </c>
      <c r="AH52" s="47">
        <f t="shared" si="2"/>
        <v>45.6</v>
      </c>
      <c r="AI52" s="48">
        <f t="shared" si="3"/>
        <v>40</v>
      </c>
      <c r="AK52" s="49"/>
    </row>
    <row r="53" spans="1:41" x14ac:dyDescent="0.25">
      <c r="A53" s="53" t="s">
        <v>61</v>
      </c>
      <c r="B53" s="56">
        <v>0</v>
      </c>
      <c r="C53" s="56">
        <v>0</v>
      </c>
      <c r="D53" s="56">
        <v>0</v>
      </c>
      <c r="E53" s="56">
        <v>10</v>
      </c>
      <c r="F53" s="56">
        <v>10</v>
      </c>
      <c r="G53" s="56">
        <v>15</v>
      </c>
      <c r="H53" s="56">
        <v>15</v>
      </c>
      <c r="I53" s="56">
        <v>15</v>
      </c>
      <c r="J53" s="56">
        <v>10</v>
      </c>
      <c r="K53" s="56">
        <v>14.8</v>
      </c>
      <c r="L53" s="56">
        <v>10</v>
      </c>
      <c r="M53" s="65">
        <v>10.5</v>
      </c>
      <c r="N53" s="65">
        <v>10.5</v>
      </c>
      <c r="O53" s="65">
        <v>9.8000000000000007</v>
      </c>
      <c r="P53" s="65">
        <v>10</v>
      </c>
      <c r="Q53" s="65">
        <v>13</v>
      </c>
      <c r="R53" s="45">
        <v>13</v>
      </c>
      <c r="S53" s="45">
        <v>13.1</v>
      </c>
      <c r="T53" s="45">
        <v>10</v>
      </c>
      <c r="U53" s="45">
        <v>10</v>
      </c>
      <c r="V53" s="45">
        <v>10</v>
      </c>
      <c r="W53" s="45">
        <v>10</v>
      </c>
      <c r="X53" s="45">
        <v>14</v>
      </c>
      <c r="Y53" s="65">
        <v>15</v>
      </c>
      <c r="Z53" s="65">
        <v>26</v>
      </c>
      <c r="AA53" s="65">
        <v>23.2</v>
      </c>
      <c r="AB53" s="65">
        <v>23.2</v>
      </c>
      <c r="AC53" s="65">
        <v>15</v>
      </c>
      <c r="AD53" s="65">
        <v>15</v>
      </c>
      <c r="AE53" s="65">
        <v>15</v>
      </c>
      <c r="AF53" s="65">
        <v>0</v>
      </c>
      <c r="AG53" s="54">
        <v>30</v>
      </c>
      <c r="AH53" s="47">
        <f t="shared" si="2"/>
        <v>26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3</v>
      </c>
      <c r="N54" s="45">
        <v>5</v>
      </c>
      <c r="O54" s="45">
        <v>8</v>
      </c>
      <c r="P54" s="45">
        <v>8</v>
      </c>
      <c r="Q54" s="45">
        <v>10</v>
      </c>
      <c r="R54" s="45">
        <v>10</v>
      </c>
      <c r="S54" s="45">
        <v>10</v>
      </c>
      <c r="T54" s="45">
        <v>10</v>
      </c>
      <c r="U54" s="45">
        <v>10</v>
      </c>
      <c r="V54" s="45">
        <v>10</v>
      </c>
      <c r="W54" s="45">
        <v>10</v>
      </c>
      <c r="X54" s="4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10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16</v>
      </c>
      <c r="C55" s="65">
        <v>16</v>
      </c>
      <c r="D55" s="65">
        <v>16</v>
      </c>
      <c r="E55" s="65">
        <v>16</v>
      </c>
      <c r="F55" s="65">
        <v>16</v>
      </c>
      <c r="G55" s="65">
        <v>16</v>
      </c>
      <c r="H55" s="65">
        <v>16</v>
      </c>
      <c r="I55" s="65">
        <v>16</v>
      </c>
      <c r="J55" s="65">
        <v>16</v>
      </c>
      <c r="K55" s="65">
        <v>16</v>
      </c>
      <c r="L55" s="65">
        <v>16</v>
      </c>
      <c r="M55" s="65">
        <v>16</v>
      </c>
      <c r="N55" s="65">
        <v>16</v>
      </c>
      <c r="O55" s="65">
        <v>16</v>
      </c>
      <c r="P55" s="65">
        <v>16</v>
      </c>
      <c r="Q55" s="65">
        <v>16</v>
      </c>
      <c r="R55" s="65">
        <v>16</v>
      </c>
      <c r="S55" s="65">
        <v>16</v>
      </c>
      <c r="T55" s="65">
        <v>16</v>
      </c>
      <c r="U55" s="65">
        <v>16</v>
      </c>
      <c r="V55" s="65">
        <v>16</v>
      </c>
      <c r="W55" s="65">
        <v>16</v>
      </c>
      <c r="X55" s="65">
        <v>16</v>
      </c>
      <c r="Y55" s="65">
        <v>16</v>
      </c>
      <c r="Z55" s="65">
        <v>16</v>
      </c>
      <c r="AA55" s="65">
        <v>16</v>
      </c>
      <c r="AB55" s="65">
        <v>16</v>
      </c>
      <c r="AC55" s="65">
        <v>16</v>
      </c>
      <c r="AD55" s="65">
        <v>16</v>
      </c>
      <c r="AE55" s="65">
        <v>16</v>
      </c>
      <c r="AF55" s="65">
        <v>16</v>
      </c>
      <c r="AG55" s="54">
        <v>24</v>
      </c>
      <c r="AH55" s="47">
        <f t="shared" si="2"/>
        <v>16</v>
      </c>
      <c r="AI55" s="48">
        <f t="shared" si="3"/>
        <v>16</v>
      </c>
      <c r="AK55" s="49"/>
    </row>
    <row r="56" spans="1:41" x14ac:dyDescent="0.25">
      <c r="A56" s="53" t="s">
        <v>64</v>
      </c>
      <c r="B56" s="65">
        <v>3.3</v>
      </c>
      <c r="C56" s="65">
        <v>3.3</v>
      </c>
      <c r="D56" s="65">
        <v>3.3</v>
      </c>
      <c r="E56" s="65">
        <v>3.3</v>
      </c>
      <c r="F56" s="65">
        <v>3.3</v>
      </c>
      <c r="G56" s="65">
        <v>3.3</v>
      </c>
      <c r="H56" s="65">
        <v>3.3</v>
      </c>
      <c r="I56" s="65">
        <v>3.3</v>
      </c>
      <c r="J56" s="65">
        <v>3.3</v>
      </c>
      <c r="K56" s="65">
        <v>3.3</v>
      </c>
      <c r="L56" s="65">
        <v>3.3</v>
      </c>
      <c r="M56" s="65">
        <v>3.3</v>
      </c>
      <c r="N56" s="65">
        <v>3.3</v>
      </c>
      <c r="O56" s="65">
        <v>3.3</v>
      </c>
      <c r="P56" s="65">
        <v>3.3</v>
      </c>
      <c r="Q56" s="65">
        <v>3.3</v>
      </c>
      <c r="R56" s="65">
        <v>3.3</v>
      </c>
      <c r="S56" s="65">
        <v>3.3</v>
      </c>
      <c r="T56" s="65">
        <v>3.3</v>
      </c>
      <c r="U56" s="65">
        <v>3.3</v>
      </c>
      <c r="V56" s="65">
        <v>3.3</v>
      </c>
      <c r="W56" s="65">
        <v>3.3</v>
      </c>
      <c r="X56" s="65">
        <v>3.3</v>
      </c>
      <c r="Y56" s="65">
        <v>3.3</v>
      </c>
      <c r="Z56" s="65">
        <v>3.3</v>
      </c>
      <c r="AA56" s="65">
        <v>3.3</v>
      </c>
      <c r="AB56" s="65">
        <v>3.3</v>
      </c>
      <c r="AC56" s="65">
        <v>3.3</v>
      </c>
      <c r="AD56" s="65">
        <v>3.3</v>
      </c>
      <c r="AE56" s="65">
        <v>3.3</v>
      </c>
      <c r="AF56" s="65">
        <v>3.3</v>
      </c>
      <c r="AG56" s="54">
        <v>15</v>
      </c>
      <c r="AH56" s="47">
        <f t="shared" si="2"/>
        <v>3.3</v>
      </c>
      <c r="AI56" s="48">
        <f t="shared" si="3"/>
        <v>3.3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11</v>
      </c>
      <c r="C57" s="65">
        <v>11</v>
      </c>
      <c r="D57" s="65">
        <v>11</v>
      </c>
      <c r="E57" s="65">
        <v>11.7</v>
      </c>
      <c r="F57" s="65">
        <v>11.6</v>
      </c>
      <c r="G57" s="65">
        <v>11.6</v>
      </c>
      <c r="H57" s="65">
        <v>11.6</v>
      </c>
      <c r="I57" s="65">
        <v>11.6</v>
      </c>
      <c r="J57" s="65">
        <v>11.6</v>
      </c>
      <c r="K57" s="65">
        <v>11.6</v>
      </c>
      <c r="L57" s="65">
        <v>11.6</v>
      </c>
      <c r="M57" s="65">
        <v>11.6</v>
      </c>
      <c r="N57" s="65">
        <v>11.6</v>
      </c>
      <c r="O57" s="65">
        <v>11.6</v>
      </c>
      <c r="P57" s="65">
        <v>11.6</v>
      </c>
      <c r="Q57" s="65">
        <v>11.6</v>
      </c>
      <c r="R57" s="65">
        <v>11.6</v>
      </c>
      <c r="S57" s="65">
        <v>11.6</v>
      </c>
      <c r="T57" s="65">
        <v>11.6</v>
      </c>
      <c r="U57" s="65">
        <v>11.6</v>
      </c>
      <c r="V57" s="65">
        <v>11.6</v>
      </c>
      <c r="W57" s="65">
        <v>11.6</v>
      </c>
      <c r="X57" s="65">
        <v>11.6</v>
      </c>
      <c r="Y57" s="65">
        <v>11.6</v>
      </c>
      <c r="Z57" s="65">
        <v>11.6</v>
      </c>
      <c r="AA57" s="65">
        <v>11.6</v>
      </c>
      <c r="AB57" s="65">
        <v>11.6</v>
      </c>
      <c r="AC57" s="65">
        <v>11.6</v>
      </c>
      <c r="AD57" s="65">
        <v>10.6</v>
      </c>
      <c r="AE57" s="65">
        <v>10.6</v>
      </c>
      <c r="AF57" s="65">
        <v>10.6</v>
      </c>
      <c r="AG57" s="54">
        <v>14.1</v>
      </c>
      <c r="AH57" s="47">
        <f t="shared" si="2"/>
        <v>11.7</v>
      </c>
      <c r="AI57" s="48">
        <f t="shared" si="3"/>
        <v>10.6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3</v>
      </c>
      <c r="C58" s="65">
        <v>3</v>
      </c>
      <c r="D58" s="65">
        <v>3</v>
      </c>
      <c r="E58" s="65">
        <v>3</v>
      </c>
      <c r="F58" s="65">
        <v>3</v>
      </c>
      <c r="G58" s="65">
        <v>3</v>
      </c>
      <c r="H58" s="65">
        <v>3</v>
      </c>
      <c r="I58" s="65">
        <v>3</v>
      </c>
      <c r="J58" s="65">
        <v>3</v>
      </c>
      <c r="K58" s="65">
        <v>3</v>
      </c>
      <c r="L58" s="65">
        <v>3</v>
      </c>
      <c r="M58" s="65">
        <v>3</v>
      </c>
      <c r="N58" s="65">
        <v>3</v>
      </c>
      <c r="O58" s="65">
        <v>3</v>
      </c>
      <c r="P58" s="65">
        <v>3</v>
      </c>
      <c r="Q58" s="65">
        <v>3</v>
      </c>
      <c r="R58" s="65">
        <v>3</v>
      </c>
      <c r="S58" s="65">
        <v>3</v>
      </c>
      <c r="T58" s="65">
        <v>3</v>
      </c>
      <c r="U58" s="65">
        <v>5</v>
      </c>
      <c r="V58" s="65">
        <v>5</v>
      </c>
      <c r="W58" s="65">
        <v>5</v>
      </c>
      <c r="X58" s="65">
        <v>5</v>
      </c>
      <c r="Y58" s="65">
        <v>5</v>
      </c>
      <c r="Z58" s="65">
        <v>5</v>
      </c>
      <c r="AA58" s="65">
        <v>5</v>
      </c>
      <c r="AB58" s="65">
        <v>5</v>
      </c>
      <c r="AC58" s="65">
        <v>5</v>
      </c>
      <c r="AD58" s="65">
        <v>5</v>
      </c>
      <c r="AE58" s="65">
        <v>5</v>
      </c>
      <c r="AF58" s="65">
        <v>5</v>
      </c>
      <c r="AG58" s="54">
        <v>14</v>
      </c>
      <c r="AH58" s="47">
        <f t="shared" si="2"/>
        <v>5</v>
      </c>
      <c r="AI58" s="48">
        <f t="shared" si="3"/>
        <v>3</v>
      </c>
      <c r="AK58" s="49"/>
    </row>
    <row r="59" spans="1:41" x14ac:dyDescent="0.25">
      <c r="A59" s="53" t="s">
        <v>67</v>
      </c>
      <c r="B59" s="65">
        <v>5.3</v>
      </c>
      <c r="C59" s="65">
        <v>5.3</v>
      </c>
      <c r="D59" s="65">
        <v>5.3</v>
      </c>
      <c r="E59" s="65">
        <v>5.3</v>
      </c>
      <c r="F59" s="65">
        <v>5.3</v>
      </c>
      <c r="G59" s="65">
        <v>5.3</v>
      </c>
      <c r="H59" s="65">
        <v>5.3</v>
      </c>
      <c r="I59" s="65">
        <v>5.3</v>
      </c>
      <c r="J59" s="65">
        <v>5.3</v>
      </c>
      <c r="K59" s="65">
        <v>5.3</v>
      </c>
      <c r="L59" s="65">
        <v>5.3</v>
      </c>
      <c r="M59" s="65">
        <v>5.3</v>
      </c>
      <c r="N59" s="65">
        <v>5.3</v>
      </c>
      <c r="O59" s="65">
        <v>5.3</v>
      </c>
      <c r="P59" s="65">
        <v>5.3</v>
      </c>
      <c r="Q59" s="65">
        <v>5.3</v>
      </c>
      <c r="R59" s="65">
        <v>5.3</v>
      </c>
      <c r="S59" s="65">
        <v>5.3</v>
      </c>
      <c r="T59" s="65">
        <v>5.3</v>
      </c>
      <c r="U59" s="65">
        <v>5.3</v>
      </c>
      <c r="V59" s="65">
        <v>5.3</v>
      </c>
      <c r="W59" s="65">
        <v>5.3</v>
      </c>
      <c r="X59" s="65">
        <v>5.3</v>
      </c>
      <c r="Y59" s="65">
        <v>5.3</v>
      </c>
      <c r="Z59" s="65">
        <v>5.3</v>
      </c>
      <c r="AA59" s="65">
        <v>5.3</v>
      </c>
      <c r="AB59" s="65">
        <v>5.3</v>
      </c>
      <c r="AC59" s="65">
        <v>5.3</v>
      </c>
      <c r="AD59" s="65">
        <v>5.3</v>
      </c>
      <c r="AE59" s="65">
        <v>5.3</v>
      </c>
      <c r="AF59" s="65">
        <v>5.3</v>
      </c>
      <c r="AG59" s="54">
        <v>10.050000000000001</v>
      </c>
      <c r="AH59" s="47">
        <f t="shared" si="2"/>
        <v>5.3</v>
      </c>
      <c r="AI59" s="48">
        <f t="shared" si="3"/>
        <v>5.3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 t="shared" ref="B62:AG62" si="8">SUM(B49:B61)</f>
        <v>122.44</v>
      </c>
      <c r="C62" s="60">
        <f t="shared" si="8"/>
        <v>103.94</v>
      </c>
      <c r="D62" s="60">
        <f t="shared" si="8"/>
        <v>109.94</v>
      </c>
      <c r="E62" s="60">
        <f t="shared" si="8"/>
        <v>116.84</v>
      </c>
      <c r="F62" s="60">
        <f t="shared" si="8"/>
        <v>100.74</v>
      </c>
      <c r="G62" s="60">
        <f t="shared" si="8"/>
        <v>128.04</v>
      </c>
      <c r="H62" s="60">
        <f t="shared" si="8"/>
        <v>173.94</v>
      </c>
      <c r="I62" s="60">
        <f t="shared" si="8"/>
        <v>222.74</v>
      </c>
      <c r="J62" s="60">
        <f t="shared" si="8"/>
        <v>261.18000000000006</v>
      </c>
      <c r="K62" s="60">
        <f t="shared" si="8"/>
        <v>305.55</v>
      </c>
      <c r="L62" s="60">
        <f t="shared" si="8"/>
        <v>309.94000000000005</v>
      </c>
      <c r="M62" s="60">
        <f t="shared" si="8"/>
        <v>292.74000000000007</v>
      </c>
      <c r="N62" s="60">
        <f t="shared" si="8"/>
        <v>252.04</v>
      </c>
      <c r="O62" s="60">
        <f t="shared" ref="O62:P62" si="9">SUM(O49:O61)</f>
        <v>218.24</v>
      </c>
      <c r="P62" s="60">
        <f t="shared" si="9"/>
        <v>223.04</v>
      </c>
      <c r="Q62" s="60">
        <f t="shared" si="8"/>
        <v>289.44000000000005</v>
      </c>
      <c r="R62" s="60">
        <f t="shared" si="8"/>
        <v>302.04000000000008</v>
      </c>
      <c r="S62" s="60">
        <f t="shared" si="8"/>
        <v>285.14000000000004</v>
      </c>
      <c r="T62" s="60">
        <f t="shared" si="8"/>
        <v>274.64000000000004</v>
      </c>
      <c r="U62" s="60">
        <f t="shared" si="8"/>
        <v>242.94</v>
      </c>
      <c r="V62" s="60">
        <f t="shared" si="8"/>
        <v>229.44</v>
      </c>
      <c r="W62" s="60">
        <f t="shared" si="8"/>
        <v>229.44</v>
      </c>
      <c r="X62" s="60">
        <f t="shared" si="8"/>
        <v>278.04000000000002</v>
      </c>
      <c r="Y62" s="60">
        <f t="shared" si="8"/>
        <v>340.34000000000003</v>
      </c>
      <c r="Z62" s="60">
        <f t="shared" si="8"/>
        <v>325.34000000000003</v>
      </c>
      <c r="AA62" s="60">
        <f t="shared" si="8"/>
        <v>315.54000000000008</v>
      </c>
      <c r="AB62" s="60">
        <f t="shared" si="8"/>
        <v>279.84000000000003</v>
      </c>
      <c r="AC62" s="60">
        <f t="shared" si="8"/>
        <v>287.54000000000002</v>
      </c>
      <c r="AD62" s="60">
        <f t="shared" si="8"/>
        <v>301.54000000000008</v>
      </c>
      <c r="AE62" s="60">
        <f t="shared" si="8"/>
        <v>268.94</v>
      </c>
      <c r="AF62" s="60">
        <f t="shared" si="8"/>
        <v>210.94</v>
      </c>
      <c r="AG62" s="61">
        <f t="shared" si="8"/>
        <v>489.91</v>
      </c>
      <c r="AH62" s="47">
        <f t="shared" si="2"/>
        <v>340.34000000000003</v>
      </c>
      <c r="AI62" s="48">
        <f t="shared" si="3"/>
        <v>100.74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14</v>
      </c>
      <c r="M63" s="45">
        <v>29</v>
      </c>
      <c r="N63" s="45">
        <v>10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14</v>
      </c>
      <c r="U63" s="45">
        <v>30.6</v>
      </c>
      <c r="V63" s="45">
        <v>30.6</v>
      </c>
      <c r="W63" s="45">
        <v>34</v>
      </c>
      <c r="X63" s="45">
        <v>34</v>
      </c>
      <c r="Y63" s="45">
        <v>50</v>
      </c>
      <c r="Z63" s="45">
        <v>51</v>
      </c>
      <c r="AA63" s="45">
        <v>49</v>
      </c>
      <c r="AB63" s="45">
        <v>10</v>
      </c>
      <c r="AC63" s="45">
        <v>10</v>
      </c>
      <c r="AD63" s="45">
        <v>10</v>
      </c>
      <c r="AE63" s="45">
        <v>0</v>
      </c>
      <c r="AF63" s="45">
        <v>0</v>
      </c>
      <c r="AG63" s="51">
        <v>60</v>
      </c>
      <c r="AH63" s="47">
        <f t="shared" si="2"/>
        <v>51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14.2</v>
      </c>
      <c r="N64" s="65">
        <v>5.8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14.7</v>
      </c>
      <c r="V64" s="65">
        <v>14.7</v>
      </c>
      <c r="W64" s="65">
        <v>12</v>
      </c>
      <c r="X64" s="65">
        <v>13</v>
      </c>
      <c r="Y64" s="65">
        <v>20</v>
      </c>
      <c r="Z64" s="65">
        <v>23</v>
      </c>
      <c r="AA64" s="65">
        <v>22</v>
      </c>
      <c r="AB64" s="65">
        <v>4.8</v>
      </c>
      <c r="AC64" s="65">
        <v>4</v>
      </c>
      <c r="AD64" s="65">
        <v>4</v>
      </c>
      <c r="AE64" s="65">
        <v>0</v>
      </c>
      <c r="AF64" s="45">
        <v>0</v>
      </c>
      <c r="AG64" s="54">
        <v>32</v>
      </c>
      <c r="AH64" s="47">
        <f t="shared" si="2"/>
        <v>23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5.2</v>
      </c>
      <c r="N65" s="67">
        <v>2.1</v>
      </c>
      <c r="O65" s="67">
        <v>0</v>
      </c>
      <c r="P65" s="67">
        <v>0</v>
      </c>
      <c r="Q65" s="67">
        <v>0</v>
      </c>
      <c r="R65" s="67">
        <v>0</v>
      </c>
      <c r="S65" s="67">
        <v>0</v>
      </c>
      <c r="T65" s="67">
        <v>0</v>
      </c>
      <c r="U65" s="67">
        <v>5.4</v>
      </c>
      <c r="V65" s="67">
        <v>5.4</v>
      </c>
      <c r="W65" s="67">
        <v>4</v>
      </c>
      <c r="X65" s="67">
        <v>4.7</v>
      </c>
      <c r="Y65" s="67">
        <v>7.3</v>
      </c>
      <c r="Z65" s="67">
        <v>8.1999999999999993</v>
      </c>
      <c r="AA65" s="67">
        <v>8.1999999999999993</v>
      </c>
      <c r="AB65" s="67">
        <v>1.7</v>
      </c>
      <c r="AC65" s="67">
        <v>1.5</v>
      </c>
      <c r="AD65" s="67">
        <v>1.5</v>
      </c>
      <c r="AE65" s="67">
        <v>0</v>
      </c>
      <c r="AF65" s="45">
        <v>0</v>
      </c>
      <c r="AG65" s="68">
        <v>14</v>
      </c>
      <c r="AH65" s="47">
        <f t="shared" si="2"/>
        <v>8.1999999999999993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14</v>
      </c>
      <c r="M66" s="60">
        <f t="shared" ref="M66:AF66" si="10">M63+M64+M65</f>
        <v>48.400000000000006</v>
      </c>
      <c r="N66" s="60">
        <f t="shared" si="10"/>
        <v>17.900000000000002</v>
      </c>
      <c r="O66" s="60">
        <f t="shared" ref="O66:P66" si="11">O63+O64+O65</f>
        <v>0</v>
      </c>
      <c r="P66" s="60">
        <f t="shared" si="11"/>
        <v>0</v>
      </c>
      <c r="Q66" s="60">
        <f t="shared" si="10"/>
        <v>0</v>
      </c>
      <c r="R66" s="60">
        <f t="shared" si="10"/>
        <v>0</v>
      </c>
      <c r="S66" s="60">
        <f t="shared" si="10"/>
        <v>0</v>
      </c>
      <c r="T66" s="60">
        <f t="shared" si="10"/>
        <v>14</v>
      </c>
      <c r="U66" s="60">
        <f t="shared" si="10"/>
        <v>50.699999999999996</v>
      </c>
      <c r="V66" s="60">
        <f t="shared" si="10"/>
        <v>50.699999999999996</v>
      </c>
      <c r="W66" s="60">
        <f t="shared" si="10"/>
        <v>50</v>
      </c>
      <c r="X66" s="60">
        <f t="shared" si="10"/>
        <v>51.7</v>
      </c>
      <c r="Y66" s="60">
        <f t="shared" si="10"/>
        <v>77.3</v>
      </c>
      <c r="Z66" s="60">
        <f t="shared" si="10"/>
        <v>82.2</v>
      </c>
      <c r="AA66" s="60">
        <f t="shared" si="10"/>
        <v>79.2</v>
      </c>
      <c r="AB66" s="60">
        <f t="shared" si="10"/>
        <v>16.5</v>
      </c>
      <c r="AC66" s="60">
        <f t="shared" si="10"/>
        <v>15.5</v>
      </c>
      <c r="AD66" s="60">
        <f t="shared" si="10"/>
        <v>15.5</v>
      </c>
      <c r="AE66" s="60">
        <f t="shared" si="10"/>
        <v>0</v>
      </c>
      <c r="AF66" s="60">
        <f t="shared" si="10"/>
        <v>0</v>
      </c>
      <c r="AG66" s="61">
        <f>SUM(AG63:AG65)</f>
        <v>106</v>
      </c>
      <c r="AH66" s="47">
        <f t="shared" si="2"/>
        <v>82.2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56</v>
      </c>
      <c r="C67" s="45">
        <v>56</v>
      </c>
      <c r="D67" s="45">
        <v>60</v>
      </c>
      <c r="E67" s="45">
        <v>63</v>
      </c>
      <c r="F67" s="45">
        <v>59</v>
      </c>
      <c r="G67" s="45">
        <v>69</v>
      </c>
      <c r="H67" s="45">
        <v>62</v>
      </c>
      <c r="I67" s="45">
        <v>68</v>
      </c>
      <c r="J67" s="45">
        <v>63.3</v>
      </c>
      <c r="K67" s="45">
        <v>66.099999999999994</v>
      </c>
      <c r="L67" s="45">
        <v>69</v>
      </c>
      <c r="M67" s="45">
        <v>71</v>
      </c>
      <c r="N67" s="45">
        <v>63</v>
      </c>
      <c r="O67" s="45">
        <v>67.900000000000006</v>
      </c>
      <c r="P67" s="45">
        <v>65.8</v>
      </c>
      <c r="Q67" s="45">
        <v>60</v>
      </c>
      <c r="R67" s="45">
        <v>70</v>
      </c>
      <c r="S67" s="45">
        <v>62.5</v>
      </c>
      <c r="T67" s="45">
        <v>60</v>
      </c>
      <c r="U67" s="45">
        <v>69</v>
      </c>
      <c r="V67" s="45">
        <v>64.599999999999994</v>
      </c>
      <c r="W67" s="45">
        <v>68.400000000000006</v>
      </c>
      <c r="X67" s="45">
        <v>67</v>
      </c>
      <c r="Y67" s="45">
        <v>70</v>
      </c>
      <c r="Z67" s="45">
        <v>49</v>
      </c>
      <c r="AA67" s="45">
        <v>31</v>
      </c>
      <c r="AB67" s="45">
        <v>48.2</v>
      </c>
      <c r="AC67" s="45">
        <v>61</v>
      </c>
      <c r="AD67" s="45">
        <v>66</v>
      </c>
      <c r="AE67" s="45">
        <v>56</v>
      </c>
      <c r="AF67" s="45">
        <v>55</v>
      </c>
      <c r="AG67" s="51"/>
      <c r="AH67" s="47">
        <f t="shared" si="2"/>
        <v>71</v>
      </c>
      <c r="AI67" s="48">
        <f t="shared" si="3"/>
        <v>31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325</v>
      </c>
      <c r="C69" s="65">
        <v>346</v>
      </c>
      <c r="D69" s="65">
        <v>327</v>
      </c>
      <c r="E69" s="65">
        <v>319</v>
      </c>
      <c r="F69" s="65">
        <v>331</v>
      </c>
      <c r="G69" s="65">
        <v>352</v>
      </c>
      <c r="H69" s="65">
        <v>326</v>
      </c>
      <c r="I69" s="65">
        <v>326</v>
      </c>
      <c r="J69" s="65">
        <v>280</v>
      </c>
      <c r="K69" s="65">
        <v>294</v>
      </c>
      <c r="L69" s="65">
        <v>276</v>
      </c>
      <c r="M69" s="65">
        <v>275</v>
      </c>
      <c r="N69" s="65">
        <v>272</v>
      </c>
      <c r="O69" s="65">
        <v>269</v>
      </c>
      <c r="P69" s="65">
        <v>290.10000000000002</v>
      </c>
      <c r="Q69" s="65">
        <v>311.7</v>
      </c>
      <c r="R69" s="65">
        <v>342.2</v>
      </c>
      <c r="S69" s="65">
        <v>335</v>
      </c>
      <c r="T69" s="65">
        <v>325</v>
      </c>
      <c r="U69" s="65">
        <v>346</v>
      </c>
      <c r="V69" s="65">
        <v>300</v>
      </c>
      <c r="W69" s="65">
        <v>292</v>
      </c>
      <c r="X69" s="65">
        <v>290</v>
      </c>
      <c r="Y69" s="65">
        <v>215</v>
      </c>
      <c r="Z69" s="65">
        <v>154</v>
      </c>
      <c r="AA69" s="65">
        <v>92</v>
      </c>
      <c r="AB69" s="65">
        <v>190</v>
      </c>
      <c r="AC69" s="65">
        <v>291</v>
      </c>
      <c r="AD69" s="65">
        <v>286</v>
      </c>
      <c r="AE69" s="65">
        <v>290</v>
      </c>
      <c r="AF69" s="65">
        <v>295</v>
      </c>
      <c r="AG69" s="75"/>
      <c r="AH69" s="47">
        <f t="shared" si="2"/>
        <v>352</v>
      </c>
      <c r="AI69" s="48">
        <f t="shared" si="3"/>
        <v>92</v>
      </c>
      <c r="AK69" s="49"/>
    </row>
    <row r="70" spans="1:40" x14ac:dyDescent="0.25">
      <c r="A70" s="53" t="s">
        <v>78</v>
      </c>
      <c r="B70" s="76">
        <v>57.7</v>
      </c>
      <c r="C70" s="76">
        <v>57</v>
      </c>
      <c r="D70" s="76">
        <v>49</v>
      </c>
      <c r="E70" s="76">
        <v>56</v>
      </c>
      <c r="F70" s="76">
        <v>48.2</v>
      </c>
      <c r="G70" s="76">
        <v>51.6</v>
      </c>
      <c r="H70" s="76">
        <v>54.3</v>
      </c>
      <c r="I70" s="76">
        <v>57.4</v>
      </c>
      <c r="J70" s="76">
        <v>56</v>
      </c>
      <c r="K70" s="76">
        <v>63.7</v>
      </c>
      <c r="L70" s="76">
        <v>60</v>
      </c>
      <c r="M70" s="76">
        <v>54</v>
      </c>
      <c r="N70" s="76">
        <v>56</v>
      </c>
      <c r="O70" s="76">
        <v>59.6</v>
      </c>
      <c r="P70" s="76">
        <v>62.2</v>
      </c>
      <c r="Q70" s="76">
        <v>64</v>
      </c>
      <c r="R70" s="76">
        <v>65.2</v>
      </c>
      <c r="S70" s="76">
        <v>57.7</v>
      </c>
      <c r="T70" s="76">
        <v>46.7</v>
      </c>
      <c r="U70" s="76">
        <v>58.2</v>
      </c>
      <c r="V70" s="76">
        <v>62.3</v>
      </c>
      <c r="W70" s="76">
        <v>58.1</v>
      </c>
      <c r="X70" s="76">
        <v>43.3</v>
      </c>
      <c r="Y70" s="65">
        <v>51</v>
      </c>
      <c r="Z70" s="65">
        <v>54</v>
      </c>
      <c r="AA70" s="65">
        <v>54</v>
      </c>
      <c r="AB70" s="65">
        <v>47</v>
      </c>
      <c r="AC70" s="65">
        <v>51</v>
      </c>
      <c r="AD70" s="65">
        <v>53</v>
      </c>
      <c r="AE70" s="65">
        <v>53</v>
      </c>
      <c r="AF70" s="65">
        <v>54</v>
      </c>
      <c r="AG70" s="75"/>
      <c r="AH70" s="47">
        <f t="shared" si="2"/>
        <v>65.2</v>
      </c>
      <c r="AI70" s="48">
        <f t="shared" si="3"/>
        <v>43.3</v>
      </c>
      <c r="AK70" s="49"/>
    </row>
    <row r="71" spans="1:40" x14ac:dyDescent="0.25">
      <c r="A71" s="53" t="s">
        <v>79</v>
      </c>
      <c r="B71" s="45">
        <v>23</v>
      </c>
      <c r="C71" s="45">
        <v>20</v>
      </c>
      <c r="D71" s="45">
        <v>21</v>
      </c>
      <c r="E71" s="45">
        <v>23</v>
      </c>
      <c r="F71" s="45">
        <v>20</v>
      </c>
      <c r="G71" s="45">
        <v>26</v>
      </c>
      <c r="H71" s="45">
        <v>28</v>
      </c>
      <c r="I71" s="45">
        <v>29</v>
      </c>
      <c r="J71" s="45">
        <v>26</v>
      </c>
      <c r="K71" s="45">
        <v>26</v>
      </c>
      <c r="L71" s="45">
        <v>28</v>
      </c>
      <c r="M71" s="45">
        <v>26</v>
      </c>
      <c r="N71" s="45">
        <v>53</v>
      </c>
      <c r="O71" s="45">
        <v>58</v>
      </c>
      <c r="P71" s="45">
        <v>28</v>
      </c>
      <c r="Q71" s="45">
        <v>33</v>
      </c>
      <c r="R71" s="45">
        <v>31</v>
      </c>
      <c r="S71" s="45">
        <v>31</v>
      </c>
      <c r="T71" s="45">
        <v>31</v>
      </c>
      <c r="U71" s="45">
        <v>31</v>
      </c>
      <c r="V71" s="45">
        <v>31</v>
      </c>
      <c r="W71" s="45">
        <v>31</v>
      </c>
      <c r="X71" s="45">
        <v>40</v>
      </c>
      <c r="Y71" s="45">
        <v>40</v>
      </c>
      <c r="Z71" s="45">
        <v>40</v>
      </c>
      <c r="AA71" s="45">
        <v>40</v>
      </c>
      <c r="AB71" s="45">
        <v>40</v>
      </c>
      <c r="AC71" s="45">
        <v>30</v>
      </c>
      <c r="AD71" s="45">
        <v>30</v>
      </c>
      <c r="AE71" s="45">
        <v>30</v>
      </c>
      <c r="AF71" s="45">
        <v>30</v>
      </c>
      <c r="AG71" s="75"/>
      <c r="AH71" s="47">
        <f t="shared" si="2"/>
        <v>58</v>
      </c>
      <c r="AI71" s="48">
        <f t="shared" si="3"/>
        <v>20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0</v>
      </c>
      <c r="U72" s="77">
        <v>0</v>
      </c>
      <c r="V72" s="77">
        <v>0</v>
      </c>
      <c r="W72" s="77">
        <v>0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0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12">MAX(B75:AF75)</f>
        <v>0</v>
      </c>
      <c r="AI75" s="48">
        <f t="shared" ref="AI75:AI113" si="13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12"/>
        <v>0</v>
      </c>
      <c r="AI76" s="48">
        <f t="shared" si="13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12"/>
        <v>0</v>
      </c>
      <c r="AI77" s="48">
        <f t="shared" si="13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F78" si="14">SUMIF(B67:B77,"&gt;0")</f>
        <v>466.7</v>
      </c>
      <c r="C78" s="60">
        <f t="shared" si="14"/>
        <v>484</v>
      </c>
      <c r="D78" s="60">
        <f t="shared" si="14"/>
        <v>462</v>
      </c>
      <c r="E78" s="60">
        <f t="shared" si="14"/>
        <v>466</v>
      </c>
      <c r="F78" s="60">
        <f t="shared" si="14"/>
        <v>463.2</v>
      </c>
      <c r="G78" s="60">
        <f t="shared" si="14"/>
        <v>503.6</v>
      </c>
      <c r="H78" s="60">
        <f t="shared" si="14"/>
        <v>475.3</v>
      </c>
      <c r="I78" s="60">
        <f t="shared" si="14"/>
        <v>485.4</v>
      </c>
      <c r="J78" s="60">
        <f t="shared" si="14"/>
        <v>430.3</v>
      </c>
      <c r="K78" s="60">
        <f t="shared" si="14"/>
        <v>454.8</v>
      </c>
      <c r="L78" s="60">
        <f t="shared" si="14"/>
        <v>438</v>
      </c>
      <c r="M78" s="60">
        <f t="shared" si="14"/>
        <v>431</v>
      </c>
      <c r="N78" s="60">
        <f t="shared" si="14"/>
        <v>449</v>
      </c>
      <c r="O78" s="60">
        <f t="shared" si="14"/>
        <v>459.5</v>
      </c>
      <c r="P78" s="60">
        <f t="shared" ref="P78" si="15">SUMIF(P67:P77,"&gt;0")</f>
        <v>451.1</v>
      </c>
      <c r="Q78" s="60">
        <f t="shared" si="14"/>
        <v>473.7</v>
      </c>
      <c r="R78" s="60">
        <f t="shared" si="14"/>
        <v>513.4</v>
      </c>
      <c r="S78" s="60">
        <f t="shared" si="14"/>
        <v>491.2</v>
      </c>
      <c r="T78" s="60">
        <f t="shared" si="14"/>
        <v>462.7</v>
      </c>
      <c r="U78" s="60">
        <f t="shared" si="14"/>
        <v>504.2</v>
      </c>
      <c r="V78" s="60">
        <f t="shared" si="14"/>
        <v>457.90000000000003</v>
      </c>
      <c r="W78" s="60">
        <f t="shared" si="14"/>
        <v>449.5</v>
      </c>
      <c r="X78" s="60">
        <f t="shared" si="14"/>
        <v>445.3</v>
      </c>
      <c r="Y78" s="60">
        <f t="shared" si="14"/>
        <v>381</v>
      </c>
      <c r="Z78" s="60">
        <f t="shared" si="14"/>
        <v>302</v>
      </c>
      <c r="AA78" s="60">
        <f t="shared" si="14"/>
        <v>222</v>
      </c>
      <c r="AB78" s="60">
        <f t="shared" si="14"/>
        <v>330.2</v>
      </c>
      <c r="AC78" s="60">
        <f t="shared" si="14"/>
        <v>438</v>
      </c>
      <c r="AD78" s="60">
        <f t="shared" si="14"/>
        <v>440</v>
      </c>
      <c r="AE78" s="60">
        <f t="shared" si="14"/>
        <v>434</v>
      </c>
      <c r="AF78" s="60">
        <f t="shared" si="14"/>
        <v>439</v>
      </c>
      <c r="AG78" s="88">
        <f>SUM(AG67:AG77)</f>
        <v>0</v>
      </c>
      <c r="AH78" s="47">
        <f t="shared" si="12"/>
        <v>513.4</v>
      </c>
      <c r="AI78" s="48">
        <f t="shared" si="13"/>
        <v>222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12"/>
        <v>0</v>
      </c>
      <c r="AI79" s="48">
        <f t="shared" si="13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12"/>
        <v>0</v>
      </c>
      <c r="AI80" s="48">
        <f t="shared" si="13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12"/>
        <v>0</v>
      </c>
      <c r="AI81" s="48">
        <f t="shared" si="13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12"/>
        <v>0</v>
      </c>
      <c r="AI82" s="48">
        <f t="shared" si="13"/>
        <v>0</v>
      </c>
    </row>
    <row r="83" spans="1:37" ht="15.75" thickBot="1" x14ac:dyDescent="0.3">
      <c r="A83" s="74" t="s">
        <v>94</v>
      </c>
      <c r="B83" s="95">
        <f>B44+B48+B66+B62+B78+B82</f>
        <v>1050.49</v>
      </c>
      <c r="C83" s="95">
        <f t="shared" ref="C83:AG83" si="16">C44+C48+C66+C62+C78+C82</f>
        <v>1009.0899999999999</v>
      </c>
      <c r="D83" s="95">
        <f t="shared" si="16"/>
        <v>993.08999999999992</v>
      </c>
      <c r="E83" s="95">
        <f t="shared" si="16"/>
        <v>1004.14</v>
      </c>
      <c r="F83" s="95">
        <f t="shared" si="16"/>
        <v>984.44</v>
      </c>
      <c r="G83" s="95">
        <f t="shared" si="16"/>
        <v>1050.44</v>
      </c>
      <c r="H83" s="95">
        <f t="shared" si="16"/>
        <v>1085.94</v>
      </c>
      <c r="I83" s="95">
        <f t="shared" si="16"/>
        <v>1170.74</v>
      </c>
      <c r="J83" s="95">
        <f t="shared" si="16"/>
        <v>1231.68</v>
      </c>
      <c r="K83" s="95">
        <f t="shared" si="16"/>
        <v>1295.55</v>
      </c>
      <c r="L83" s="95">
        <f t="shared" si="16"/>
        <v>1319.8400000000001</v>
      </c>
      <c r="M83" s="95">
        <f t="shared" si="16"/>
        <v>1361.74</v>
      </c>
      <c r="N83" s="95">
        <f t="shared" si="16"/>
        <v>1268.94</v>
      </c>
      <c r="O83" s="95">
        <f t="shared" si="16"/>
        <v>1232.1399999999999</v>
      </c>
      <c r="P83" s="95">
        <f t="shared" ref="P83" si="17">P44+P48+P66+P62+P78+P82</f>
        <v>1197.8400000000001</v>
      </c>
      <c r="Q83" s="95">
        <f t="shared" si="16"/>
        <v>1307.54</v>
      </c>
      <c r="R83" s="95">
        <f t="shared" si="16"/>
        <v>1294.44</v>
      </c>
      <c r="S83" s="95">
        <f t="shared" si="16"/>
        <v>1256.3400000000001</v>
      </c>
      <c r="T83" s="95">
        <f t="shared" si="16"/>
        <v>1266.3400000000001</v>
      </c>
      <c r="U83" s="95">
        <f t="shared" si="16"/>
        <v>1302.8400000000001</v>
      </c>
      <c r="V83" s="95">
        <f t="shared" si="16"/>
        <v>1243.0400000000002</v>
      </c>
      <c r="W83" s="95">
        <f t="shared" si="16"/>
        <v>1243.94</v>
      </c>
      <c r="X83" s="95">
        <f t="shared" si="16"/>
        <v>1310.04</v>
      </c>
      <c r="Y83" s="95">
        <f t="shared" si="16"/>
        <v>1393.24</v>
      </c>
      <c r="Z83" s="95">
        <f t="shared" si="16"/>
        <v>1349.14</v>
      </c>
      <c r="AA83" s="95">
        <f t="shared" si="16"/>
        <v>1311.3400000000001</v>
      </c>
      <c r="AB83" s="95">
        <f t="shared" si="16"/>
        <v>1191.1400000000001</v>
      </c>
      <c r="AC83" s="95">
        <f t="shared" si="16"/>
        <v>1255.6400000000001</v>
      </c>
      <c r="AD83" s="95">
        <f t="shared" si="16"/>
        <v>1281.6400000000001</v>
      </c>
      <c r="AE83" s="95">
        <f t="shared" si="16"/>
        <v>1168.04</v>
      </c>
      <c r="AF83" s="95">
        <f t="shared" si="16"/>
        <v>1065.04</v>
      </c>
      <c r="AG83" s="61">
        <f t="shared" si="16"/>
        <v>2004.1900000000003</v>
      </c>
      <c r="AH83" s="47">
        <f>MAX(B83:AF83)</f>
        <v>1393.24</v>
      </c>
      <c r="AI83" s="48">
        <f>MIN(B83:AF83)</f>
        <v>984.44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>
        <v>180</v>
      </c>
      <c r="L84" s="97">
        <v>200</v>
      </c>
      <c r="M84" s="97">
        <v>200</v>
      </c>
      <c r="N84" s="97">
        <v>200</v>
      </c>
      <c r="O84" s="97">
        <v>200</v>
      </c>
      <c r="P84" s="97">
        <v>150</v>
      </c>
      <c r="Q84" s="97"/>
      <c r="R84" s="97"/>
      <c r="S84" s="97"/>
      <c r="T84" s="97"/>
      <c r="U84" s="97"/>
      <c r="V84" s="97"/>
      <c r="W84" s="97"/>
      <c r="X84" s="97">
        <v>200</v>
      </c>
      <c r="Y84" s="97">
        <v>200</v>
      </c>
      <c r="Z84" s="97">
        <v>200</v>
      </c>
      <c r="AA84" s="97">
        <v>200</v>
      </c>
      <c r="AB84" s="97">
        <v>200</v>
      </c>
      <c r="AC84" s="97">
        <v>0</v>
      </c>
      <c r="AD84" s="97">
        <v>0</v>
      </c>
      <c r="AE84" s="97">
        <v>0</v>
      </c>
      <c r="AF84" s="97">
        <v>0</v>
      </c>
      <c r="AG84" s="88"/>
      <c r="AH84" s="47">
        <f t="shared" si="12"/>
        <v>200</v>
      </c>
      <c r="AI84" s="48">
        <f t="shared" si="13"/>
        <v>0</v>
      </c>
    </row>
    <row r="85" spans="1:37" ht="15.75" thickBot="1" x14ac:dyDescent="0.3">
      <c r="A85" s="74" t="s">
        <v>96</v>
      </c>
      <c r="B85" s="95">
        <f>B83+B84</f>
        <v>1050.49</v>
      </c>
      <c r="C85" s="95">
        <f t="shared" ref="C85:AF85" si="18">C83+C84</f>
        <v>1009.0899999999999</v>
      </c>
      <c r="D85" s="95">
        <f t="shared" si="18"/>
        <v>993.08999999999992</v>
      </c>
      <c r="E85" s="95">
        <f t="shared" si="18"/>
        <v>1004.14</v>
      </c>
      <c r="F85" s="95">
        <f t="shared" si="18"/>
        <v>984.44</v>
      </c>
      <c r="G85" s="95">
        <f t="shared" si="18"/>
        <v>1050.44</v>
      </c>
      <c r="H85" s="95">
        <f t="shared" si="18"/>
        <v>1085.94</v>
      </c>
      <c r="I85" s="95">
        <f t="shared" si="18"/>
        <v>1170.74</v>
      </c>
      <c r="J85" s="95">
        <f t="shared" si="18"/>
        <v>1231.68</v>
      </c>
      <c r="K85" s="95">
        <f t="shared" si="18"/>
        <v>1475.55</v>
      </c>
      <c r="L85" s="95">
        <f t="shared" si="18"/>
        <v>1519.8400000000001</v>
      </c>
      <c r="M85" s="95">
        <f t="shared" si="18"/>
        <v>1561.74</v>
      </c>
      <c r="N85" s="95">
        <f t="shared" si="18"/>
        <v>1468.94</v>
      </c>
      <c r="O85" s="95">
        <f t="shared" si="18"/>
        <v>1432.1399999999999</v>
      </c>
      <c r="P85" s="95">
        <f t="shared" ref="P85" si="19">P83+P84</f>
        <v>1347.8400000000001</v>
      </c>
      <c r="Q85" s="95">
        <f t="shared" si="18"/>
        <v>1307.54</v>
      </c>
      <c r="R85" s="95">
        <f t="shared" si="18"/>
        <v>1294.44</v>
      </c>
      <c r="S85" s="95">
        <f t="shared" si="18"/>
        <v>1256.3400000000001</v>
      </c>
      <c r="T85" s="95">
        <f t="shared" si="18"/>
        <v>1266.3400000000001</v>
      </c>
      <c r="U85" s="95">
        <f t="shared" si="18"/>
        <v>1302.8400000000001</v>
      </c>
      <c r="V85" s="95">
        <f t="shared" si="18"/>
        <v>1243.0400000000002</v>
      </c>
      <c r="W85" s="95">
        <f t="shared" si="18"/>
        <v>1243.94</v>
      </c>
      <c r="X85" s="95">
        <f t="shared" si="18"/>
        <v>1510.04</v>
      </c>
      <c r="Y85" s="95">
        <f t="shared" si="18"/>
        <v>1593.24</v>
      </c>
      <c r="Z85" s="95">
        <f t="shared" si="18"/>
        <v>1549.14</v>
      </c>
      <c r="AA85" s="95">
        <f t="shared" si="18"/>
        <v>1511.3400000000001</v>
      </c>
      <c r="AB85" s="95">
        <f t="shared" si="18"/>
        <v>1391.14</v>
      </c>
      <c r="AC85" s="95">
        <f t="shared" si="18"/>
        <v>1255.6400000000001</v>
      </c>
      <c r="AD85" s="95">
        <f t="shared" si="18"/>
        <v>1281.6400000000001</v>
      </c>
      <c r="AE85" s="95">
        <f t="shared" si="18"/>
        <v>1168.04</v>
      </c>
      <c r="AF85" s="95">
        <f t="shared" si="18"/>
        <v>1065.04</v>
      </c>
      <c r="AG85" s="88">
        <f>AG82+AG78+AG66+AG62+AG44+AG84</f>
        <v>1466.0900000000001</v>
      </c>
      <c r="AH85" s="47">
        <f t="shared" si="12"/>
        <v>1593.24</v>
      </c>
      <c r="AI85" s="48">
        <f t="shared" si="13"/>
        <v>984.44</v>
      </c>
    </row>
    <row r="86" spans="1:37" ht="15.75" thickBot="1" x14ac:dyDescent="0.3">
      <c r="A86" s="74" t="s">
        <v>97</v>
      </c>
      <c r="B86" s="95">
        <f t="shared" ref="B86:AF86" si="20">B85-B93</f>
        <v>1050.49</v>
      </c>
      <c r="C86" s="95">
        <f t="shared" si="20"/>
        <v>1009.0899999999999</v>
      </c>
      <c r="D86" s="95">
        <f t="shared" si="20"/>
        <v>993.08999999999992</v>
      </c>
      <c r="E86" s="95">
        <f t="shared" si="20"/>
        <v>1004.14</v>
      </c>
      <c r="F86" s="95">
        <f t="shared" si="20"/>
        <v>984.44</v>
      </c>
      <c r="G86" s="95">
        <f t="shared" si="20"/>
        <v>1050.44</v>
      </c>
      <c r="H86" s="95">
        <f t="shared" si="20"/>
        <v>1085.94</v>
      </c>
      <c r="I86" s="95">
        <f t="shared" si="20"/>
        <v>1170.74</v>
      </c>
      <c r="J86" s="95">
        <f t="shared" si="20"/>
        <v>1231.68</v>
      </c>
      <c r="K86" s="95">
        <f t="shared" si="20"/>
        <v>1475.55</v>
      </c>
      <c r="L86" s="95">
        <f t="shared" si="20"/>
        <v>1519.8400000000001</v>
      </c>
      <c r="M86" s="95">
        <f t="shared" si="20"/>
        <v>1561.74</v>
      </c>
      <c r="N86" s="95">
        <f t="shared" si="20"/>
        <v>1468.94</v>
      </c>
      <c r="O86" s="95">
        <f t="shared" si="20"/>
        <v>1432.1399999999999</v>
      </c>
      <c r="P86" s="95">
        <f t="shared" si="20"/>
        <v>1347.8400000000001</v>
      </c>
      <c r="Q86" s="95">
        <f t="shared" si="20"/>
        <v>1307.54</v>
      </c>
      <c r="R86" s="95">
        <f t="shared" si="20"/>
        <v>1294.44</v>
      </c>
      <c r="S86" s="95">
        <f t="shared" si="20"/>
        <v>1256.3400000000001</v>
      </c>
      <c r="T86" s="95">
        <f t="shared" si="20"/>
        <v>1266.3400000000001</v>
      </c>
      <c r="U86" s="95">
        <f t="shared" si="20"/>
        <v>1302.8400000000001</v>
      </c>
      <c r="V86" s="95">
        <f t="shared" si="20"/>
        <v>1243.0400000000002</v>
      </c>
      <c r="W86" s="95">
        <f t="shared" si="20"/>
        <v>1243.94</v>
      </c>
      <c r="X86" s="95">
        <f t="shared" si="20"/>
        <v>1510.04</v>
      </c>
      <c r="Y86" s="95">
        <f t="shared" si="20"/>
        <v>1593.24</v>
      </c>
      <c r="Z86" s="95">
        <f t="shared" si="20"/>
        <v>1549.14</v>
      </c>
      <c r="AA86" s="95">
        <f t="shared" si="20"/>
        <v>1511.3400000000001</v>
      </c>
      <c r="AB86" s="95">
        <f t="shared" si="20"/>
        <v>1391.14</v>
      </c>
      <c r="AC86" s="95">
        <f t="shared" si="20"/>
        <v>1255.6400000000001</v>
      </c>
      <c r="AD86" s="95">
        <f t="shared" si="20"/>
        <v>1281.6400000000001</v>
      </c>
      <c r="AE86" s="95">
        <f t="shared" si="20"/>
        <v>1168.04</v>
      </c>
      <c r="AF86" s="95">
        <f t="shared" si="20"/>
        <v>1065.04</v>
      </c>
      <c r="AG86" s="88"/>
      <c r="AH86" s="47">
        <f t="shared" si="12"/>
        <v>1593.24</v>
      </c>
      <c r="AI86" s="48">
        <f t="shared" si="13"/>
        <v>984.44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12"/>
        <v>0</v>
      </c>
      <c r="AI87" s="48">
        <f t="shared" si="13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12"/>
        <v>0</v>
      </c>
      <c r="AI88" s="48">
        <f t="shared" si="13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12"/>
        <v>0</v>
      </c>
      <c r="AI89" s="48">
        <f t="shared" si="13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12"/>
        <v>0</v>
      </c>
      <c r="AI90" s="48">
        <f t="shared" si="13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12"/>
        <v>0</v>
      </c>
      <c r="AI91" s="48">
        <f t="shared" si="13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12"/>
        <v>0</v>
      </c>
      <c r="AI92" s="48">
        <f t="shared" si="13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88"/>
      <c r="AH93" s="47">
        <f t="shared" si="12"/>
        <v>0</v>
      </c>
      <c r="AI93" s="48">
        <f t="shared" si="13"/>
        <v>0</v>
      </c>
      <c r="AK93" s="49"/>
    </row>
    <row r="94" spans="1:37" ht="15.75" thickBot="1" x14ac:dyDescent="0.3">
      <c r="A94" s="74" t="s">
        <v>102</v>
      </c>
      <c r="B94" s="60">
        <f t="shared" ref="B94:AF94" si="21">B78-B93</f>
        <v>466.7</v>
      </c>
      <c r="C94" s="60">
        <f t="shared" si="21"/>
        <v>484</v>
      </c>
      <c r="D94" s="60">
        <f t="shared" si="21"/>
        <v>462</v>
      </c>
      <c r="E94" s="60">
        <f t="shared" si="21"/>
        <v>466</v>
      </c>
      <c r="F94" s="60">
        <f t="shared" si="21"/>
        <v>463.2</v>
      </c>
      <c r="G94" s="60">
        <f t="shared" si="21"/>
        <v>503.6</v>
      </c>
      <c r="H94" s="60">
        <f t="shared" si="21"/>
        <v>475.3</v>
      </c>
      <c r="I94" s="60">
        <f t="shared" si="21"/>
        <v>485.4</v>
      </c>
      <c r="J94" s="60">
        <f t="shared" si="21"/>
        <v>430.3</v>
      </c>
      <c r="K94" s="60">
        <f t="shared" si="21"/>
        <v>454.8</v>
      </c>
      <c r="L94" s="60">
        <f t="shared" si="21"/>
        <v>438</v>
      </c>
      <c r="M94" s="60">
        <f t="shared" si="21"/>
        <v>431</v>
      </c>
      <c r="N94" s="60">
        <f t="shared" si="21"/>
        <v>449</v>
      </c>
      <c r="O94" s="60">
        <f t="shared" si="21"/>
        <v>459.5</v>
      </c>
      <c r="P94" s="60">
        <f t="shared" si="21"/>
        <v>451.1</v>
      </c>
      <c r="Q94" s="60">
        <f t="shared" si="21"/>
        <v>473.7</v>
      </c>
      <c r="R94" s="60">
        <f t="shared" si="21"/>
        <v>513.4</v>
      </c>
      <c r="S94" s="60">
        <f t="shared" si="21"/>
        <v>491.2</v>
      </c>
      <c r="T94" s="60">
        <f t="shared" si="21"/>
        <v>462.7</v>
      </c>
      <c r="U94" s="60">
        <f t="shared" si="21"/>
        <v>504.2</v>
      </c>
      <c r="V94" s="60">
        <f t="shared" si="21"/>
        <v>457.90000000000003</v>
      </c>
      <c r="W94" s="60">
        <f t="shared" si="21"/>
        <v>449.5</v>
      </c>
      <c r="X94" s="60">
        <f t="shared" si="21"/>
        <v>445.3</v>
      </c>
      <c r="Y94" s="60">
        <f t="shared" si="21"/>
        <v>381</v>
      </c>
      <c r="Z94" s="60">
        <f t="shared" si="21"/>
        <v>302</v>
      </c>
      <c r="AA94" s="60">
        <f t="shared" si="21"/>
        <v>222</v>
      </c>
      <c r="AB94" s="60">
        <f t="shared" si="21"/>
        <v>330.2</v>
      </c>
      <c r="AC94" s="60">
        <f t="shared" si="21"/>
        <v>438</v>
      </c>
      <c r="AD94" s="60">
        <f t="shared" si="21"/>
        <v>440</v>
      </c>
      <c r="AE94" s="60">
        <f t="shared" si="21"/>
        <v>434</v>
      </c>
      <c r="AF94" s="60">
        <f t="shared" si="21"/>
        <v>439</v>
      </c>
      <c r="AG94" s="88"/>
      <c r="AH94" s="47">
        <f t="shared" si="12"/>
        <v>513.4</v>
      </c>
      <c r="AI94" s="48">
        <f t="shared" si="13"/>
        <v>222</v>
      </c>
    </row>
    <row r="95" spans="1:37" x14ac:dyDescent="0.25">
      <c r="A95" s="100" t="s">
        <v>103</v>
      </c>
      <c r="B95" s="101">
        <v>49.987000000000002</v>
      </c>
      <c r="C95" s="101">
        <v>49.732999999999997</v>
      </c>
      <c r="D95" s="101">
        <v>49.962000000000003</v>
      </c>
      <c r="E95" s="101">
        <v>50.027999999999999</v>
      </c>
      <c r="F95" s="101">
        <v>50.024000000000001</v>
      </c>
      <c r="G95" s="101">
        <v>49.978999999999999</v>
      </c>
      <c r="H95" s="101">
        <v>50.048999999999999</v>
      </c>
      <c r="I95" s="101">
        <v>50.033999999999999</v>
      </c>
      <c r="J95" s="101">
        <v>49.829000000000001</v>
      </c>
      <c r="K95" s="101">
        <v>50.064999999999998</v>
      </c>
      <c r="L95" s="101">
        <v>49.881</v>
      </c>
      <c r="M95" s="101">
        <v>49.994999999999997</v>
      </c>
      <c r="N95" s="101">
        <v>50.07</v>
      </c>
      <c r="O95" s="101">
        <v>49.906999999999996</v>
      </c>
      <c r="P95" s="101">
        <v>49.917000000000002</v>
      </c>
      <c r="Q95" s="101">
        <v>50.031999999999996</v>
      </c>
      <c r="R95" s="101">
        <v>50</v>
      </c>
      <c r="S95" s="101">
        <v>50.057000000000002</v>
      </c>
      <c r="T95" s="101">
        <v>49.966000000000001</v>
      </c>
      <c r="U95" s="101">
        <v>50.027000000000001</v>
      </c>
      <c r="V95" s="101">
        <v>50.06</v>
      </c>
      <c r="W95" s="101">
        <v>50.088000000000001</v>
      </c>
      <c r="X95" s="101">
        <v>50.104999999999997</v>
      </c>
      <c r="Y95" s="101">
        <v>50.088999999999999</v>
      </c>
      <c r="Z95" s="101">
        <v>49.99</v>
      </c>
      <c r="AA95" s="101">
        <v>49.951000000000001</v>
      </c>
      <c r="AB95" s="101">
        <v>50.06</v>
      </c>
      <c r="AC95" s="101">
        <v>49.97</v>
      </c>
      <c r="AD95" s="101">
        <v>50.03</v>
      </c>
      <c r="AE95" s="101">
        <v>50.1</v>
      </c>
      <c r="AF95" s="101">
        <v>49.94</v>
      </c>
      <c r="AG95" s="102"/>
      <c r="AH95" s="47">
        <f t="shared" si="12"/>
        <v>50.104999999999997</v>
      </c>
      <c r="AI95" s="48">
        <f t="shared" si="13"/>
        <v>49.732999999999997</v>
      </c>
    </row>
    <row r="96" spans="1:37" x14ac:dyDescent="0.25">
      <c r="A96" s="103" t="s">
        <v>104</v>
      </c>
      <c r="B96" s="65">
        <v>126.8</v>
      </c>
      <c r="C96" s="65">
        <v>127.8</v>
      </c>
      <c r="D96" s="65">
        <v>128.1</v>
      </c>
      <c r="E96" s="65">
        <v>129</v>
      </c>
      <c r="F96" s="65">
        <v>129</v>
      </c>
      <c r="G96" s="65">
        <v>129.19999999999999</v>
      </c>
      <c r="H96" s="65">
        <v>127.9</v>
      </c>
      <c r="I96" s="65">
        <v>126.8</v>
      </c>
      <c r="J96" s="65">
        <v>126.4</v>
      </c>
      <c r="K96" s="65">
        <v>128.30000000000001</v>
      </c>
      <c r="L96" s="65">
        <v>126.9</v>
      </c>
      <c r="M96" s="65">
        <v>128.19999999999999</v>
      </c>
      <c r="N96" s="65">
        <v>127.7</v>
      </c>
      <c r="O96" s="65">
        <v>127.1</v>
      </c>
      <c r="P96" s="65">
        <v>125.4</v>
      </c>
      <c r="Q96" s="65">
        <v>125.4</v>
      </c>
      <c r="R96" s="65">
        <v>123.8</v>
      </c>
      <c r="S96" s="65">
        <v>124.4</v>
      </c>
      <c r="T96" s="65">
        <v>124.7</v>
      </c>
      <c r="U96" s="65">
        <v>124.4</v>
      </c>
      <c r="V96" s="65">
        <v>128.30000000000001</v>
      </c>
      <c r="W96" s="65">
        <v>130</v>
      </c>
      <c r="X96" s="65">
        <v>129.5</v>
      </c>
      <c r="Y96" s="65">
        <v>130</v>
      </c>
      <c r="Z96" s="65">
        <v>130.6</v>
      </c>
      <c r="AA96" s="65">
        <v>131.19999999999999</v>
      </c>
      <c r="AB96" s="65">
        <v>130.19999999999999</v>
      </c>
      <c r="AC96" s="65">
        <v>130.19999999999999</v>
      </c>
      <c r="AD96" s="65">
        <v>127</v>
      </c>
      <c r="AE96" s="65">
        <v>129</v>
      </c>
      <c r="AF96" s="65">
        <v>1296</v>
      </c>
      <c r="AG96" s="104"/>
      <c r="AH96" s="47">
        <f t="shared" si="12"/>
        <v>1296</v>
      </c>
      <c r="AI96" s="48">
        <f t="shared" si="13"/>
        <v>123.8</v>
      </c>
    </row>
    <row r="97" spans="1:35" x14ac:dyDescent="0.25">
      <c r="A97" s="103" t="s">
        <v>105</v>
      </c>
      <c r="B97" s="65">
        <v>131.19999999999999</v>
      </c>
      <c r="C97" s="65">
        <v>128.69999999999999</v>
      </c>
      <c r="D97" s="65">
        <v>132.30000000000001</v>
      </c>
      <c r="E97" s="65">
        <v>132.9</v>
      </c>
      <c r="F97" s="65">
        <v>132.69999999999999</v>
      </c>
      <c r="G97" s="65">
        <v>132.5</v>
      </c>
      <c r="H97" s="65">
        <v>131.4</v>
      </c>
      <c r="I97" s="65">
        <v>129.9</v>
      </c>
      <c r="J97" s="65">
        <v>129.19999999999999</v>
      </c>
      <c r="K97" s="65">
        <v>130.1</v>
      </c>
      <c r="L97" s="65">
        <v>128.6</v>
      </c>
      <c r="M97" s="65">
        <v>130.69999999999999</v>
      </c>
      <c r="N97" s="65">
        <v>129.30000000000001</v>
      </c>
      <c r="O97" s="65">
        <v>129.19999999999999</v>
      </c>
      <c r="P97" s="65">
        <v>127.5</v>
      </c>
      <c r="Q97" s="65">
        <v>127.8</v>
      </c>
      <c r="R97" s="65">
        <v>126.9</v>
      </c>
      <c r="S97" s="65">
        <v>127.5</v>
      </c>
      <c r="T97" s="65">
        <v>128.30000000000001</v>
      </c>
      <c r="U97" s="65">
        <v>127.8</v>
      </c>
      <c r="V97" s="65">
        <v>130</v>
      </c>
      <c r="W97" s="65">
        <v>131</v>
      </c>
      <c r="X97" s="65">
        <v>130.5</v>
      </c>
      <c r="Y97" s="65">
        <v>131.1</v>
      </c>
      <c r="Z97" s="65">
        <v>131.4</v>
      </c>
      <c r="AA97" s="65">
        <v>132</v>
      </c>
      <c r="AB97" s="65">
        <v>131.5</v>
      </c>
      <c r="AC97" s="65">
        <v>131.5</v>
      </c>
      <c r="AD97" s="65">
        <v>130</v>
      </c>
      <c r="AE97" s="65">
        <v>131.9</v>
      </c>
      <c r="AF97" s="65">
        <v>132</v>
      </c>
      <c r="AG97" s="104"/>
      <c r="AH97" s="47">
        <f t="shared" si="12"/>
        <v>132.9</v>
      </c>
      <c r="AI97" s="48">
        <f t="shared" si="13"/>
        <v>126.9</v>
      </c>
    </row>
    <row r="98" spans="1:35" x14ac:dyDescent="0.25">
      <c r="A98" s="103" t="s">
        <v>106</v>
      </c>
      <c r="B98" s="65">
        <v>130.9</v>
      </c>
      <c r="C98" s="65">
        <v>131.9</v>
      </c>
      <c r="D98" s="65">
        <v>129.5</v>
      </c>
      <c r="E98" s="65">
        <v>130.19999999999999</v>
      </c>
      <c r="F98" s="65">
        <v>129.80000000000001</v>
      </c>
      <c r="G98" s="65">
        <v>129.4</v>
      </c>
      <c r="H98" s="65">
        <v>128.80000000000001</v>
      </c>
      <c r="I98" s="65">
        <v>127.1</v>
      </c>
      <c r="J98" s="65">
        <v>129.80000000000001</v>
      </c>
      <c r="K98" s="65">
        <v>127.8</v>
      </c>
      <c r="L98" s="65">
        <v>127</v>
      </c>
      <c r="M98" s="65">
        <v>128.30000000000001</v>
      </c>
      <c r="N98" s="65">
        <v>128.69999999999999</v>
      </c>
      <c r="O98" s="65">
        <v>129.19999999999999</v>
      </c>
      <c r="P98" s="65">
        <v>127.7</v>
      </c>
      <c r="Q98" s="65">
        <v>130.9</v>
      </c>
      <c r="R98" s="65">
        <v>129.69999999999999</v>
      </c>
      <c r="S98" s="65">
        <v>128.4</v>
      </c>
      <c r="T98" s="65">
        <v>129.4</v>
      </c>
      <c r="U98" s="65">
        <v>128.4</v>
      </c>
      <c r="V98" s="65">
        <v>130.9</v>
      </c>
      <c r="W98" s="65">
        <v>130</v>
      </c>
      <c r="X98" s="65">
        <v>128.69999999999999</v>
      </c>
      <c r="Y98" s="65">
        <v>128.69999999999999</v>
      </c>
      <c r="Z98" s="65">
        <v>131.30000000000001</v>
      </c>
      <c r="AA98" s="65">
        <v>131</v>
      </c>
      <c r="AB98" s="65">
        <v>131.9</v>
      </c>
      <c r="AC98" s="65">
        <v>131.9</v>
      </c>
      <c r="AD98" s="65">
        <v>129</v>
      </c>
      <c r="AE98" s="65">
        <v>130.6</v>
      </c>
      <c r="AF98" s="65">
        <v>132</v>
      </c>
      <c r="AG98" s="104"/>
      <c r="AH98" s="47">
        <f t="shared" si="12"/>
        <v>132</v>
      </c>
      <c r="AI98" s="48">
        <f t="shared" si="13"/>
        <v>127</v>
      </c>
    </row>
    <row r="99" spans="1:35" x14ac:dyDescent="0.25">
      <c r="A99" s="105" t="s">
        <v>107</v>
      </c>
      <c r="B99" s="65">
        <v>134.1</v>
      </c>
      <c r="C99" s="65">
        <v>132.80000000000001</v>
      </c>
      <c r="D99" s="65">
        <v>132.4</v>
      </c>
      <c r="E99" s="65">
        <v>133.1</v>
      </c>
      <c r="F99" s="65">
        <v>132.4</v>
      </c>
      <c r="G99" s="65">
        <v>133.19999999999999</v>
      </c>
      <c r="H99" s="65">
        <v>131.6</v>
      </c>
      <c r="I99" s="65">
        <v>129.9</v>
      </c>
      <c r="J99" s="65">
        <v>130.6</v>
      </c>
      <c r="K99" s="65">
        <v>130.6</v>
      </c>
      <c r="L99" s="65">
        <v>130.6</v>
      </c>
      <c r="M99" s="65">
        <v>131.9</v>
      </c>
      <c r="N99" s="65">
        <v>129.9</v>
      </c>
      <c r="O99" s="65">
        <v>132.30000000000001</v>
      </c>
      <c r="P99" s="65">
        <v>131</v>
      </c>
      <c r="Q99" s="65">
        <v>131.69999999999999</v>
      </c>
      <c r="R99" s="65">
        <v>131.4</v>
      </c>
      <c r="S99" s="65">
        <v>130.9</v>
      </c>
      <c r="T99" s="65">
        <v>130.5</v>
      </c>
      <c r="U99" s="65">
        <v>131.4</v>
      </c>
      <c r="V99" s="65">
        <v>132.1</v>
      </c>
      <c r="W99" s="65">
        <v>131</v>
      </c>
      <c r="X99" s="65">
        <v>131.30000000000001</v>
      </c>
      <c r="Y99" s="65">
        <v>131.80000000000001</v>
      </c>
      <c r="Z99" s="65">
        <v>132.9</v>
      </c>
      <c r="AA99" s="65">
        <v>133.30000000000001</v>
      </c>
      <c r="AB99" s="65">
        <v>133.30000000000001</v>
      </c>
      <c r="AC99" s="65">
        <v>133.30000000000001</v>
      </c>
      <c r="AD99" s="65">
        <v>131</v>
      </c>
      <c r="AE99" s="65">
        <v>133</v>
      </c>
      <c r="AF99" s="65">
        <v>135</v>
      </c>
      <c r="AG99" s="104"/>
      <c r="AH99" s="47">
        <f t="shared" si="12"/>
        <v>135</v>
      </c>
      <c r="AI99" s="48">
        <f t="shared" si="13"/>
        <v>129.9</v>
      </c>
    </row>
    <row r="100" spans="1:35" x14ac:dyDescent="0.25">
      <c r="A100" s="105" t="s">
        <v>108</v>
      </c>
      <c r="B100" s="106">
        <v>131.6</v>
      </c>
      <c r="C100" s="106">
        <v>129.80000000000001</v>
      </c>
      <c r="D100" s="106">
        <v>133.1</v>
      </c>
      <c r="E100" s="106">
        <v>136.4</v>
      </c>
      <c r="F100" s="106">
        <v>136.19999999999999</v>
      </c>
      <c r="G100" s="106">
        <v>134.6</v>
      </c>
      <c r="H100" s="106">
        <v>135.1</v>
      </c>
      <c r="I100" s="106">
        <v>133.80000000000001</v>
      </c>
      <c r="J100" s="106">
        <v>132.5</v>
      </c>
      <c r="K100" s="106">
        <v>132.30000000000001</v>
      </c>
      <c r="L100" s="106">
        <v>132.80000000000001</v>
      </c>
      <c r="M100" s="106">
        <v>133.80000000000001</v>
      </c>
      <c r="N100" s="106">
        <v>132</v>
      </c>
      <c r="O100" s="106">
        <v>134.19999999999999</v>
      </c>
      <c r="P100" s="106">
        <v>134.30000000000001</v>
      </c>
      <c r="Q100" s="106">
        <v>134</v>
      </c>
      <c r="R100" s="106">
        <v>132.4</v>
      </c>
      <c r="S100" s="106">
        <v>133.6</v>
      </c>
      <c r="T100" s="106">
        <v>130.30000000000001</v>
      </c>
      <c r="U100" s="106">
        <v>131.19999999999999</v>
      </c>
      <c r="V100" s="106">
        <v>133.1</v>
      </c>
      <c r="W100" s="106">
        <v>135.6</v>
      </c>
      <c r="X100" s="106">
        <v>132.5</v>
      </c>
      <c r="Y100" s="106">
        <v>135.19999999999999</v>
      </c>
      <c r="Z100" s="106">
        <v>135.5</v>
      </c>
      <c r="AA100" s="106">
        <v>137</v>
      </c>
      <c r="AB100" s="106">
        <v>135.30000000000001</v>
      </c>
      <c r="AC100" s="106">
        <v>135.30000000000001</v>
      </c>
      <c r="AD100" s="106">
        <v>134</v>
      </c>
      <c r="AE100" s="106">
        <v>133</v>
      </c>
      <c r="AF100" s="106">
        <v>134</v>
      </c>
      <c r="AG100" s="107"/>
      <c r="AH100" s="47">
        <f t="shared" si="12"/>
        <v>137</v>
      </c>
      <c r="AI100" s="48">
        <f t="shared" si="13"/>
        <v>129.80000000000001</v>
      </c>
    </row>
    <row r="101" spans="1:35" x14ac:dyDescent="0.25">
      <c r="A101" s="103" t="s">
        <v>109</v>
      </c>
      <c r="B101" s="65">
        <v>132.4</v>
      </c>
      <c r="C101" s="65">
        <v>129.6</v>
      </c>
      <c r="D101" s="65">
        <v>132.19999999999999</v>
      </c>
      <c r="E101" s="65">
        <v>133.6</v>
      </c>
      <c r="F101" s="65">
        <v>128.9</v>
      </c>
      <c r="G101" s="65">
        <v>129.19999999999999</v>
      </c>
      <c r="H101" s="65">
        <v>127.9</v>
      </c>
      <c r="I101" s="65">
        <v>127.1</v>
      </c>
      <c r="J101" s="65">
        <v>130.19999999999999</v>
      </c>
      <c r="K101" s="65">
        <v>129.9</v>
      </c>
      <c r="L101" s="65">
        <v>125.1</v>
      </c>
      <c r="M101" s="65">
        <v>132.19999999999999</v>
      </c>
      <c r="N101" s="65">
        <v>130</v>
      </c>
      <c r="O101" s="65">
        <v>121.4</v>
      </c>
      <c r="P101" s="65">
        <v>129.80000000000001</v>
      </c>
      <c r="Q101" s="65">
        <v>124.7</v>
      </c>
      <c r="R101" s="65">
        <v>129.5</v>
      </c>
      <c r="S101" s="65">
        <v>128.30000000000001</v>
      </c>
      <c r="T101" s="65">
        <v>122.5</v>
      </c>
      <c r="U101" s="65"/>
      <c r="V101" s="65">
        <v>130</v>
      </c>
      <c r="W101" s="65">
        <v>132.30000000000001</v>
      </c>
      <c r="X101" s="65">
        <v>132.80000000000001</v>
      </c>
      <c r="Y101" s="65">
        <v>133.4</v>
      </c>
      <c r="Z101" s="65">
        <v>135</v>
      </c>
      <c r="AA101" s="65">
        <v>137</v>
      </c>
      <c r="AB101" s="65">
        <v>135</v>
      </c>
      <c r="AC101" s="65">
        <v>135</v>
      </c>
      <c r="AD101" s="65">
        <v>133</v>
      </c>
      <c r="AE101" s="65">
        <v>133.80000000000001</v>
      </c>
      <c r="AF101" s="65">
        <v>134</v>
      </c>
      <c r="AG101" s="104"/>
      <c r="AH101" s="47">
        <f t="shared" si="12"/>
        <v>137</v>
      </c>
      <c r="AI101" s="48">
        <f t="shared" si="13"/>
        <v>121.4</v>
      </c>
    </row>
    <row r="102" spans="1:35" ht="15.75" thickBot="1" x14ac:dyDescent="0.3">
      <c r="A102" s="103" t="s">
        <v>110</v>
      </c>
      <c r="B102" s="92">
        <v>66.099999999999994</v>
      </c>
      <c r="C102" s="92">
        <v>66.099999999999994</v>
      </c>
      <c r="D102" s="92">
        <v>66.3</v>
      </c>
      <c r="E102" s="92">
        <v>67</v>
      </c>
      <c r="F102" s="92">
        <v>66.8</v>
      </c>
      <c r="G102" s="92">
        <v>66.599999999999994</v>
      </c>
      <c r="H102" s="92">
        <v>66.099999999999994</v>
      </c>
      <c r="I102" s="92">
        <v>65.3</v>
      </c>
      <c r="J102" s="92">
        <v>65</v>
      </c>
      <c r="K102" s="92">
        <v>64.900000000000006</v>
      </c>
      <c r="L102" s="92">
        <v>64.3</v>
      </c>
      <c r="M102" s="92">
        <v>64.900000000000006</v>
      </c>
      <c r="N102" s="92">
        <v>64.8</v>
      </c>
      <c r="O102" s="92">
        <v>64.8</v>
      </c>
      <c r="P102" s="92">
        <v>63.7</v>
      </c>
      <c r="Q102" s="92">
        <v>63.8</v>
      </c>
      <c r="R102" s="92">
        <v>63.1</v>
      </c>
      <c r="S102" s="92">
        <v>63.8</v>
      </c>
      <c r="T102" s="92">
        <v>64.599999999999994</v>
      </c>
      <c r="U102" s="92">
        <v>64.5</v>
      </c>
      <c r="V102" s="92">
        <v>65.3</v>
      </c>
      <c r="W102" s="92">
        <v>65.900000000000006</v>
      </c>
      <c r="X102" s="92">
        <v>65.599999999999994</v>
      </c>
      <c r="Y102" s="92">
        <v>65.7</v>
      </c>
      <c r="Z102" s="92">
        <v>65.8</v>
      </c>
      <c r="AA102" s="92">
        <v>66.099999999999994</v>
      </c>
      <c r="AB102" s="92">
        <v>66.099999999999994</v>
      </c>
      <c r="AC102" s="92">
        <v>66.099999999999994</v>
      </c>
      <c r="AD102" s="92">
        <v>65.400000000000006</v>
      </c>
      <c r="AE102" s="92">
        <v>66.3</v>
      </c>
      <c r="AF102" s="92">
        <v>66.5</v>
      </c>
      <c r="AG102" s="108"/>
      <c r="AH102" s="47">
        <f t="shared" si="12"/>
        <v>67</v>
      </c>
      <c r="AI102" s="48">
        <f t="shared" si="13"/>
        <v>63.1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12"/>
        <v>0</v>
      </c>
      <c r="AI103" s="48">
        <f t="shared" si="13"/>
        <v>0</v>
      </c>
    </row>
    <row r="104" spans="1:35" ht="15.75" thickBot="1" x14ac:dyDescent="0.3">
      <c r="A104" s="110" t="s">
        <v>112</v>
      </c>
      <c r="B104" s="111">
        <f t="shared" ref="B104:AF104" si="22">SUM(B16,B22,B25:B26,B52,B54:B55,B57,B59,B105:B109,B131,B137,B143,B152,B154,B166,B173,B176:B177,B184,B186,B188,B192:B194,B196:B198,B203,B209:B210,B212:B214,B222,B227)</f>
        <v>140.9</v>
      </c>
      <c r="C104" s="111">
        <f t="shared" si="22"/>
        <v>132.84</v>
      </c>
      <c r="D104" s="111">
        <f t="shared" si="22"/>
        <v>129.04000000000002</v>
      </c>
      <c r="E104" s="111">
        <f t="shared" si="22"/>
        <v>128.34</v>
      </c>
      <c r="F104" s="111">
        <f t="shared" si="22"/>
        <v>130.24</v>
      </c>
      <c r="G104" s="111">
        <f t="shared" si="22"/>
        <v>171.24</v>
      </c>
      <c r="H104" s="111">
        <f t="shared" si="22"/>
        <v>197.83999999999997</v>
      </c>
      <c r="I104" s="111">
        <f t="shared" si="22"/>
        <v>240.03999999999996</v>
      </c>
      <c r="J104" s="111">
        <f t="shared" si="22"/>
        <v>269.44</v>
      </c>
      <c r="K104" s="111">
        <f t="shared" si="22"/>
        <v>333.34</v>
      </c>
      <c r="L104" s="111">
        <f t="shared" si="22"/>
        <v>382.82</v>
      </c>
      <c r="M104" s="111">
        <f t="shared" si="22"/>
        <v>376.53999999999996</v>
      </c>
      <c r="N104" s="111">
        <f t="shared" si="22"/>
        <v>353.24</v>
      </c>
      <c r="O104" s="111">
        <f t="shared" si="22"/>
        <v>342.94</v>
      </c>
      <c r="P104" s="111">
        <v>42</v>
      </c>
      <c r="Q104" s="111">
        <f t="shared" si="22"/>
        <v>305.09999999999997</v>
      </c>
      <c r="R104" s="111">
        <f t="shared" si="22"/>
        <v>285.89999999999998</v>
      </c>
      <c r="S104" s="111">
        <f t="shared" si="22"/>
        <v>276.39999999999998</v>
      </c>
      <c r="T104" s="111">
        <f t="shared" si="22"/>
        <v>279.10000000000002</v>
      </c>
      <c r="U104" s="111">
        <f t="shared" si="22"/>
        <v>291.7</v>
      </c>
      <c r="V104" s="111">
        <f t="shared" si="22"/>
        <v>304.59999999999997</v>
      </c>
      <c r="W104" s="111">
        <f t="shared" si="22"/>
        <v>331.8</v>
      </c>
      <c r="X104" s="111">
        <f t="shared" si="22"/>
        <v>372.6</v>
      </c>
      <c r="Y104" s="111">
        <f t="shared" si="22"/>
        <v>410.29999999999995</v>
      </c>
      <c r="Z104" s="111">
        <f t="shared" si="22"/>
        <v>384.40000000000003</v>
      </c>
      <c r="AA104" s="111">
        <f t="shared" si="22"/>
        <v>382.20000000000005</v>
      </c>
      <c r="AB104" s="111">
        <f t="shared" si="22"/>
        <v>280.20000000000005</v>
      </c>
      <c r="AC104" s="111">
        <f t="shared" si="22"/>
        <v>332.8</v>
      </c>
      <c r="AD104" s="111">
        <f t="shared" si="22"/>
        <v>310.8</v>
      </c>
      <c r="AE104" s="111">
        <f t="shared" si="22"/>
        <v>225.8</v>
      </c>
      <c r="AF104" s="111">
        <f t="shared" si="22"/>
        <v>180.8</v>
      </c>
      <c r="AG104" s="112"/>
      <c r="AH104" s="47">
        <f t="shared" si="12"/>
        <v>410.29999999999995</v>
      </c>
      <c r="AI104" s="48">
        <f t="shared" si="13"/>
        <v>42</v>
      </c>
    </row>
    <row r="105" spans="1:35" x14ac:dyDescent="0.25">
      <c r="A105" s="100" t="s">
        <v>113</v>
      </c>
      <c r="B105" s="113">
        <v>-7.4</v>
      </c>
      <c r="C105" s="113">
        <v>-9.8000000000000007</v>
      </c>
      <c r="D105" s="113">
        <v>-8.3000000000000007</v>
      </c>
      <c r="E105" s="113">
        <v>-3.5</v>
      </c>
      <c r="F105" s="113">
        <v>-8.1</v>
      </c>
      <c r="G105" s="113">
        <v>3.9</v>
      </c>
      <c r="H105" s="113">
        <v>4.8</v>
      </c>
      <c r="I105" s="113">
        <v>14.8</v>
      </c>
      <c r="J105" s="113">
        <v>23.3</v>
      </c>
      <c r="K105" s="113">
        <v>32.299999999999997</v>
      </c>
      <c r="L105" s="113">
        <v>29.9</v>
      </c>
      <c r="M105" s="113">
        <v>25.5</v>
      </c>
      <c r="N105" s="113">
        <v>23.3</v>
      </c>
      <c r="O105" s="113">
        <v>17.5</v>
      </c>
      <c r="P105" s="113">
        <v>15.9</v>
      </c>
      <c r="Q105" s="113">
        <v>27.3</v>
      </c>
      <c r="R105" s="113">
        <v>28</v>
      </c>
      <c r="S105" s="113">
        <v>25.5</v>
      </c>
      <c r="T105" s="113">
        <v>21.3</v>
      </c>
      <c r="U105" s="113">
        <v>17.600000000000001</v>
      </c>
      <c r="V105" s="113">
        <v>14</v>
      </c>
      <c r="W105" s="113">
        <v>19.100000000000001</v>
      </c>
      <c r="X105" s="113">
        <v>30.1</v>
      </c>
      <c r="Y105" s="113">
        <v>38.4</v>
      </c>
      <c r="Z105" s="113">
        <v>29.5</v>
      </c>
      <c r="AA105" s="113">
        <v>27</v>
      </c>
      <c r="AB105" s="113">
        <v>27.5</v>
      </c>
      <c r="AC105" s="113">
        <v>37</v>
      </c>
      <c r="AD105" s="113">
        <v>37</v>
      </c>
      <c r="AE105" s="113">
        <v>32</v>
      </c>
      <c r="AF105" s="113">
        <v>18</v>
      </c>
      <c r="AG105" s="114">
        <v>75</v>
      </c>
      <c r="AH105" s="47">
        <f t="shared" si="12"/>
        <v>38.4</v>
      </c>
      <c r="AI105" s="48">
        <f t="shared" si="13"/>
        <v>-9.8000000000000007</v>
      </c>
    </row>
    <row r="106" spans="1:35" x14ac:dyDescent="0.25">
      <c r="A106" s="103" t="s">
        <v>114</v>
      </c>
      <c r="B106" s="115">
        <v>-6.6</v>
      </c>
      <c r="C106" s="115">
        <v>-8.4</v>
      </c>
      <c r="D106" s="115">
        <v>-5.2</v>
      </c>
      <c r="E106" s="115">
        <v>1.3</v>
      </c>
      <c r="F106" s="115">
        <v>-7.3</v>
      </c>
      <c r="G106" s="115">
        <v>11.7</v>
      </c>
      <c r="H106" s="115">
        <v>11.5</v>
      </c>
      <c r="I106" s="115">
        <v>23.9</v>
      </c>
      <c r="J106" s="115">
        <v>34.5</v>
      </c>
      <c r="K106" s="115">
        <v>42.5</v>
      </c>
      <c r="L106" s="115">
        <v>37.979999999999997</v>
      </c>
      <c r="M106" s="115">
        <v>30</v>
      </c>
      <c r="N106" s="115">
        <v>28.6</v>
      </c>
      <c r="O106" s="115">
        <v>18.899999999999999</v>
      </c>
      <c r="P106" s="115">
        <v>23.4</v>
      </c>
      <c r="Q106" s="115">
        <v>44.2</v>
      </c>
      <c r="R106" s="115">
        <v>46.3</v>
      </c>
      <c r="S106" s="115">
        <v>41.8</v>
      </c>
      <c r="T106" s="115">
        <v>33</v>
      </c>
      <c r="U106" s="115">
        <v>27.6</v>
      </c>
      <c r="V106" s="115">
        <v>20.2</v>
      </c>
      <c r="W106" s="115">
        <v>22.1</v>
      </c>
      <c r="X106" s="115">
        <v>38.1</v>
      </c>
      <c r="Y106" s="115">
        <v>47.1</v>
      </c>
      <c r="Z106" s="115">
        <v>36</v>
      </c>
      <c r="AA106" s="115">
        <v>31.4</v>
      </c>
      <c r="AB106" s="115">
        <v>-31.1</v>
      </c>
      <c r="AC106" s="115">
        <v>46</v>
      </c>
      <c r="AD106" s="115">
        <v>48</v>
      </c>
      <c r="AE106" s="115">
        <v>43</v>
      </c>
      <c r="AF106" s="115">
        <v>28</v>
      </c>
      <c r="AG106" s="114">
        <v>240</v>
      </c>
      <c r="AH106" s="47">
        <f t="shared" si="12"/>
        <v>48</v>
      </c>
      <c r="AI106" s="48">
        <f t="shared" si="13"/>
        <v>-31.1</v>
      </c>
    </row>
    <row r="107" spans="1:35" x14ac:dyDescent="0.25">
      <c r="A107" s="103" t="s">
        <v>115</v>
      </c>
      <c r="B107" s="115">
        <v>-36</v>
      </c>
      <c r="C107" s="115">
        <v>-34</v>
      </c>
      <c r="D107" s="115">
        <v>-40</v>
      </c>
      <c r="E107" s="115">
        <v>-41.4</v>
      </c>
      <c r="F107" s="115">
        <v>-39.5</v>
      </c>
      <c r="G107" s="115">
        <v>-27</v>
      </c>
      <c r="H107" s="115">
        <v>-22.3</v>
      </c>
      <c r="I107" s="115">
        <v>-13.9</v>
      </c>
      <c r="J107" s="115">
        <v>-8.1</v>
      </c>
      <c r="K107" s="115">
        <v>21.8</v>
      </c>
      <c r="L107" s="115">
        <v>59.3</v>
      </c>
      <c r="M107" s="115">
        <v>51.2</v>
      </c>
      <c r="N107" s="115">
        <v>64.2</v>
      </c>
      <c r="O107" s="115">
        <f>32.4+35.2</f>
        <v>67.599999999999994</v>
      </c>
      <c r="P107" s="115">
        <f>16.9+18.4</f>
        <v>35.299999999999997</v>
      </c>
      <c r="Q107" s="115">
        <v>-3.8</v>
      </c>
      <c r="R107" s="115">
        <f>-9-10.2</f>
        <v>-19.2</v>
      </c>
      <c r="S107" s="115">
        <f>-8.6-9.1</f>
        <v>-17.7</v>
      </c>
      <c r="T107" s="115">
        <v>-12</v>
      </c>
      <c r="U107" s="115">
        <v>-4</v>
      </c>
      <c r="V107" s="115">
        <v>20</v>
      </c>
      <c r="W107" s="115">
        <v>32</v>
      </c>
      <c r="X107" s="115">
        <v>55</v>
      </c>
      <c r="Y107" s="115">
        <v>58</v>
      </c>
      <c r="Z107" s="115">
        <v>52</v>
      </c>
      <c r="AA107" s="115">
        <v>68</v>
      </c>
      <c r="AB107" s="115">
        <f>28</f>
        <v>28</v>
      </c>
      <c r="AC107" s="115">
        <v>11</v>
      </c>
      <c r="AD107" s="115">
        <v>-6</v>
      </c>
      <c r="AE107" s="115">
        <v>-34</v>
      </c>
      <c r="AF107" s="115">
        <v>-41</v>
      </c>
      <c r="AG107" s="114">
        <v>240</v>
      </c>
      <c r="AH107" s="47">
        <f t="shared" si="12"/>
        <v>68</v>
      </c>
      <c r="AI107" s="48">
        <f t="shared" si="13"/>
        <v>-41.4</v>
      </c>
    </row>
    <row r="108" spans="1:35" x14ac:dyDescent="0.25">
      <c r="A108" s="103" t="s">
        <v>116</v>
      </c>
      <c r="B108" s="115">
        <v>-5.5</v>
      </c>
      <c r="C108" s="115">
        <v>-8.3000000000000007</v>
      </c>
      <c r="D108" s="115">
        <v>-7.7</v>
      </c>
      <c r="E108" s="115">
        <v>-8.5</v>
      </c>
      <c r="F108" s="115">
        <v>-6.4</v>
      </c>
      <c r="G108" s="115">
        <v>-7.6</v>
      </c>
      <c r="H108" s="115">
        <v>-4.9000000000000004</v>
      </c>
      <c r="I108" s="115">
        <v>-1.3</v>
      </c>
      <c r="J108" s="115">
        <v>4.5999999999999996</v>
      </c>
      <c r="K108" s="115">
        <v>16.600000000000001</v>
      </c>
      <c r="L108" s="115">
        <v>35.1</v>
      </c>
      <c r="M108" s="115">
        <v>44.5</v>
      </c>
      <c r="N108" s="115">
        <v>32.5</v>
      </c>
      <c r="O108" s="115">
        <v>24</v>
      </c>
      <c r="P108" s="115">
        <v>17.600000000000001</v>
      </c>
      <c r="Q108" s="115">
        <v>7.2</v>
      </c>
      <c r="R108" s="115">
        <v>6.9</v>
      </c>
      <c r="S108" s="115">
        <v>7.5</v>
      </c>
      <c r="T108" s="115">
        <v>11.4</v>
      </c>
      <c r="U108" s="115">
        <v>22.1</v>
      </c>
      <c r="V108" s="115">
        <v>31</v>
      </c>
      <c r="W108" s="115">
        <v>36</v>
      </c>
      <c r="X108" s="115">
        <v>44</v>
      </c>
      <c r="Y108" s="115">
        <v>55</v>
      </c>
      <c r="Z108" s="115">
        <v>58.1</v>
      </c>
      <c r="AA108" s="115">
        <v>57</v>
      </c>
      <c r="AB108" s="115">
        <f>28.8+37.6</f>
        <v>66.400000000000006</v>
      </c>
      <c r="AC108" s="115">
        <v>23</v>
      </c>
      <c r="AD108" s="115">
        <v>17</v>
      </c>
      <c r="AE108" s="115">
        <v>1</v>
      </c>
      <c r="AF108" s="115">
        <v>-3</v>
      </c>
      <c r="AG108" s="114">
        <v>60</v>
      </c>
      <c r="AH108" s="47">
        <f t="shared" si="12"/>
        <v>66.400000000000006</v>
      </c>
      <c r="AI108" s="48">
        <f t="shared" si="13"/>
        <v>-8.5</v>
      </c>
    </row>
    <row r="109" spans="1:35" x14ac:dyDescent="0.25">
      <c r="A109" s="116" t="s">
        <v>117</v>
      </c>
      <c r="B109" s="117">
        <v>88.8</v>
      </c>
      <c r="C109" s="117">
        <v>84.8</v>
      </c>
      <c r="D109" s="117">
        <v>81.7</v>
      </c>
      <c r="E109" s="117">
        <v>69</v>
      </c>
      <c r="F109" s="117">
        <v>80.2</v>
      </c>
      <c r="G109" s="117">
        <v>79.599999999999994</v>
      </c>
      <c r="H109" s="117">
        <v>98</v>
      </c>
      <c r="I109" s="117">
        <v>106</v>
      </c>
      <c r="J109" s="117">
        <v>104.3</v>
      </c>
      <c r="K109" s="117">
        <v>109.5</v>
      </c>
      <c r="L109" s="117">
        <v>109.9</v>
      </c>
      <c r="M109" s="117">
        <v>112</v>
      </c>
      <c r="N109" s="117">
        <v>86.5</v>
      </c>
      <c r="O109" s="117">
        <v>94.2</v>
      </c>
      <c r="P109" s="117">
        <v>113.8</v>
      </c>
      <c r="Q109" s="117">
        <v>109.5</v>
      </c>
      <c r="R109" s="117">
        <v>102.5</v>
      </c>
      <c r="S109" s="117">
        <v>97.9</v>
      </c>
      <c r="T109" s="117">
        <v>106</v>
      </c>
      <c r="U109" s="117">
        <v>109</v>
      </c>
      <c r="V109" s="117">
        <v>100</v>
      </c>
      <c r="W109" s="117">
        <v>103.2</v>
      </c>
      <c r="X109" s="117">
        <v>96</v>
      </c>
      <c r="Y109" s="117">
        <v>105</v>
      </c>
      <c r="Z109" s="117">
        <v>102</v>
      </c>
      <c r="AA109" s="117">
        <v>92</v>
      </c>
      <c r="AB109" s="117">
        <v>82.6</v>
      </c>
      <c r="AC109" s="117">
        <v>106</v>
      </c>
      <c r="AD109" s="117">
        <v>105</v>
      </c>
      <c r="AE109" s="117">
        <v>74</v>
      </c>
      <c r="AF109" s="117">
        <v>69</v>
      </c>
      <c r="AG109" s="118">
        <v>120</v>
      </c>
      <c r="AH109" s="47">
        <f t="shared" si="12"/>
        <v>113.8</v>
      </c>
      <c r="AI109" s="48">
        <f t="shared" si="13"/>
        <v>69</v>
      </c>
    </row>
    <row r="110" spans="1:35" x14ac:dyDescent="0.25">
      <c r="A110" s="116" t="s">
        <v>118</v>
      </c>
      <c r="B110" s="117">
        <v>90.5</v>
      </c>
      <c r="C110" s="117">
        <v>90.2</v>
      </c>
      <c r="D110" s="117">
        <v>89.6</v>
      </c>
      <c r="E110" s="117">
        <v>75.5</v>
      </c>
      <c r="F110" s="117">
        <v>88.6</v>
      </c>
      <c r="G110" s="117">
        <v>79.900000000000006</v>
      </c>
      <c r="H110" s="117">
        <v>95.2</v>
      </c>
      <c r="I110" s="117">
        <v>96</v>
      </c>
      <c r="J110" s="117">
        <v>91.6</v>
      </c>
      <c r="K110" s="117">
        <v>90.9</v>
      </c>
      <c r="L110" s="117">
        <v>103.9</v>
      </c>
      <c r="M110" s="117">
        <v>96</v>
      </c>
      <c r="N110" s="117">
        <v>86</v>
      </c>
      <c r="O110" s="117">
        <v>91.4</v>
      </c>
      <c r="P110" s="117">
        <v>87.9</v>
      </c>
      <c r="Q110" s="117">
        <v>97</v>
      </c>
      <c r="R110" s="117">
        <v>98.7</v>
      </c>
      <c r="S110" s="117">
        <v>94.6</v>
      </c>
      <c r="T110" s="117">
        <v>100</v>
      </c>
      <c r="U110" s="117">
        <v>104</v>
      </c>
      <c r="V110" s="117">
        <v>84</v>
      </c>
      <c r="W110" s="117">
        <v>80</v>
      </c>
      <c r="X110" s="117">
        <v>58</v>
      </c>
      <c r="Y110" s="117">
        <v>49</v>
      </c>
      <c r="Z110" s="117">
        <v>64</v>
      </c>
      <c r="AA110" s="117">
        <v>61</v>
      </c>
      <c r="AB110" s="117">
        <v>84.5</v>
      </c>
      <c r="AC110" s="117">
        <v>85</v>
      </c>
      <c r="AD110" s="117">
        <v>86</v>
      </c>
      <c r="AE110" s="117">
        <v>73</v>
      </c>
      <c r="AF110" s="117">
        <v>79</v>
      </c>
      <c r="AG110" s="118"/>
      <c r="AH110" s="47">
        <f t="shared" si="12"/>
        <v>104</v>
      </c>
      <c r="AI110" s="48">
        <f t="shared" si="13"/>
        <v>49</v>
      </c>
    </row>
    <row r="111" spans="1:35" x14ac:dyDescent="0.25">
      <c r="A111" s="116" t="s">
        <v>119</v>
      </c>
      <c r="B111" s="117">
        <v>35.200000000000003</v>
      </c>
      <c r="C111" s="117">
        <v>33.6</v>
      </c>
      <c r="D111" s="117">
        <v>34.9</v>
      </c>
      <c r="E111" s="117">
        <v>27.1</v>
      </c>
      <c r="F111" s="117">
        <v>24</v>
      </c>
      <c r="G111" s="117">
        <v>22.1</v>
      </c>
      <c r="H111" s="117">
        <v>19.2</v>
      </c>
      <c r="I111" s="117">
        <v>13.6</v>
      </c>
      <c r="J111" s="117">
        <v>5.4</v>
      </c>
      <c r="K111" s="117">
        <v>9.6999999999999993</v>
      </c>
      <c r="L111" s="117"/>
      <c r="M111" s="117"/>
      <c r="N111" s="117"/>
      <c r="O111" s="117">
        <v>14.7</v>
      </c>
      <c r="P111" s="117"/>
      <c r="Q111" s="117"/>
      <c r="R111" s="117"/>
      <c r="S111" s="117">
        <v>2.6</v>
      </c>
      <c r="T111" s="117">
        <v>9</v>
      </c>
      <c r="U111" s="117">
        <v>13.4</v>
      </c>
      <c r="V111" s="117">
        <v>14</v>
      </c>
      <c r="W111" s="117">
        <v>14.3</v>
      </c>
      <c r="X111" s="117">
        <v>3.4</v>
      </c>
      <c r="Y111" s="117">
        <v>5.7</v>
      </c>
      <c r="Z111" s="117">
        <v>15.1</v>
      </c>
      <c r="AA111" s="117">
        <v>16</v>
      </c>
      <c r="AB111" s="117">
        <v>14.4</v>
      </c>
      <c r="AC111" s="117">
        <v>7</v>
      </c>
      <c r="AD111" s="117">
        <v>11</v>
      </c>
      <c r="AE111" s="117">
        <v>17</v>
      </c>
      <c r="AF111" s="117">
        <v>20</v>
      </c>
      <c r="AG111" s="119"/>
      <c r="AH111" s="47">
        <f t="shared" si="12"/>
        <v>35.200000000000003</v>
      </c>
      <c r="AI111" s="48">
        <f t="shared" si="13"/>
        <v>2.6</v>
      </c>
    </row>
    <row r="112" spans="1:35" x14ac:dyDescent="0.25">
      <c r="A112" s="120" t="s">
        <v>120</v>
      </c>
      <c r="B112" s="106">
        <v>12.9</v>
      </c>
      <c r="C112" s="106">
        <v>18.600000000000001</v>
      </c>
      <c r="D112" s="106">
        <v>17.2</v>
      </c>
      <c r="E112" s="106">
        <v>19.8</v>
      </c>
      <c r="F112" s="106">
        <v>19.3</v>
      </c>
      <c r="G112" s="106">
        <v>20.2</v>
      </c>
      <c r="H112" s="106">
        <v>11.6</v>
      </c>
      <c r="I112" s="106">
        <v>-4.5999999999999996</v>
      </c>
      <c r="J112" s="106">
        <v>-10.5</v>
      </c>
      <c r="K112" s="106">
        <v>-32.299999999999997</v>
      </c>
      <c r="L112" s="106">
        <v>-39.4</v>
      </c>
      <c r="M112" s="106">
        <v>-35.799999999999997</v>
      </c>
      <c r="N112" s="106">
        <v>-20</v>
      </c>
      <c r="O112" s="106">
        <v>16.5</v>
      </c>
      <c r="P112" s="106">
        <v>-17.5</v>
      </c>
      <c r="Q112" s="106">
        <v>-10.7</v>
      </c>
      <c r="R112" s="106">
        <v>-4.5</v>
      </c>
      <c r="S112" s="106">
        <v>-5.2</v>
      </c>
      <c r="T112" s="106">
        <v>-20</v>
      </c>
      <c r="U112" s="106">
        <v>-22.1</v>
      </c>
      <c r="V112" s="106">
        <v>-28</v>
      </c>
      <c r="W112" s="106">
        <v>-39</v>
      </c>
      <c r="X112" s="106">
        <v>-69</v>
      </c>
      <c r="Y112" s="106">
        <v>-66.3</v>
      </c>
      <c r="Z112" s="106">
        <v>-54</v>
      </c>
      <c r="AA112" s="106">
        <v>-34</v>
      </c>
      <c r="AB112" s="106">
        <v>-21.8</v>
      </c>
      <c r="AC112" s="106">
        <v>13</v>
      </c>
      <c r="AD112" s="106">
        <v>11</v>
      </c>
      <c r="AE112" s="106">
        <v>6.5</v>
      </c>
      <c r="AF112" s="106">
        <v>17</v>
      </c>
      <c r="AG112" s="119"/>
      <c r="AH112" s="47">
        <f t="shared" si="12"/>
        <v>20.2</v>
      </c>
      <c r="AI112" s="48">
        <f t="shared" si="13"/>
        <v>-69</v>
      </c>
    </row>
    <row r="113" spans="1:37" ht="15.75" thickBot="1" x14ac:dyDescent="0.3">
      <c r="A113" s="120" t="s">
        <v>121</v>
      </c>
      <c r="B113" s="106">
        <v>-14.4</v>
      </c>
      <c r="C113" s="106">
        <v>11.1</v>
      </c>
      <c r="D113" s="106">
        <v>14.9</v>
      </c>
      <c r="E113" s="106">
        <v>18.899999999999999</v>
      </c>
      <c r="F113" s="106">
        <v>16.899999999999999</v>
      </c>
      <c r="G113" s="106">
        <v>15.4</v>
      </c>
      <c r="H113" s="106">
        <v>7</v>
      </c>
      <c r="I113" s="106">
        <v>4.5999999999999996</v>
      </c>
      <c r="J113" s="106">
        <v>5.7</v>
      </c>
      <c r="K113" s="106">
        <v>-20.9</v>
      </c>
      <c r="L113" s="106">
        <v>-42</v>
      </c>
      <c r="M113" s="106">
        <v>-40.6</v>
      </c>
      <c r="N113" s="106">
        <v>-45</v>
      </c>
      <c r="O113" s="106">
        <v>-53.7</v>
      </c>
      <c r="P113" s="106">
        <v>-30.9</v>
      </c>
      <c r="Q113" s="106">
        <v>-0.7</v>
      </c>
      <c r="R113" s="106">
        <v>8.5</v>
      </c>
      <c r="S113" s="106">
        <v>10.1</v>
      </c>
      <c r="T113" s="106">
        <v>9</v>
      </c>
      <c r="U113" s="106">
        <v>13.4</v>
      </c>
      <c r="V113" s="106">
        <v>-7</v>
      </c>
      <c r="W113" s="106">
        <v>17</v>
      </c>
      <c r="X113" s="106">
        <v>-27</v>
      </c>
      <c r="Y113" s="106">
        <v>-24.3</v>
      </c>
      <c r="Z113" s="106">
        <v>-29.2</v>
      </c>
      <c r="AA113" s="106">
        <v>-28</v>
      </c>
      <c r="AB113" s="106">
        <v>-48.6</v>
      </c>
      <c r="AC113" s="106">
        <v>-7</v>
      </c>
      <c r="AD113" s="106">
        <v>5.4</v>
      </c>
      <c r="AE113" s="106">
        <v>24</v>
      </c>
      <c r="AF113" s="106">
        <v>28</v>
      </c>
      <c r="AG113" s="119"/>
      <c r="AH113" s="47">
        <f t="shared" si="12"/>
        <v>28</v>
      </c>
      <c r="AI113" s="48">
        <f t="shared" si="13"/>
        <v>-53.7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23">SUM(B115:B219)</f>
        <v>0</v>
      </c>
      <c r="C220" s="136">
        <f t="shared" si="23"/>
        <v>0</v>
      </c>
      <c r="D220" s="136">
        <f t="shared" si="23"/>
        <v>0</v>
      </c>
      <c r="E220" s="136">
        <f t="shared" si="23"/>
        <v>0</v>
      </c>
      <c r="F220" s="136">
        <f t="shared" si="23"/>
        <v>0</v>
      </c>
      <c r="G220" s="136">
        <f t="shared" si="23"/>
        <v>0</v>
      </c>
      <c r="H220" s="136">
        <f t="shared" si="23"/>
        <v>0</v>
      </c>
      <c r="I220" s="136">
        <f t="shared" si="23"/>
        <v>0</v>
      </c>
      <c r="J220" s="136">
        <f t="shared" si="23"/>
        <v>0</v>
      </c>
      <c r="K220" s="136">
        <f t="shared" si="23"/>
        <v>0</v>
      </c>
      <c r="L220" s="136">
        <f t="shared" si="23"/>
        <v>0</v>
      </c>
      <c r="M220" s="136">
        <f t="shared" si="23"/>
        <v>0</v>
      </c>
      <c r="N220" s="136">
        <f t="shared" si="23"/>
        <v>0</v>
      </c>
      <c r="O220" s="136">
        <f t="shared" si="23"/>
        <v>0</v>
      </c>
      <c r="P220" s="136">
        <f t="shared" si="23"/>
        <v>0</v>
      </c>
      <c r="Q220" s="136">
        <f t="shared" si="23"/>
        <v>0</v>
      </c>
      <c r="R220" s="136">
        <f t="shared" si="23"/>
        <v>0</v>
      </c>
      <c r="S220" s="136">
        <f t="shared" si="23"/>
        <v>0</v>
      </c>
      <c r="T220" s="136">
        <f t="shared" si="23"/>
        <v>0</v>
      </c>
      <c r="U220" s="136">
        <f t="shared" si="23"/>
        <v>0</v>
      </c>
      <c r="V220" s="136">
        <f t="shared" si="23"/>
        <v>0</v>
      </c>
      <c r="W220" s="136">
        <f t="shared" si="23"/>
        <v>0</v>
      </c>
      <c r="X220" s="136">
        <f t="shared" si="23"/>
        <v>0</v>
      </c>
      <c r="Y220" s="136">
        <f t="shared" si="23"/>
        <v>0</v>
      </c>
      <c r="Z220" s="136">
        <f t="shared" si="23"/>
        <v>0</v>
      </c>
      <c r="AA220" s="136">
        <f t="shared" si="23"/>
        <v>0</v>
      </c>
      <c r="AB220" s="136">
        <f t="shared" si="23"/>
        <v>0</v>
      </c>
      <c r="AC220" s="136">
        <f t="shared" si="23"/>
        <v>0</v>
      </c>
      <c r="AD220" s="136">
        <f t="shared" si="23"/>
        <v>0</v>
      </c>
      <c r="AE220" s="136">
        <f t="shared" si="23"/>
        <v>0</v>
      </c>
      <c r="AF220" s="137">
        <f t="shared" si="23"/>
        <v>0</v>
      </c>
      <c r="AG220" s="138">
        <f t="shared" si="23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24">AF222</f>
        <v>0</v>
      </c>
      <c r="C222" s="140">
        <v>0.3</v>
      </c>
      <c r="D222" s="140">
        <f t="shared" ref="D222:P227" si="25">C222</f>
        <v>0.3</v>
      </c>
      <c r="E222" s="140">
        <f t="shared" si="25"/>
        <v>0.3</v>
      </c>
      <c r="F222" s="140">
        <f t="shared" si="25"/>
        <v>0.3</v>
      </c>
      <c r="G222" s="140">
        <f t="shared" si="25"/>
        <v>0.3</v>
      </c>
      <c r="H222" s="140">
        <f t="shared" si="25"/>
        <v>0.3</v>
      </c>
      <c r="I222" s="140">
        <f t="shared" si="25"/>
        <v>0.3</v>
      </c>
      <c r="J222" s="140">
        <f t="shared" si="25"/>
        <v>0.3</v>
      </c>
      <c r="K222" s="140">
        <f t="shared" si="25"/>
        <v>0.3</v>
      </c>
      <c r="L222" s="140">
        <f t="shared" si="25"/>
        <v>0.3</v>
      </c>
      <c r="M222" s="140">
        <f t="shared" si="25"/>
        <v>0.3</v>
      </c>
      <c r="N222" s="140">
        <f t="shared" si="25"/>
        <v>0.3</v>
      </c>
      <c r="O222" s="140">
        <f t="shared" si="25"/>
        <v>0.3</v>
      </c>
      <c r="P222" s="140">
        <f t="shared" si="25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24"/>
        <v>0</v>
      </c>
      <c r="C223" s="128">
        <v>0.4</v>
      </c>
      <c r="D223" s="128">
        <f t="shared" si="25"/>
        <v>0.4</v>
      </c>
      <c r="E223" s="128">
        <f t="shared" si="25"/>
        <v>0.4</v>
      </c>
      <c r="F223" s="128">
        <f t="shared" si="25"/>
        <v>0.4</v>
      </c>
      <c r="G223" s="128">
        <f t="shared" si="25"/>
        <v>0.4</v>
      </c>
      <c r="H223" s="128">
        <f t="shared" si="25"/>
        <v>0.4</v>
      </c>
      <c r="I223" s="128">
        <f t="shared" si="25"/>
        <v>0.4</v>
      </c>
      <c r="J223" s="128">
        <f t="shared" si="25"/>
        <v>0.4</v>
      </c>
      <c r="K223" s="128">
        <f t="shared" si="25"/>
        <v>0.4</v>
      </c>
      <c r="L223" s="128">
        <f t="shared" si="25"/>
        <v>0.4</v>
      </c>
      <c r="M223" s="128">
        <f t="shared" si="25"/>
        <v>0.4</v>
      </c>
      <c r="N223" s="128">
        <f t="shared" si="25"/>
        <v>0.4</v>
      </c>
      <c r="O223" s="128">
        <f t="shared" si="25"/>
        <v>0.4</v>
      </c>
      <c r="P223" s="128">
        <f t="shared" si="25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24"/>
        <v>0</v>
      </c>
      <c r="C224" s="128">
        <v>1.5</v>
      </c>
      <c r="D224" s="128">
        <f t="shared" si="25"/>
        <v>1.5</v>
      </c>
      <c r="E224" s="128">
        <f t="shared" si="25"/>
        <v>1.5</v>
      </c>
      <c r="F224" s="128">
        <f t="shared" si="25"/>
        <v>1.5</v>
      </c>
      <c r="G224" s="128">
        <f t="shared" si="25"/>
        <v>1.5</v>
      </c>
      <c r="H224" s="128">
        <f t="shared" si="25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25"/>
        <v>1.5</v>
      </c>
      <c r="K224" s="128">
        <f t="shared" ca="1" si="25"/>
        <v>1.5</v>
      </c>
      <c r="L224" s="128">
        <f t="shared" ca="1" si="25"/>
        <v>1.5</v>
      </c>
      <c r="M224" s="128">
        <f t="shared" ca="1" si="25"/>
        <v>1.5</v>
      </c>
      <c r="N224" s="128">
        <f t="shared" ca="1" si="25"/>
        <v>1.5</v>
      </c>
      <c r="O224" s="128">
        <f t="shared" ca="1" si="25"/>
        <v>1.5</v>
      </c>
      <c r="P224" s="128">
        <f t="shared" ca="1" si="25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24"/>
        <v>0</v>
      </c>
      <c r="C225" s="128">
        <v>0.3</v>
      </c>
      <c r="D225" s="128">
        <f t="shared" si="25"/>
        <v>0.3</v>
      </c>
      <c r="E225" s="128">
        <f t="shared" si="25"/>
        <v>0.3</v>
      </c>
      <c r="F225" s="128">
        <f t="shared" si="25"/>
        <v>0.3</v>
      </c>
      <c r="G225" s="128">
        <f t="shared" si="25"/>
        <v>0.3</v>
      </c>
      <c r="H225" s="128">
        <f t="shared" si="25"/>
        <v>0.3</v>
      </c>
      <c r="I225" s="128">
        <f t="shared" si="25"/>
        <v>0.3</v>
      </c>
      <c r="J225" s="128">
        <f t="shared" si="25"/>
        <v>0.3</v>
      </c>
      <c r="K225" s="128">
        <f t="shared" si="25"/>
        <v>0.3</v>
      </c>
      <c r="L225" s="128">
        <f t="shared" si="25"/>
        <v>0.3</v>
      </c>
      <c r="M225" s="128">
        <f t="shared" si="25"/>
        <v>0.3</v>
      </c>
      <c r="N225" s="128">
        <f t="shared" si="25"/>
        <v>0.3</v>
      </c>
      <c r="O225" s="128">
        <f t="shared" si="25"/>
        <v>0.3</v>
      </c>
      <c r="P225" s="128">
        <f t="shared" si="25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24"/>
        <v>0</v>
      </c>
      <c r="C226" s="128">
        <v>0.4</v>
      </c>
      <c r="D226" s="128">
        <f t="shared" si="25"/>
        <v>0.4</v>
      </c>
      <c r="E226" s="128">
        <f t="shared" si="25"/>
        <v>0.4</v>
      </c>
      <c r="F226" s="128">
        <f t="shared" si="25"/>
        <v>0.4</v>
      </c>
      <c r="G226" s="128">
        <f t="shared" si="25"/>
        <v>0.4</v>
      </c>
      <c r="H226" s="128">
        <f t="shared" si="25"/>
        <v>0.4</v>
      </c>
      <c r="I226" s="128">
        <f t="shared" si="25"/>
        <v>0.4</v>
      </c>
      <c r="J226" s="128">
        <f t="shared" si="25"/>
        <v>0.4</v>
      </c>
      <c r="K226" s="128">
        <f t="shared" si="25"/>
        <v>0.4</v>
      </c>
      <c r="L226" s="128">
        <f t="shared" si="25"/>
        <v>0.4</v>
      </c>
      <c r="M226" s="128">
        <f t="shared" si="25"/>
        <v>0.4</v>
      </c>
      <c r="N226" s="128">
        <f t="shared" si="25"/>
        <v>0.4</v>
      </c>
      <c r="O226" s="128">
        <f t="shared" si="25"/>
        <v>0.4</v>
      </c>
      <c r="P226" s="128">
        <f t="shared" si="25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24"/>
        <v>0</v>
      </c>
      <c r="C227" s="132">
        <v>0.64</v>
      </c>
      <c r="D227" s="132">
        <f t="shared" si="25"/>
        <v>0.64</v>
      </c>
      <c r="E227" s="132">
        <f t="shared" si="25"/>
        <v>0.64</v>
      </c>
      <c r="F227" s="132">
        <f t="shared" si="25"/>
        <v>0.64</v>
      </c>
      <c r="G227" s="132">
        <f t="shared" si="25"/>
        <v>0.64</v>
      </c>
      <c r="H227" s="132">
        <f t="shared" si="25"/>
        <v>0.64</v>
      </c>
      <c r="I227" s="132">
        <f t="shared" si="25"/>
        <v>0.64</v>
      </c>
      <c r="J227" s="132">
        <f t="shared" si="25"/>
        <v>0.64</v>
      </c>
      <c r="K227" s="132">
        <f t="shared" si="25"/>
        <v>0.64</v>
      </c>
      <c r="L227" s="132">
        <f t="shared" si="25"/>
        <v>0.64</v>
      </c>
      <c r="M227" s="132">
        <f t="shared" si="25"/>
        <v>0.64</v>
      </c>
      <c r="N227" s="132">
        <f t="shared" si="25"/>
        <v>0.64</v>
      </c>
      <c r="O227" s="132">
        <f t="shared" si="25"/>
        <v>0.64</v>
      </c>
      <c r="P227" s="132">
        <f t="shared" si="25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26">SUM(B222:B227)</f>
        <v>0</v>
      </c>
      <c r="C228" s="136">
        <f t="shared" si="26"/>
        <v>3.54</v>
      </c>
      <c r="D228" s="136">
        <f t="shared" si="26"/>
        <v>3.54</v>
      </c>
      <c r="E228" s="136">
        <f t="shared" si="26"/>
        <v>3.54</v>
      </c>
      <c r="F228" s="136">
        <f t="shared" si="26"/>
        <v>3.54</v>
      </c>
      <c r="G228" s="136">
        <f t="shared" si="26"/>
        <v>3.54</v>
      </c>
      <c r="H228" s="136">
        <f t="shared" si="26"/>
        <v>3.54</v>
      </c>
      <c r="I228" s="136">
        <f t="shared" ca="1" si="26"/>
        <v>3.54</v>
      </c>
      <c r="J228" s="136">
        <f t="shared" ca="1" si="26"/>
        <v>3.54</v>
      </c>
      <c r="K228" s="136">
        <f t="shared" ca="1" si="26"/>
        <v>3.54</v>
      </c>
      <c r="L228" s="136">
        <f t="shared" ca="1" si="26"/>
        <v>3.54</v>
      </c>
      <c r="M228" s="136">
        <f t="shared" ca="1" si="26"/>
        <v>3.54</v>
      </c>
      <c r="N228" s="136">
        <f t="shared" ca="1" si="26"/>
        <v>3.54</v>
      </c>
      <c r="O228" s="136">
        <f t="shared" ca="1" si="26"/>
        <v>3.54</v>
      </c>
      <c r="P228" s="136">
        <f t="shared" ca="1" si="26"/>
        <v>3.54</v>
      </c>
      <c r="Q228" s="136">
        <f t="shared" si="26"/>
        <v>0</v>
      </c>
      <c r="R228" s="136">
        <f t="shared" si="26"/>
        <v>0</v>
      </c>
      <c r="S228" s="136">
        <f t="shared" si="26"/>
        <v>0</v>
      </c>
      <c r="T228" s="136">
        <f t="shared" si="26"/>
        <v>0</v>
      </c>
      <c r="U228" s="136">
        <f t="shared" si="26"/>
        <v>0</v>
      </c>
      <c r="V228" s="136">
        <f t="shared" si="26"/>
        <v>0</v>
      </c>
      <c r="W228" s="136">
        <f t="shared" si="26"/>
        <v>0</v>
      </c>
      <c r="X228" s="136">
        <f t="shared" si="26"/>
        <v>0</v>
      </c>
      <c r="Y228" s="136">
        <f t="shared" si="26"/>
        <v>0</v>
      </c>
      <c r="Z228" s="136">
        <f t="shared" si="26"/>
        <v>0</v>
      </c>
      <c r="AA228" s="136">
        <f t="shared" si="26"/>
        <v>0</v>
      </c>
      <c r="AB228" s="136">
        <f t="shared" si="26"/>
        <v>0</v>
      </c>
      <c r="AC228" s="136">
        <f t="shared" si="26"/>
        <v>0</v>
      </c>
      <c r="AD228" s="136">
        <f t="shared" si="26"/>
        <v>0</v>
      </c>
      <c r="AE228" s="136">
        <f t="shared" si="26"/>
        <v>0</v>
      </c>
      <c r="AF228" s="136">
        <f t="shared" si="26"/>
        <v>0</v>
      </c>
      <c r="AG228" s="145">
        <f t="shared" si="26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1561.74</v>
      </c>
      <c r="C237" s="161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20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str">
        <f ca="1">"Pie Chart of Daily Peak Demand(Inclusive of Export) of Nepal ("&amp;A4&amp;" "&amp;B4&amp;")"</f>
        <v>Pie Chart of Daily Peak Demand(Inclusive of Export) of Nepal (Nepali Date: 2079/09/20)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2079/09/20)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7">B85</f>
        <v>1050.49</v>
      </c>
      <c r="U242" s="170">
        <f t="shared" si="27"/>
        <v>1009.0899999999999</v>
      </c>
      <c r="V242" s="170">
        <f t="shared" si="27"/>
        <v>993.08999999999992</v>
      </c>
      <c r="W242" s="170">
        <f t="shared" si="27"/>
        <v>1004.14</v>
      </c>
      <c r="X242" s="170">
        <f t="shared" si="27"/>
        <v>984.44</v>
      </c>
      <c r="Y242" s="170">
        <f t="shared" si="27"/>
        <v>1050.44</v>
      </c>
      <c r="Z242" s="170">
        <f t="shared" si="27"/>
        <v>1085.94</v>
      </c>
      <c r="AA242" s="170">
        <f t="shared" si="27"/>
        <v>1170.74</v>
      </c>
      <c r="AB242" s="170">
        <f t="shared" si="27"/>
        <v>1231.68</v>
      </c>
      <c r="AC242" s="170">
        <f t="shared" si="27"/>
        <v>1475.55</v>
      </c>
      <c r="AD242" s="170">
        <f t="shared" si="27"/>
        <v>1519.8400000000001</v>
      </c>
      <c r="AE242" s="170">
        <f t="shared" si="27"/>
        <v>1561.74</v>
      </c>
      <c r="AF242" s="170">
        <f t="shared" si="27"/>
        <v>1468.94</v>
      </c>
      <c r="AG242" s="170">
        <f t="shared" si="27"/>
        <v>1432.1399999999999</v>
      </c>
      <c r="AH242" s="170">
        <f t="shared" si="27"/>
        <v>1347.8400000000001</v>
      </c>
      <c r="AI242" s="170">
        <f t="shared" si="27"/>
        <v>1307.54</v>
      </c>
      <c r="AJ242" s="170">
        <f t="shared" si="27"/>
        <v>1294.44</v>
      </c>
      <c r="AK242" s="170">
        <f t="shared" si="27"/>
        <v>1256.3400000000001</v>
      </c>
      <c r="AL242" s="170">
        <f t="shared" si="27"/>
        <v>1266.3400000000001</v>
      </c>
      <c r="AM242" s="170">
        <f t="shared" si="27"/>
        <v>1302.8400000000001</v>
      </c>
      <c r="AN242" s="170">
        <f t="shared" si="27"/>
        <v>1243.0400000000002</v>
      </c>
      <c r="AO242" s="170">
        <f t="shared" si="27"/>
        <v>1243.94</v>
      </c>
      <c r="AP242" s="170">
        <f t="shared" si="27"/>
        <v>1510.04</v>
      </c>
      <c r="AQ242" s="170">
        <f t="shared" si="27"/>
        <v>1593.24</v>
      </c>
      <c r="AR242" s="170">
        <f t="shared" si="27"/>
        <v>1549.14</v>
      </c>
      <c r="AS242" s="170">
        <f t="shared" si="27"/>
        <v>1511.3400000000001</v>
      </c>
      <c r="AT242" s="170">
        <f t="shared" si="27"/>
        <v>1391.14</v>
      </c>
      <c r="AU242" s="170">
        <f t="shared" si="27"/>
        <v>1255.6400000000001</v>
      </c>
      <c r="AV242" s="170">
        <f t="shared" si="27"/>
        <v>1281.6400000000001</v>
      </c>
      <c r="AW242" s="170">
        <f t="shared" si="27"/>
        <v>1168.04</v>
      </c>
      <c r="AX242" s="170">
        <f t="shared" si="27"/>
        <v>1065.04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8">C227</f>
        <v>0.64</v>
      </c>
      <c r="C263" s="173">
        <f t="shared" si="28"/>
        <v>0.64</v>
      </c>
      <c r="D263" s="173">
        <f t="shared" si="28"/>
        <v>0.64</v>
      </c>
      <c r="E263" s="173">
        <f t="shared" si="28"/>
        <v>0.64</v>
      </c>
      <c r="F263" s="173">
        <f t="shared" si="28"/>
        <v>0.64</v>
      </c>
      <c r="G263" s="173">
        <f t="shared" si="28"/>
        <v>0.64</v>
      </c>
      <c r="H263" s="173">
        <f t="shared" si="28"/>
        <v>0.64</v>
      </c>
      <c r="I263" s="173">
        <f t="shared" si="28"/>
        <v>0.64</v>
      </c>
      <c r="J263" s="173">
        <f t="shared" si="28"/>
        <v>0.64</v>
      </c>
      <c r="K263" s="173">
        <f t="shared" si="28"/>
        <v>0.64</v>
      </c>
      <c r="L263" s="173">
        <f t="shared" si="28"/>
        <v>0.64</v>
      </c>
      <c r="M263" s="173">
        <f t="shared" si="28"/>
        <v>0.64</v>
      </c>
      <c r="N263" s="173">
        <f t="shared" si="28"/>
        <v>0.64</v>
      </c>
      <c r="O263" s="173">
        <f t="shared" si="28"/>
        <v>0.64</v>
      </c>
      <c r="P263" s="173">
        <f t="shared" si="28"/>
        <v>0</v>
      </c>
      <c r="Q263" s="173">
        <f t="shared" si="28"/>
        <v>0</v>
      </c>
      <c r="R263" s="173">
        <f t="shared" si="28"/>
        <v>0</v>
      </c>
      <c r="S263" s="173">
        <f t="shared" si="28"/>
        <v>0</v>
      </c>
      <c r="T263" s="173">
        <f t="shared" si="28"/>
        <v>0</v>
      </c>
      <c r="U263" s="173">
        <f t="shared" si="28"/>
        <v>0</v>
      </c>
      <c r="V263" s="173">
        <f t="shared" si="28"/>
        <v>0</v>
      </c>
      <c r="W263" s="173">
        <f t="shared" si="28"/>
        <v>0</v>
      </c>
      <c r="X263" s="173">
        <f t="shared" si="28"/>
        <v>0</v>
      </c>
      <c r="Y263" s="173">
        <f t="shared" si="28"/>
        <v>0</v>
      </c>
      <c r="Z263" s="173">
        <f t="shared" si="28"/>
        <v>0</v>
      </c>
      <c r="AA263" s="173">
        <f t="shared" si="28"/>
        <v>0</v>
      </c>
      <c r="AB263" s="173">
        <f t="shared" si="28"/>
        <v>0</v>
      </c>
      <c r="AC263" s="173">
        <f t="shared" si="28"/>
        <v>0</v>
      </c>
      <c r="AD263" s="173">
        <f t="shared" si="28"/>
        <v>0</v>
      </c>
      <c r="AE263" s="173">
        <f t="shared" si="28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9">IF(B231&lt;100,"",B231-520)</f>
        <v/>
      </c>
      <c r="C264" s="174" t="str">
        <f t="shared" si="29"/>
        <v/>
      </c>
      <c r="D264" s="174" t="str">
        <f t="shared" si="29"/>
        <v/>
      </c>
      <c r="E264" s="174" t="str">
        <f t="shared" si="29"/>
        <v/>
      </c>
      <c r="F264" s="174" t="str">
        <f t="shared" si="29"/>
        <v/>
      </c>
      <c r="G264" s="174" t="str">
        <f t="shared" si="29"/>
        <v/>
      </c>
      <c r="H264" s="174" t="str">
        <f t="shared" si="29"/>
        <v/>
      </c>
      <c r="I264" s="174" t="str">
        <f t="shared" si="29"/>
        <v/>
      </c>
      <c r="J264" s="174" t="str">
        <f t="shared" si="29"/>
        <v/>
      </c>
      <c r="K264" s="174" t="str">
        <f t="shared" si="29"/>
        <v/>
      </c>
      <c r="L264" s="174" t="str">
        <f t="shared" si="29"/>
        <v/>
      </c>
      <c r="M264" s="174" t="str">
        <f t="shared" si="29"/>
        <v/>
      </c>
      <c r="N264" s="174" t="str">
        <f t="shared" si="29"/>
        <v/>
      </c>
      <c r="O264" s="174" t="str">
        <f t="shared" si="29"/>
        <v/>
      </c>
      <c r="P264" s="174" t="str">
        <f t="shared" si="29"/>
        <v/>
      </c>
      <c r="Q264" s="174" t="str">
        <f t="shared" si="29"/>
        <v/>
      </c>
      <c r="R264" s="174" t="str">
        <f t="shared" si="29"/>
        <v/>
      </c>
      <c r="S264" s="174" t="str">
        <f t="shared" si="29"/>
        <v/>
      </c>
      <c r="T264" s="174" t="str">
        <f t="shared" si="29"/>
        <v/>
      </c>
      <c r="U264" s="174" t="str">
        <f t="shared" si="29"/>
        <v/>
      </c>
      <c r="V264" s="174" t="str">
        <f t="shared" si="29"/>
        <v/>
      </c>
      <c r="W264" s="174" t="str">
        <f t="shared" si="29"/>
        <v/>
      </c>
      <c r="X264" s="174" t="str">
        <f t="shared" si="29"/>
        <v/>
      </c>
      <c r="Y264" s="174" t="str">
        <f t="shared" si="29"/>
        <v/>
      </c>
      <c r="Z264" s="174" t="str">
        <f t="shared" si="29"/>
        <v/>
      </c>
      <c r="AA264" s="174" t="str">
        <f t="shared" si="29"/>
        <v/>
      </c>
      <c r="AB264" s="174" t="str">
        <f t="shared" si="29"/>
        <v/>
      </c>
      <c r="AC264" s="174" t="str">
        <f t="shared" si="29"/>
        <v/>
      </c>
      <c r="AD264" s="174" t="str">
        <f t="shared" si="29"/>
        <v/>
      </c>
      <c r="AE264" s="174" t="str">
        <f t="shared" si="29"/>
        <v/>
      </c>
      <c r="AF264" s="174" t="str">
        <f t="shared" si="29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30">IF(B232&lt;100,"",B232-620)</f>
        <v/>
      </c>
      <c r="C265" s="174" t="str">
        <f t="shared" si="30"/>
        <v/>
      </c>
      <c r="D265" s="174" t="str">
        <f t="shared" si="30"/>
        <v/>
      </c>
      <c r="E265" s="174" t="str">
        <f t="shared" si="30"/>
        <v/>
      </c>
      <c r="F265" s="174" t="str">
        <f t="shared" si="30"/>
        <v/>
      </c>
      <c r="G265" s="174" t="str">
        <f t="shared" si="30"/>
        <v/>
      </c>
      <c r="H265" s="174" t="str">
        <f t="shared" si="30"/>
        <v/>
      </c>
      <c r="I265" s="174" t="str">
        <f t="shared" si="30"/>
        <v/>
      </c>
      <c r="J265" s="174" t="str">
        <f t="shared" si="30"/>
        <v/>
      </c>
      <c r="K265" s="174" t="str">
        <f t="shared" si="30"/>
        <v/>
      </c>
      <c r="L265" s="174" t="str">
        <f t="shared" si="30"/>
        <v/>
      </c>
      <c r="M265" s="174" t="str">
        <f t="shared" si="30"/>
        <v/>
      </c>
      <c r="N265" s="174" t="str">
        <f t="shared" si="30"/>
        <v/>
      </c>
      <c r="O265" s="174" t="str">
        <f t="shared" si="30"/>
        <v/>
      </c>
      <c r="P265" s="174" t="str">
        <f t="shared" si="30"/>
        <v/>
      </c>
      <c r="Q265" s="174" t="str">
        <f t="shared" si="30"/>
        <v/>
      </c>
      <c r="R265" s="174" t="str">
        <f t="shared" si="30"/>
        <v/>
      </c>
      <c r="S265" s="174" t="str">
        <f t="shared" si="30"/>
        <v/>
      </c>
      <c r="T265" s="174" t="str">
        <f t="shared" si="30"/>
        <v/>
      </c>
      <c r="U265" s="174" t="str">
        <f t="shared" si="30"/>
        <v/>
      </c>
      <c r="V265" s="174" t="str">
        <f t="shared" si="30"/>
        <v/>
      </c>
      <c r="W265" s="174" t="str">
        <f t="shared" si="30"/>
        <v/>
      </c>
      <c r="X265" s="174" t="str">
        <f t="shared" si="30"/>
        <v/>
      </c>
      <c r="Y265" s="174" t="str">
        <f t="shared" si="30"/>
        <v/>
      </c>
      <c r="Z265" s="174" t="str">
        <f t="shared" si="30"/>
        <v/>
      </c>
      <c r="AA265" s="174" t="str">
        <f t="shared" si="30"/>
        <v/>
      </c>
      <c r="AB265" s="174" t="str">
        <f t="shared" si="30"/>
        <v/>
      </c>
      <c r="AC265" s="174" t="str">
        <f t="shared" si="30"/>
        <v/>
      </c>
      <c r="AD265" s="174" t="str">
        <f t="shared" si="30"/>
        <v/>
      </c>
      <c r="AE265" s="174" t="str">
        <f t="shared" si="30"/>
        <v/>
      </c>
      <c r="AF265" s="174" t="str">
        <f t="shared" si="30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31">IF(B233&lt;100,"",B233-330)</f>
        <v/>
      </c>
      <c r="C266" s="174" t="str">
        <f t="shared" si="31"/>
        <v/>
      </c>
      <c r="D266" s="174" t="str">
        <f t="shared" si="31"/>
        <v/>
      </c>
      <c r="E266" s="174" t="str">
        <f t="shared" si="31"/>
        <v/>
      </c>
      <c r="F266" s="174" t="str">
        <f t="shared" si="31"/>
        <v/>
      </c>
      <c r="G266" s="174" t="str">
        <f t="shared" si="31"/>
        <v/>
      </c>
      <c r="H266" s="174" t="str">
        <f t="shared" si="31"/>
        <v/>
      </c>
      <c r="I266" s="174" t="str">
        <f t="shared" si="31"/>
        <v/>
      </c>
      <c r="J266" s="174" t="str">
        <f t="shared" si="31"/>
        <v/>
      </c>
      <c r="K266" s="174" t="str">
        <f t="shared" si="31"/>
        <v/>
      </c>
      <c r="L266" s="174" t="str">
        <f t="shared" si="31"/>
        <v/>
      </c>
      <c r="M266" s="174" t="str">
        <f t="shared" si="31"/>
        <v/>
      </c>
      <c r="N266" s="174" t="str">
        <f t="shared" si="31"/>
        <v/>
      </c>
      <c r="O266" s="174" t="str">
        <f t="shared" si="31"/>
        <v/>
      </c>
      <c r="P266" s="174" t="str">
        <f t="shared" si="31"/>
        <v/>
      </c>
      <c r="Q266" s="174" t="str">
        <f t="shared" si="31"/>
        <v/>
      </c>
      <c r="R266" s="174" t="str">
        <f t="shared" si="31"/>
        <v/>
      </c>
      <c r="S266" s="174" t="str">
        <f t="shared" si="31"/>
        <v/>
      </c>
      <c r="T266" s="174" t="str">
        <f t="shared" si="31"/>
        <v/>
      </c>
      <c r="U266" s="174" t="str">
        <f t="shared" si="31"/>
        <v/>
      </c>
      <c r="V266" s="174" t="str">
        <f t="shared" si="31"/>
        <v/>
      </c>
      <c r="W266" s="174" t="str">
        <f t="shared" si="31"/>
        <v/>
      </c>
      <c r="X266" s="174" t="str">
        <f t="shared" si="31"/>
        <v/>
      </c>
      <c r="Y266" s="174" t="str">
        <f t="shared" si="31"/>
        <v/>
      </c>
      <c r="Z266" s="174" t="str">
        <f t="shared" si="31"/>
        <v/>
      </c>
      <c r="AA266" s="174" t="str">
        <f t="shared" si="31"/>
        <v/>
      </c>
      <c r="AB266" s="174" t="str">
        <f t="shared" si="31"/>
        <v/>
      </c>
      <c r="AC266" s="174" t="str">
        <f t="shared" si="31"/>
        <v/>
      </c>
      <c r="AD266" s="174" t="str">
        <f t="shared" si="31"/>
        <v/>
      </c>
      <c r="AE266" s="174" t="str">
        <f t="shared" si="31"/>
        <v/>
      </c>
      <c r="AF266" s="174" t="str">
        <f t="shared" si="31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32">IF(B234&lt;100,"",B234-1500)</f>
        <v/>
      </c>
      <c r="C267" s="174" t="str">
        <f t="shared" si="32"/>
        <v/>
      </c>
      <c r="D267" s="174" t="str">
        <f t="shared" si="32"/>
        <v/>
      </c>
      <c r="E267" s="174" t="str">
        <f t="shared" si="32"/>
        <v/>
      </c>
      <c r="F267" s="174" t="str">
        <f t="shared" si="32"/>
        <v/>
      </c>
      <c r="G267" s="174" t="str">
        <f t="shared" si="32"/>
        <v/>
      </c>
      <c r="H267" s="174" t="str">
        <f t="shared" si="32"/>
        <v/>
      </c>
      <c r="I267" s="174" t="str">
        <f t="shared" si="32"/>
        <v/>
      </c>
      <c r="J267" s="174" t="str">
        <f t="shared" si="32"/>
        <v/>
      </c>
      <c r="K267" s="174" t="str">
        <f t="shared" si="32"/>
        <v/>
      </c>
      <c r="L267" s="174" t="str">
        <f t="shared" si="32"/>
        <v/>
      </c>
      <c r="M267" s="174" t="str">
        <f t="shared" si="32"/>
        <v/>
      </c>
      <c r="N267" s="174" t="str">
        <f t="shared" si="32"/>
        <v/>
      </c>
      <c r="O267" s="174" t="str">
        <f t="shared" si="32"/>
        <v/>
      </c>
      <c r="P267" s="174" t="str">
        <f t="shared" si="32"/>
        <v/>
      </c>
      <c r="Q267" s="174" t="str">
        <f t="shared" si="32"/>
        <v/>
      </c>
      <c r="R267" s="174" t="str">
        <f t="shared" si="32"/>
        <v/>
      </c>
      <c r="S267" s="174" t="str">
        <f t="shared" si="32"/>
        <v/>
      </c>
      <c r="T267" s="174" t="str">
        <f t="shared" si="32"/>
        <v/>
      </c>
      <c r="U267" s="174" t="str">
        <f t="shared" si="32"/>
        <v/>
      </c>
      <c r="V267" s="174" t="str">
        <f t="shared" si="32"/>
        <v/>
      </c>
      <c r="W267" s="174" t="str">
        <f t="shared" si="32"/>
        <v/>
      </c>
      <c r="X267" s="174" t="str">
        <f t="shared" si="32"/>
        <v/>
      </c>
      <c r="Y267" s="174" t="str">
        <f t="shared" si="32"/>
        <v/>
      </c>
      <c r="Z267" s="174" t="str">
        <f t="shared" si="32"/>
        <v/>
      </c>
      <c r="AA267" s="174" t="str">
        <f t="shared" si="32"/>
        <v/>
      </c>
      <c r="AB267" s="174" t="str">
        <f t="shared" si="32"/>
        <v/>
      </c>
      <c r="AC267" s="174" t="str">
        <f t="shared" si="32"/>
        <v/>
      </c>
      <c r="AD267" s="174" t="str">
        <f t="shared" si="32"/>
        <v/>
      </c>
      <c r="AE267" s="174" t="str">
        <f t="shared" si="32"/>
        <v/>
      </c>
      <c r="AF267" s="174" t="str">
        <f t="shared" si="32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5:AF105 D107:AF112 Y11:AF41">
    <cfRule type="expression" dxfId="4274" priority="234">
      <formula>B$9&gt;=20/24</formula>
    </cfRule>
    <cfRule type="expression" dxfId="4273" priority="235">
      <formula>AND(B$9&gt;=14/24,B$9&lt;20/24)</formula>
    </cfRule>
    <cfRule type="expression" dxfId="4272" priority="236">
      <formula>AND(B$9&gt;=8/24,B$9&lt;14/24)</formula>
    </cfRule>
    <cfRule type="expression" dxfId="4271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G61 Y11:AF41">
    <cfRule type="expression" dxfId="4270" priority="232">
      <formula>Y11&gt;$AG11</formula>
    </cfRule>
  </conditionalFormatting>
  <conditionalFormatting sqref="A95:A105 A55:A82 A91:A93 A198:A228 A42:A53 A114:A185 A38:A39 A87:A89 A84:A85 A107:A109 A35:A36 A17:A18 A11:A15 A20:A33">
    <cfRule type="expression" dxfId="4269" priority="231">
      <formula>$AH11=0</formula>
    </cfRule>
  </conditionalFormatting>
  <conditionalFormatting sqref="A110">
    <cfRule type="expression" dxfId="4268" priority="230">
      <formula>$AH110=0</formula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4267" priority="228">
      <formula>$AH41=0</formula>
    </cfRule>
  </conditionalFormatting>
  <conditionalFormatting sqref="A94">
    <cfRule type="expression" dxfId="4266" priority="227">
      <formula>$AH94=0</formula>
    </cfRule>
  </conditionalFormatting>
  <conditionalFormatting sqref="A16">
    <cfRule type="expression" dxfId="4265" priority="226">
      <formula>$AH16=0</formula>
    </cfRule>
  </conditionalFormatting>
  <conditionalFormatting sqref="A192:A197">
    <cfRule type="expression" dxfId="4264" priority="225">
      <formula>$AH192=0</formula>
    </cfRule>
  </conditionalFormatting>
  <conditionalFormatting sqref="A186:A191">
    <cfRule type="expression" dxfId="4263" priority="224">
      <formula>$AH186=0</formula>
    </cfRule>
  </conditionalFormatting>
  <conditionalFormatting sqref="A54">
    <cfRule type="expression" dxfId="4262" priority="223">
      <formula>$AH54=0</formula>
    </cfRule>
  </conditionalFormatting>
  <conditionalFormatting sqref="A90">
    <cfRule type="expression" dxfId="4261" priority="222">
      <formula>$AH90=0</formula>
    </cfRule>
  </conditionalFormatting>
  <conditionalFormatting sqref="E95:X95 AD95:AF95">
    <cfRule type="expression" dxfId="4260" priority="218">
      <formula>E$9&gt;=20/24</formula>
    </cfRule>
    <cfRule type="expression" dxfId="4259" priority="219">
      <formula>AND(E$9&gt;=14/24,E$9&lt;20/24)</formula>
    </cfRule>
    <cfRule type="expression" dxfId="4258" priority="220">
      <formula>AND(E$9&gt;=8/24,E$9&lt;14/24)</formula>
    </cfRule>
    <cfRule type="expression" dxfId="4257" priority="221">
      <formula>E$9&lt;8/24</formula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256" priority="240">
      <formula>C$9&gt;=20/24</formula>
    </cfRule>
    <cfRule type="expression" dxfId="4255" priority="241">
      <formula>AND(C$9&gt;=14/24,C$9&lt;20/24)</formula>
    </cfRule>
    <cfRule type="expression" dxfId="4254" priority="242">
      <formula>AND(C$9&gt;=8/24,C$9&lt;14/24)</formula>
    </cfRule>
    <cfRule type="expression" dxfId="4253" priority="243">
      <formula>C$9&lt;8/24</formula>
    </cfRule>
  </conditionalFormatting>
  <conditionalFormatting sqref="A229">
    <cfRule type="expression" dxfId="4252" priority="244">
      <formula>$AH229=0</formula>
    </cfRule>
  </conditionalFormatting>
  <conditionalFormatting sqref="AG241">
    <cfRule type="expression" dxfId="4251" priority="245">
      <formula>B$9&gt;=20/24</formula>
    </cfRule>
    <cfRule type="expression" dxfId="4250" priority="246">
      <formula>AND(B$9&gt;=14/24,B$9&lt;20/24)</formula>
    </cfRule>
    <cfRule type="expression" dxfId="4249" priority="247">
      <formula>AND(B$9&gt;=8/24,B$9&lt;14/24)</formula>
    </cfRule>
    <cfRule type="expression" dxfId="4248" priority="248">
      <formula>B$9&lt;8/24</formula>
    </cfRule>
  </conditionalFormatting>
  <conditionalFormatting sqref="S8">
    <cfRule type="expression" dxfId="4247" priority="213">
      <formula>U$9&gt;=20/24</formula>
    </cfRule>
    <cfRule type="expression" dxfId="4246" priority="214">
      <formula>AND(U$9&gt;=14/24,U$9&lt;20/24)</formula>
    </cfRule>
    <cfRule type="expression" dxfId="4245" priority="215">
      <formula>AND(U$9&gt;=8/24,U$9&lt;14/24)</formula>
    </cfRule>
    <cfRule type="expression" dxfId="4244" priority="216">
      <formula>U$9&lt;8/24</formula>
    </cfRule>
  </conditionalFormatting>
  <conditionalFormatting sqref="AB8">
    <cfRule type="expression" dxfId="4243" priority="209">
      <formula>AD$9&gt;=20/24</formula>
    </cfRule>
    <cfRule type="expression" dxfId="4242" priority="210">
      <formula>AND(AD$9&gt;=14/24,AD$9&lt;20/24)</formula>
    </cfRule>
    <cfRule type="expression" dxfId="4241" priority="211">
      <formula>AND(AD$9&gt;=8/24,AD$9&lt;14/24)</formula>
    </cfRule>
    <cfRule type="expression" dxfId="4240" priority="212">
      <formula>AD$9&lt;8/24</formula>
    </cfRule>
  </conditionalFormatting>
  <conditionalFormatting sqref="AH241:AX241">
    <cfRule type="expression" dxfId="4239" priority="249">
      <formula>AG$9&gt;=20/24</formula>
    </cfRule>
    <cfRule type="expression" dxfId="4238" priority="250">
      <formula>AND(AG$9&gt;=14/24,AG$9&lt;20/24)</formula>
    </cfRule>
    <cfRule type="expression" dxfId="4237" priority="251">
      <formula>AND(AG$9&gt;=8/24,AG$9&lt;14/24)</formula>
    </cfRule>
    <cfRule type="expression" dxfId="4236" priority="252">
      <formula>AG$9&lt;8/24</formula>
    </cfRule>
  </conditionalFormatting>
  <conditionalFormatting sqref="T241">
    <cfRule type="expression" dxfId="4235" priority="253">
      <formula>AX$9&gt;=20/24</formula>
    </cfRule>
    <cfRule type="expression" dxfId="4234" priority="254">
      <formula>AND(AX$9&gt;=14/24,AX$9&lt;20/24)</formula>
    </cfRule>
    <cfRule type="expression" dxfId="4233" priority="255">
      <formula>AND(AX$9&gt;=8/24,AX$9&lt;14/24)</formula>
    </cfRule>
    <cfRule type="expression" dxfId="4232" priority="256">
      <formula>AX$9&lt;8/24</formula>
    </cfRule>
  </conditionalFormatting>
  <conditionalFormatting sqref="A111:A112">
    <cfRule type="expression" dxfId="4231" priority="208">
      <formula>$AH111=0</formula>
    </cfRule>
  </conditionalFormatting>
  <conditionalFormatting sqref="M50:Q53 AC50:AF51 E67:AF67 Y52:AF53">
    <cfRule type="expression" dxfId="4230" priority="204">
      <formula>E$9&gt;=20/24</formula>
    </cfRule>
    <cfRule type="expression" dxfId="4229" priority="205">
      <formula>AND(E$9&gt;=14/24,E$9&lt;20/24)</formula>
    </cfRule>
    <cfRule type="expression" dxfId="4228" priority="206">
      <formula>AND(E$9&gt;=8/24,E$9&lt;14/24)</formula>
    </cfRule>
    <cfRule type="expression" dxfId="4227" priority="207">
      <formula>E$9&lt;8/24</formula>
    </cfRule>
  </conditionalFormatting>
  <conditionalFormatting sqref="AC49:AF49 M49:Q49">
    <cfRule type="expression" dxfId="4226" priority="200">
      <formula>M$9&gt;=20/24</formula>
    </cfRule>
    <cfRule type="expression" dxfId="4225" priority="201">
      <formula>AND(M$9&gt;=14/24,M$9&lt;20/24)</formula>
    </cfRule>
    <cfRule type="expression" dxfId="4224" priority="202">
      <formula>AND(M$9&gt;=8/24,M$9&lt;14/24)</formula>
    </cfRule>
    <cfRule type="expression" dxfId="4223" priority="203">
      <formula>M$9&lt;8/24</formula>
    </cfRule>
  </conditionalFormatting>
  <conditionalFormatting sqref="M49:Q53 AC49:AF51 Y52:AF53">
    <cfRule type="expression" dxfId="4222" priority="199">
      <formula>M49&gt;$AG49</formula>
    </cfRule>
  </conditionalFormatting>
  <conditionalFormatting sqref="M96:X102 X43:AF43 X92:AF92 AD96:AF102 D82:AF82 E68:X69 Y68:AF70 Y63:AF65">
    <cfRule type="expression" dxfId="4221" priority="195">
      <formula>D$9&gt;=20/24</formula>
    </cfRule>
    <cfRule type="expression" dxfId="4220" priority="196">
      <formula>AND(D$9&gt;=14/24,D$9&lt;20/24)</formula>
    </cfRule>
    <cfRule type="expression" dxfId="4219" priority="197">
      <formula>AND(D$9&gt;=8/24,D$9&lt;14/24)</formula>
    </cfRule>
    <cfRule type="expression" dxfId="4218" priority="198">
      <formula>D$9&lt;8/24</formula>
    </cfRule>
  </conditionalFormatting>
  <conditionalFormatting sqref="X43:AF43 Y63:AF65">
    <cfRule type="expression" dxfId="4217" priority="194">
      <formula>X43&gt;$AG43</formula>
    </cfRule>
  </conditionalFormatting>
  <conditionalFormatting sqref="R49:X54 Y49:AB51">
    <cfRule type="expression" dxfId="4216" priority="190">
      <formula>R$9&gt;=20/24</formula>
    </cfRule>
    <cfRule type="expression" dxfId="4215" priority="191">
      <formula>AND(R$9&gt;=14/24,R$9&lt;20/24)</formula>
    </cfRule>
    <cfRule type="expression" dxfId="4214" priority="192">
      <formula>AND(R$9&gt;=8/24,R$9&lt;14/24)</formula>
    </cfRule>
    <cfRule type="expression" dxfId="4213" priority="193">
      <formula>R$9&lt;8/24</formula>
    </cfRule>
  </conditionalFormatting>
  <conditionalFormatting sqref="R49:X54 Y49:AB51">
    <cfRule type="expression" dxfId="4212" priority="189">
      <formula>R49&gt;$AG49</formula>
    </cfRule>
  </conditionalFormatting>
  <conditionalFormatting sqref="C93:AF93 C84:AF84">
    <cfRule type="expression" dxfId="4211" priority="185">
      <formula>C$9&gt;=20/24</formula>
    </cfRule>
    <cfRule type="expression" dxfId="4210" priority="186">
      <formula>AND(C$9&gt;=14/24,C$9&lt;20/24)</formula>
    </cfRule>
    <cfRule type="expression" dxfId="4209" priority="187">
      <formula>AND(C$9&gt;=8/24,C$9&lt;14/24)</formula>
    </cfRule>
    <cfRule type="expression" dxfId="4208" priority="188">
      <formula>C$9&lt;8/24</formula>
    </cfRule>
  </conditionalFormatting>
  <conditionalFormatting sqref="T43:W43">
    <cfRule type="expression" dxfId="4207" priority="181">
      <formula>T$9&gt;=20/24</formula>
    </cfRule>
    <cfRule type="expression" dxfId="4206" priority="182">
      <formula>AND(T$9&gt;=14/24,T$9&lt;20/24)</formula>
    </cfRule>
    <cfRule type="expression" dxfId="4205" priority="183">
      <formula>AND(T$9&gt;=8/24,T$9&lt;14/24)</formula>
    </cfRule>
    <cfRule type="expression" dxfId="4204" priority="184">
      <formula>T$9&lt;8/24</formula>
    </cfRule>
  </conditionalFormatting>
  <conditionalFormatting sqref="T43:W43">
    <cfRule type="expression" dxfId="4203" priority="180">
      <formula>T43&gt;$AG43</formula>
    </cfRule>
  </conditionalFormatting>
  <conditionalFormatting sqref="E50:L51 Y42:AF42">
    <cfRule type="expression" dxfId="4202" priority="176">
      <formula>E$9&gt;=20/24</formula>
    </cfRule>
    <cfRule type="expression" dxfId="4201" priority="177">
      <formula>AND(E$9&gt;=14/24,E$9&lt;20/24)</formula>
    </cfRule>
    <cfRule type="expression" dxfId="4200" priority="178">
      <formula>AND(E$9&gt;=8/24,E$9&lt;14/24)</formula>
    </cfRule>
    <cfRule type="expression" dxfId="4199" priority="179">
      <formula>E$9&lt;8/24</formula>
    </cfRule>
  </conditionalFormatting>
  <conditionalFormatting sqref="E49:L49">
    <cfRule type="expression" dxfId="4198" priority="172">
      <formula>E$9&gt;=20/24</formula>
    </cfRule>
    <cfRule type="expression" dxfId="4197" priority="173">
      <formula>AND(E$9&gt;=14/24,E$9&lt;20/24)</formula>
    </cfRule>
    <cfRule type="expression" dxfId="4196" priority="174">
      <formula>AND(E$9&gt;=8/24,E$9&lt;14/24)</formula>
    </cfRule>
    <cfRule type="expression" dxfId="4195" priority="175">
      <formula>E$9&lt;8/24</formula>
    </cfRule>
  </conditionalFormatting>
  <conditionalFormatting sqref="E49:L51 Y42:AF42">
    <cfRule type="expression" dxfId="4194" priority="171">
      <formula>E42&gt;$AG42</formula>
    </cfRule>
  </conditionalFormatting>
  <conditionalFormatting sqref="AG66 AG83 E96:L102 S63:X65">
    <cfRule type="expression" dxfId="4193" priority="167">
      <formula>E$9&gt;=20/24</formula>
    </cfRule>
    <cfRule type="expression" dxfId="4192" priority="168">
      <formula>AND(E$9&gt;=14/24,E$9&lt;20/24)</formula>
    </cfRule>
    <cfRule type="expression" dxfId="4191" priority="169">
      <formula>AND(E$9&gt;=8/24,E$9&lt;14/24)</formula>
    </cfRule>
    <cfRule type="expression" dxfId="4190" priority="170">
      <formula>E$9&lt;8/24</formula>
    </cfRule>
  </conditionalFormatting>
  <conditionalFormatting sqref="AG44 AG62 AG66 S63:X65">
    <cfRule type="expression" dxfId="4189" priority="166">
      <formula>S44&gt;$AG44</formula>
    </cfRule>
  </conditionalFormatting>
  <conditionalFormatting sqref="Y54:AF54">
    <cfRule type="expression" dxfId="4188" priority="162">
      <formula>Y$9&gt;=20/24</formula>
    </cfRule>
    <cfRule type="expression" dxfId="4187" priority="163">
      <formula>AND(Y$9&gt;=14/24,Y$9&lt;20/24)</formula>
    </cfRule>
    <cfRule type="expression" dxfId="4186" priority="164">
      <formula>AND(Y$9&gt;=8/24,Y$9&lt;14/24)</formula>
    </cfRule>
    <cfRule type="expression" dxfId="4185" priority="165">
      <formula>Y$9&lt;8/24</formula>
    </cfRule>
  </conditionalFormatting>
  <conditionalFormatting sqref="Y54:AF54">
    <cfRule type="expression" dxfId="4184" priority="161">
      <formula>Y54&gt;$AG54</formula>
    </cfRule>
  </conditionalFormatting>
  <conditionalFormatting sqref="A40">
    <cfRule type="expression" dxfId="4183" priority="160">
      <formula>$AH40=0</formula>
    </cfRule>
  </conditionalFormatting>
  <conditionalFormatting sqref="X87:AF91">
    <cfRule type="expression" dxfId="4182" priority="156">
      <formula>X$9&gt;=20/24</formula>
    </cfRule>
    <cfRule type="expression" dxfId="4181" priority="157">
      <formula>AND(X$9&gt;=14/24,X$9&lt;20/24)</formula>
    </cfRule>
    <cfRule type="expression" dxfId="4180" priority="158">
      <formula>AND(X$9&gt;=8/24,X$9&lt;14/24)</formula>
    </cfRule>
    <cfRule type="expression" dxfId="4179" priority="159">
      <formula>X$9&lt;8/24</formula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E45:AF47">
    <cfRule type="expression" dxfId="4178" priority="152">
      <formula>E$9&gt;=20/24</formula>
    </cfRule>
    <cfRule type="expression" dxfId="4177" priority="153">
      <formula>AND(E$9&gt;=14/24,E$9&lt;20/24)</formula>
    </cfRule>
    <cfRule type="expression" dxfId="4176" priority="154">
      <formula>AND(E$9&gt;=8/24,E$9&lt;14/24)</formula>
    </cfRule>
    <cfRule type="expression" dxfId="4175" priority="155">
      <formula>E$9&lt;8/24</formula>
    </cfRule>
  </conditionalFormatting>
  <conditionalFormatting sqref="E45:AF47">
    <cfRule type="expression" dxfId="4174" priority="151">
      <formula>E45&gt;$AG45</formula>
    </cfRule>
  </conditionalFormatting>
  <conditionalFormatting sqref="AG48">
    <cfRule type="expression" dxfId="4173" priority="147">
      <formula>AG$9&gt;=20/24</formula>
    </cfRule>
    <cfRule type="expression" dxfId="4172" priority="148">
      <formula>AND(AG$9&gt;=14/24,AG$9&lt;20/24)</formula>
    </cfRule>
    <cfRule type="expression" dxfId="4171" priority="149">
      <formula>AND(AG$9&gt;=8/24,AG$9&lt;14/24)</formula>
    </cfRule>
    <cfRule type="expression" dxfId="4170" priority="150">
      <formula>AG$9&lt;8/24</formula>
    </cfRule>
  </conditionalFormatting>
  <conditionalFormatting sqref="AG48">
    <cfRule type="expression" dxfId="4169" priority="146">
      <formula>AG48&gt;$AG48</formula>
    </cfRule>
  </conditionalFormatting>
  <conditionalFormatting sqref="C103:AF103">
    <cfRule type="expression" dxfId="4168" priority="142">
      <formula>C$9&gt;=20/24</formula>
    </cfRule>
    <cfRule type="expression" dxfId="4167" priority="143">
      <formula>AND(C$9&gt;=14/24,C$9&lt;20/24)</formula>
    </cfRule>
    <cfRule type="expression" dxfId="4166" priority="144">
      <formula>AND(C$9&gt;=8/24,C$9&lt;14/24)</formula>
    </cfRule>
    <cfRule type="expression" dxfId="4165" priority="145">
      <formula>C$9&lt;8/24</formula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4164" priority="140">
      <formula>$AH37=0</formula>
    </cfRule>
  </conditionalFormatting>
  <conditionalFormatting sqref="A86">
    <cfRule type="expression" dxfId="4163" priority="138">
      <formula>$AH86=0</formula>
    </cfRule>
  </conditionalFormatting>
  <conditionalFormatting sqref="A83">
    <cfRule type="expression" dxfId="4162" priority="139">
      <formula>$AH83=0</formula>
    </cfRule>
  </conditionalFormatting>
  <conditionalFormatting sqref="A113">
    <cfRule type="expression" dxfId="4161" priority="129">
      <formula>$AH113=0</formula>
    </cfRule>
  </conditionalFormatting>
  <conditionalFormatting sqref="D106:AF106">
    <cfRule type="expression" dxfId="4160" priority="125">
      <formula>D$9&gt;=20/24</formula>
    </cfRule>
    <cfRule type="expression" dxfId="4159" priority="126">
      <formula>AND(D$9&gt;=14/24,D$9&lt;20/24)</formula>
    </cfRule>
    <cfRule type="expression" dxfId="4158" priority="127">
      <formula>AND(D$9&gt;=8/24,D$9&lt;14/24)</formula>
    </cfRule>
    <cfRule type="expression" dxfId="4157" priority="128">
      <formula>D$9&lt;8/24</formula>
    </cfRule>
  </conditionalFormatting>
  <conditionalFormatting sqref="A106">
    <cfRule type="expression" dxfId="4156" priority="124">
      <formula>$AH106=0</formula>
    </cfRule>
  </conditionalFormatting>
  <conditionalFormatting sqref="A19">
    <cfRule type="expression" dxfId="4155" priority="122">
      <formula>$AH19=0</formula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4154" priority="120">
      <formula>$AH34=0</formula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4153" priority="116">
      <formula>Y$9&gt;=20/24</formula>
    </cfRule>
    <cfRule type="expression" dxfId="4152" priority="117">
      <formula>AND(Y$9&gt;=14/24,Y$9&lt;20/24)</formula>
    </cfRule>
    <cfRule type="expression" dxfId="4151" priority="118">
      <formula>AND(Y$9&gt;=8/24,Y$9&lt;14/24)</formula>
    </cfRule>
    <cfRule type="expression" dxfId="4150" priority="119">
      <formula>Y$9&lt;8/24</formula>
    </cfRule>
  </conditionalFormatting>
  <conditionalFormatting sqref="Y96:AC102">
    <cfRule type="expression" dxfId="4149" priority="112">
      <formula>Y$9&gt;=20/24</formula>
    </cfRule>
    <cfRule type="expression" dxfId="4148" priority="113">
      <formula>AND(Y$9&gt;=14/24,Y$9&lt;20/24)</formula>
    </cfRule>
    <cfRule type="expression" dxfId="4147" priority="114">
      <formula>AND(Y$9&gt;=8/24,Y$9&lt;14/24)</formula>
    </cfRule>
    <cfRule type="expression" dxfId="4146" priority="115">
      <formula>Y$9&lt;8/24</formula>
    </cfRule>
  </conditionalFormatting>
  <conditionalFormatting sqref="B105:C105 B107:C112 B15:X40">
    <cfRule type="expression" dxfId="4145" priority="108">
      <formula>B$9&gt;=20/24</formula>
    </cfRule>
    <cfRule type="expression" dxfId="4144" priority="109">
      <formula>AND(B$9&gt;=14/24,B$9&lt;20/24)</formula>
    </cfRule>
    <cfRule type="expression" dxfId="4143" priority="110">
      <formula>AND(B$9&gt;=8/24,B$9&lt;14/24)</formula>
    </cfRule>
    <cfRule type="expression" dxfId="4142" priority="111">
      <formula>B$9&lt;8/24</formula>
    </cfRule>
  </conditionalFormatting>
  <conditionalFormatting sqref="B43:S43">
    <cfRule type="expression" dxfId="4141" priority="104">
      <formula>B$9&gt;=20/24</formula>
    </cfRule>
    <cfRule type="expression" dxfId="4140" priority="105">
      <formula>AND(B$9&gt;=14/24,B$9&lt;20/24)</formula>
    </cfRule>
    <cfRule type="expression" dxfId="4139" priority="106">
      <formula>AND(B$9&gt;=8/24,B$9&lt;14/24)</formula>
    </cfRule>
    <cfRule type="expression" dxfId="4138" priority="107">
      <formula>B$9&lt;8/24</formula>
    </cfRule>
  </conditionalFormatting>
  <conditionalFormatting sqref="B43:S43 B15:X40">
    <cfRule type="expression" dxfId="4137" priority="103">
      <formula>B15&gt;$AG15</formula>
    </cfRule>
  </conditionalFormatting>
  <conditionalFormatting sqref="B95:D95">
    <cfRule type="expression" dxfId="4136" priority="99">
      <formula>B$9&gt;=20/24</formula>
    </cfRule>
    <cfRule type="expression" dxfId="4135" priority="100">
      <formula>AND(B$9&gt;=14/24,B$9&lt;20/24)</formula>
    </cfRule>
    <cfRule type="expression" dxfId="4134" priority="101">
      <formula>AND(B$9&gt;=8/24,B$9&lt;14/24)</formula>
    </cfRule>
    <cfRule type="expression" dxfId="4133" priority="102">
      <formula>B$9&lt;8/24</formula>
    </cfRule>
  </conditionalFormatting>
  <conditionalFormatting sqref="B50:D51 B67:D67">
    <cfRule type="expression" dxfId="4132" priority="95">
      <formula>B$9&gt;=20/24</formula>
    </cfRule>
    <cfRule type="expression" dxfId="4131" priority="96">
      <formula>AND(B$9&gt;=14/24,B$9&lt;20/24)</formula>
    </cfRule>
    <cfRule type="expression" dxfId="4130" priority="97">
      <formula>AND(B$9&gt;=8/24,B$9&lt;14/24)</formula>
    </cfRule>
    <cfRule type="expression" dxfId="4129" priority="98">
      <formula>B$9&lt;8/24</formula>
    </cfRule>
  </conditionalFormatting>
  <conditionalFormatting sqref="B49:D49">
    <cfRule type="expression" dxfId="4128" priority="91">
      <formula>B$9&gt;=20/24</formula>
    </cfRule>
    <cfRule type="expression" dxfId="4127" priority="92">
      <formula>AND(B$9&gt;=14/24,B$9&lt;20/24)</formula>
    </cfRule>
    <cfRule type="expression" dxfId="4126" priority="93">
      <formula>AND(B$9&gt;=8/24,B$9&lt;14/24)</formula>
    </cfRule>
    <cfRule type="expression" dxfId="4125" priority="94">
      <formula>B$9&lt;8/24</formula>
    </cfRule>
  </conditionalFormatting>
  <conditionalFormatting sqref="B49:D51">
    <cfRule type="expression" dxfId="4124" priority="90">
      <formula>B49&gt;$AG49</formula>
    </cfRule>
  </conditionalFormatting>
  <conditionalFormatting sqref="B82:C82 B96:D102 B92:W92 B68:D72 B79:AF81 B63:R65 E70:X72 Y71:AF72">
    <cfRule type="expression" dxfId="4123" priority="86">
      <formula>B$9&gt;=20/24</formula>
    </cfRule>
    <cfRule type="expression" dxfId="4122" priority="87">
      <formula>AND(B$9&gt;=14/24,B$9&lt;20/24)</formula>
    </cfRule>
    <cfRule type="expression" dxfId="4121" priority="88">
      <formula>AND(B$9&gt;=8/24,B$9&lt;14/24)</formula>
    </cfRule>
    <cfRule type="expression" dxfId="4120" priority="89">
      <formula>B$9&lt;8/24</formula>
    </cfRule>
  </conditionalFormatting>
  <conditionalFormatting sqref="B52:L53 B63:R65">
    <cfRule type="expression" dxfId="4119" priority="85">
      <formula>B52&gt;$AG52</formula>
    </cfRule>
  </conditionalFormatting>
  <conditionalFormatting sqref="B54:Q54">
    <cfRule type="expression" dxfId="4118" priority="81">
      <formula>B$9&gt;=20/24</formula>
    </cfRule>
    <cfRule type="expression" dxfId="4117" priority="82">
      <formula>AND(B$9&gt;=14/24,B$9&lt;20/24)</formula>
    </cfRule>
    <cfRule type="expression" dxfId="4116" priority="83">
      <formula>AND(B$9&gt;=8/24,B$9&lt;14/24)</formula>
    </cfRule>
    <cfRule type="expression" dxfId="4115" priority="84">
      <formula>B$9&lt;8/24</formula>
    </cfRule>
  </conditionalFormatting>
  <conditionalFormatting sqref="B54:Q54">
    <cfRule type="expression" dxfId="4114" priority="80">
      <formula>B54&gt;$AG54</formula>
    </cfRule>
  </conditionalFormatting>
  <conditionalFormatting sqref="B84 B93">
    <cfRule type="expression" dxfId="4113" priority="76">
      <formula>B$9&gt;=20/24</formula>
    </cfRule>
    <cfRule type="expression" dxfId="4112" priority="77">
      <formula>AND(B$9&gt;=14/24,B$9&lt;20/24)</formula>
    </cfRule>
    <cfRule type="expression" dxfId="4111" priority="78">
      <formula>AND(B$9&gt;=8/24,B$9&lt;14/24)</formula>
    </cfRule>
    <cfRule type="expression" dxfId="4110" priority="79">
      <formula>B$9&lt;8/24</formula>
    </cfRule>
  </conditionalFormatting>
  <conditionalFormatting sqref="B42:X42">
    <cfRule type="expression" dxfId="4109" priority="72">
      <formula>B$9&gt;=20/24</formula>
    </cfRule>
    <cfRule type="expression" dxfId="4108" priority="73">
      <formula>AND(B$9&gt;=14/24,B$9&lt;20/24)</formula>
    </cfRule>
    <cfRule type="expression" dxfId="4107" priority="74">
      <formula>AND(B$9&gt;=8/24,B$9&lt;14/24)</formula>
    </cfRule>
    <cfRule type="expression" dxfId="4106" priority="75">
      <formula>B$9&lt;8/24</formula>
    </cfRule>
  </conditionalFormatting>
  <conditionalFormatting sqref="B42:X42">
    <cfRule type="expression" dxfId="4105" priority="71">
      <formula>B42&gt;$AG42</formula>
    </cfRule>
  </conditionalFormatting>
  <conditionalFormatting sqref="B94:AF94 B83:AF83 B85:AF85 B66:AF66">
    <cfRule type="expression" dxfId="4104" priority="67">
      <formula>B$9&gt;=20/24</formula>
    </cfRule>
    <cfRule type="expression" dxfId="4103" priority="68">
      <formula>AND(B$9&gt;=14/24,B$9&lt;20/24)</formula>
    </cfRule>
    <cfRule type="expression" dxfId="4102" priority="69">
      <formula>AND(B$9&gt;=8/24,B$9&lt;14/24)</formula>
    </cfRule>
    <cfRule type="expression" dxfId="4101" priority="70">
      <formula>B$9&lt;8/24</formula>
    </cfRule>
  </conditionalFormatting>
  <conditionalFormatting sqref="B44:AF44 B61:AF62 B66:AF66">
    <cfRule type="expression" dxfId="4100" priority="66">
      <formula>B44&gt;$AG44</formula>
    </cfRule>
  </conditionalFormatting>
  <conditionalFormatting sqref="B78:AF78">
    <cfRule type="expression" dxfId="4099" priority="62">
      <formula>B$9&gt;=20/24</formula>
    </cfRule>
    <cfRule type="expression" dxfId="4098" priority="63">
      <formula>AND(B$9&gt;=14/24,B$9&lt;20/24)</formula>
    </cfRule>
    <cfRule type="expression" dxfId="4097" priority="64">
      <formula>AND(B$9&gt;=8/24,B$9&lt;14/24)</formula>
    </cfRule>
    <cfRule type="expression" dxfId="4096" priority="65">
      <formula>B$9&lt;8/24</formula>
    </cfRule>
  </conditionalFormatting>
  <conditionalFormatting sqref="B87:W91">
    <cfRule type="expression" dxfId="4095" priority="58">
      <formula>B$9&gt;=20/24</formula>
    </cfRule>
    <cfRule type="expression" dxfId="4094" priority="59">
      <formula>AND(B$9&gt;=14/24,B$9&lt;20/24)</formula>
    </cfRule>
    <cfRule type="expression" dxfId="4093" priority="60">
      <formula>AND(B$9&gt;=8/24,B$9&lt;14/24)</formula>
    </cfRule>
    <cfRule type="expression" dxfId="4092" priority="61">
      <formula>B$9&lt;8/24</formula>
    </cfRule>
  </conditionalFormatting>
  <conditionalFormatting sqref="B45:D47">
    <cfRule type="expression" dxfId="4091" priority="54">
      <formula>B$9&gt;=20/24</formula>
    </cfRule>
    <cfRule type="expression" dxfId="4090" priority="55">
      <formula>AND(B$9&gt;=14/24,B$9&lt;20/24)</formula>
    </cfRule>
    <cfRule type="expression" dxfId="4089" priority="56">
      <formula>AND(B$9&gt;=8/24,B$9&lt;14/24)</formula>
    </cfRule>
    <cfRule type="expression" dxfId="4088" priority="57">
      <formula>B$9&lt;8/24</formula>
    </cfRule>
  </conditionalFormatting>
  <conditionalFormatting sqref="B45:D47">
    <cfRule type="expression" dxfId="4087" priority="53">
      <formula>B45&gt;$AG45</formula>
    </cfRule>
  </conditionalFormatting>
  <conditionalFormatting sqref="B48:AF48">
    <cfRule type="expression" dxfId="4086" priority="49">
      <formula>B$9&gt;=20/24</formula>
    </cfRule>
    <cfRule type="expression" dxfId="4085" priority="50">
      <formula>AND(B$9&gt;=14/24,B$9&lt;20/24)</formula>
    </cfRule>
    <cfRule type="expression" dxfId="4084" priority="51">
      <formula>AND(B$9&gt;=8/24,B$9&lt;14/24)</formula>
    </cfRule>
    <cfRule type="expression" dxfId="4083" priority="52">
      <formula>B$9&lt;8/24</formula>
    </cfRule>
  </conditionalFormatting>
  <conditionalFormatting sqref="B48:AF48">
    <cfRule type="expression" dxfId="4082" priority="48">
      <formula>B48&gt;$AG48</formula>
    </cfRule>
  </conditionalFormatting>
  <conditionalFormatting sqref="B103">
    <cfRule type="expression" dxfId="4081" priority="44">
      <formula>B$9&gt;=20/24</formula>
    </cfRule>
    <cfRule type="expression" dxfId="4080" priority="45">
      <formula>AND(B$9&gt;=14/24,B$9&lt;20/24)</formula>
    </cfRule>
    <cfRule type="expression" dxfId="4079" priority="46">
      <formula>AND(B$9&gt;=8/24,B$9&lt;14/24)</formula>
    </cfRule>
    <cfRule type="expression" dxfId="4078" priority="47">
      <formula>B$9&lt;8/24</formula>
    </cfRule>
  </conditionalFormatting>
  <conditionalFormatting sqref="B106:C106">
    <cfRule type="expression" dxfId="4077" priority="32">
      <formula>B$9&gt;=20/24</formula>
    </cfRule>
    <cfRule type="expression" dxfId="4076" priority="33">
      <formula>AND(B$9&gt;=14/24,B$9&lt;20/24)</formula>
    </cfRule>
    <cfRule type="expression" dxfId="4075" priority="34">
      <formula>AND(B$9&gt;=8/24,B$9&lt;14/24)</formula>
    </cfRule>
    <cfRule type="expression" dxfId="4074" priority="35">
      <formula>B$9&lt;8/24</formula>
    </cfRule>
  </conditionalFormatting>
  <conditionalFormatting sqref="B55:AF60">
    <cfRule type="expression" dxfId="4073" priority="28">
      <formula>B$9&gt;=20/24</formula>
    </cfRule>
    <cfRule type="expression" dxfId="4072" priority="29">
      <formula>AND(B$9&gt;=14/24,B$9&lt;20/24)</formula>
    </cfRule>
    <cfRule type="expression" dxfId="4071" priority="30">
      <formula>AND(B$9&gt;=8/24,B$9&lt;14/24)</formula>
    </cfRule>
    <cfRule type="expression" dxfId="4070" priority="31">
      <formula>B$9&lt;8/24</formula>
    </cfRule>
  </conditionalFormatting>
  <conditionalFormatting sqref="B55:AF60">
    <cfRule type="expression" dxfId="4069" priority="27">
      <formula>B55&gt;$AG55</formula>
    </cfRule>
  </conditionalFormatting>
  <conditionalFormatting sqref="B41:X41 B12:X14">
    <cfRule type="expression" dxfId="4068" priority="26">
      <formula>B12&gt;$AG12</formula>
    </cfRule>
  </conditionalFormatting>
  <conditionalFormatting sqref="B11:X11">
    <cfRule type="expression" dxfId="4067" priority="22">
      <formula>B$9&gt;=20/24</formula>
    </cfRule>
    <cfRule type="expression" dxfId="4066" priority="23">
      <formula>AND(B$9&gt;=14/24,B$9&lt;20/24)</formula>
    </cfRule>
    <cfRule type="expression" dxfId="4065" priority="24">
      <formula>AND(B$9&gt;=8/24,B$9&lt;14/24)</formula>
    </cfRule>
    <cfRule type="expression" dxfId="4064" priority="25">
      <formula>B$9&lt;8/24</formula>
    </cfRule>
  </conditionalFormatting>
  <conditionalFormatting sqref="B11:X11">
    <cfRule type="expression" dxfId="4063" priority="21">
      <formula>B11&gt;$AG11</formula>
    </cfRule>
  </conditionalFormatting>
  <conditionalFormatting sqref="B12:X14">
    <cfRule type="expression" dxfId="4062" priority="17">
      <formula>B$9&gt;=20/24</formula>
    </cfRule>
    <cfRule type="expression" dxfId="4061" priority="18">
      <formula>AND(B$9&gt;=14/24,B$9&lt;20/24)</formula>
    </cfRule>
    <cfRule type="expression" dxfId="4060" priority="19">
      <formula>AND(B$9&gt;=8/24,B$9&lt;14/24)</formula>
    </cfRule>
    <cfRule type="expression" dxfId="4059" priority="20">
      <formula>B$9&lt;8/24</formula>
    </cfRule>
  </conditionalFormatting>
  <conditionalFormatting sqref="B41:X41">
    <cfRule type="expression" dxfId="4058" priority="13">
      <formula>B$9&gt;=20/24</formula>
    </cfRule>
    <cfRule type="expression" dxfId="4057" priority="14">
      <formula>AND(B$9&gt;=14/24,B$9&lt;20/24)</formula>
    </cfRule>
    <cfRule type="expression" dxfId="4056" priority="15">
      <formula>AND(B$9&gt;=8/24,B$9&lt;14/24)</formula>
    </cfRule>
    <cfRule type="expression" dxfId="4055" priority="16">
      <formula>B$9&lt;8/24</formula>
    </cfRule>
  </conditionalFormatting>
  <conditionalFormatting sqref="B73:AF77">
    <cfRule type="expression" dxfId="4054" priority="9">
      <formula>B$9&gt;=20/24</formula>
    </cfRule>
    <cfRule type="expression" dxfId="4053" priority="10">
      <formula>AND(B$9&gt;=14/24,B$9&lt;20/24)</formula>
    </cfRule>
    <cfRule type="expression" dxfId="4052" priority="11">
      <formula>AND(B$9&gt;=8/24,B$9&lt;14/24)</formula>
    </cfRule>
    <cfRule type="expression" dxfId="4051" priority="12">
      <formula>B$9&lt;8/24</formula>
    </cfRule>
  </conditionalFormatting>
  <conditionalFormatting sqref="AL74:AN74 AL80:AN80 AN75:AN76">
    <cfRule type="expression" dxfId="4050" priority="5">
      <formula>AL$9&gt;=20/24</formula>
    </cfRule>
    <cfRule type="expression" dxfId="4049" priority="6">
      <formula>AND(AL$9&gt;=14/24,AL$9&lt;20/24)</formula>
    </cfRule>
    <cfRule type="expression" dxfId="4048" priority="7">
      <formula>AND(AL$9&gt;=8/24,AL$9&lt;14/24)</formula>
    </cfRule>
    <cfRule type="expression" dxfId="4047" priority="8">
      <formula>AL$9&lt;8/24</formula>
    </cfRule>
  </conditionalFormatting>
  <conditionalFormatting sqref="AN77:AN78">
    <cfRule type="expression" dxfId="4046" priority="1">
      <formula>AN$9&gt;=20/24</formula>
    </cfRule>
    <cfRule type="expression" dxfId="4045" priority="2">
      <formula>AND(AN$9&gt;=14/24,AN$9&lt;20/24)</formula>
    </cfRule>
    <cfRule type="expression" dxfId="4044" priority="3">
      <formula>AND(AN$9&gt;=8/24,AN$9&lt;14/24)</formula>
    </cfRule>
    <cfRule type="expression" dxfId="4043" priority="4">
      <formula>AN$9&lt;8/24</formula>
    </cfRule>
  </conditionalFormatting>
  <conditionalFormatting sqref="AL75:AM79">
    <cfRule type="expression" dxfId="4042" priority="258">
      <formula>AJ$9&gt;=20/24</formula>
    </cfRule>
    <cfRule type="expression" dxfId="4041" priority="259">
      <formula>AND(AJ$9&gt;=14/24,AJ$9&lt;20/24)</formula>
    </cfRule>
    <cfRule type="expression" dxfId="4040" priority="260">
      <formula>AND(AJ$9&gt;=8/24,AJ$9&lt;14/24)</formula>
    </cfRule>
    <cfRule type="expression" dxfId="4039" priority="261">
      <formula>AJ$9&lt;8/24</formula>
    </cfRule>
  </conditionalFormatting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4" id="{D3C11530-FF78-48DD-B431-4C1C2C60AE28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375D19FC-A819-4405-8B20-2FAF485E93B5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622E4FBA-CF85-4510-9270-0A7A21AE6CAA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DD543293-D43C-4A64-BF32-DF843675345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30" id="{440A07F8-797A-45C8-98E0-386BE3E04833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4B37CD28-6106-4A25-BA61-3DCB1C46CB3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7642886A-C2F4-4380-A7C0-0639318D34B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06CF6BC6-A29D-4D91-A509-8B09872BF98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40" id="{3064A7A4-27B4-41B1-94F5-DEBDCB71AC6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574BFB69-0BD4-4392-97F3-60F4D21F5CF5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" id="{AF683841-08B3-400E-A296-A9430146941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" id="{66306356-A77C-45A0-A3EF-843F6A94412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6" id="{B62BC890-2698-46E7-A2FB-EDD06FF41E9E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84AC0FC6-C87F-40F2-B501-26B25E573E77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46916C70-CB22-432A-8DE5-1387A81FB9A3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771D1B86-C07B-431C-830B-F44C755D111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J274"/>
  <sheetViews>
    <sheetView zoomScale="90" zoomScaleNormal="90" workbookViewId="0">
      <pane ySplit="10" topLeftCell="A59" activePane="bottomLeft" state="frozen"/>
      <selection activeCell="U80" sqref="U80"/>
      <selection pane="bottomLeft" activeCell="T70" sqref="T70"/>
    </sheetView>
  </sheetViews>
  <sheetFormatPr defaultRowHeight="15" x14ac:dyDescent="0.25"/>
  <cols>
    <col min="1" max="1" width="35.28515625" style="1" bestFit="1" customWidth="1"/>
    <col min="2" max="2" width="7.4257812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1" width="7.140625" style="1" bestFit="1" customWidth="1"/>
    <col min="12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/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str">
        <f ca="1">"2079/"&amp;"09/"&amp;INT(MID(CELL("filename",D6),FIND("]",CELL("filename",D6))+1,200))</f>
        <v>2079/09/21</v>
      </c>
      <c r="C4" s="771"/>
      <c r="D4" s="771"/>
      <c r="E4" s="772" t="str">
        <f ca="1">"2079/"&amp;"09/"&amp;INT(MID(CELL("filename",G6),FIND("]",CELL("filename",G6))+1,200))</f>
        <v>2079/09/21</v>
      </c>
      <c r="F4" s="772"/>
      <c r="G4" s="772"/>
      <c r="H4" s="772" t="str">
        <f ca="1">TEXT(E4,"dddd")</f>
        <v>Thursday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484</v>
      </c>
      <c r="C5" s="30">
        <f t="shared" si="0"/>
        <v>448</v>
      </c>
      <c r="D5" s="30">
        <f t="shared" si="0"/>
        <v>449</v>
      </c>
      <c r="E5" s="30">
        <f t="shared" si="0"/>
        <v>485</v>
      </c>
      <c r="F5" s="30">
        <f t="shared" si="0"/>
        <v>451</v>
      </c>
      <c r="G5" s="30">
        <f t="shared" si="0"/>
        <v>482.5</v>
      </c>
      <c r="H5" s="30">
        <f t="shared" si="0"/>
        <v>495.2</v>
      </c>
      <c r="I5" s="30">
        <f t="shared" si="0"/>
        <v>471.6</v>
      </c>
      <c r="J5" s="30">
        <f t="shared" si="0"/>
        <v>424.90000000000003</v>
      </c>
      <c r="K5" s="30">
        <f t="shared" si="0"/>
        <v>421.6</v>
      </c>
      <c r="L5" s="30">
        <f t="shared" si="0"/>
        <v>417.4</v>
      </c>
      <c r="M5" s="30">
        <f t="shared" si="0"/>
        <v>421.09999999999997</v>
      </c>
      <c r="N5" s="30">
        <f t="shared" si="0"/>
        <v>445</v>
      </c>
      <c r="O5" s="30">
        <f t="shared" si="0"/>
        <v>431.9</v>
      </c>
      <c r="P5" s="30">
        <f t="shared" si="0"/>
        <v>455.79999999999995</v>
      </c>
      <c r="Q5" s="30">
        <f t="shared" si="0"/>
        <v>449.6</v>
      </c>
      <c r="R5" s="30">
        <f t="shared" si="0"/>
        <v>438.2</v>
      </c>
      <c r="S5" s="30">
        <f t="shared" si="0"/>
        <v>455</v>
      </c>
      <c r="T5" s="30">
        <f t="shared" si="0"/>
        <v>455.7</v>
      </c>
      <c r="U5" s="30">
        <f t="shared" si="0"/>
        <v>450.09999999999997</v>
      </c>
      <c r="V5" s="30">
        <f t="shared" si="0"/>
        <v>429.8</v>
      </c>
      <c r="W5" s="30">
        <f t="shared" si="0"/>
        <v>444.1</v>
      </c>
      <c r="X5" s="30">
        <f t="shared" si="0"/>
        <v>411</v>
      </c>
      <c r="Y5" s="30">
        <f t="shared" si="0"/>
        <v>302</v>
      </c>
      <c r="Z5" s="30">
        <f t="shared" si="0"/>
        <v>294.7</v>
      </c>
      <c r="AA5" s="30">
        <f t="shared" si="0"/>
        <v>385.1</v>
      </c>
      <c r="AB5" s="30">
        <f t="shared" si="0"/>
        <v>395</v>
      </c>
      <c r="AC5" s="30">
        <f t="shared" si="0"/>
        <v>422.1</v>
      </c>
      <c r="AD5" s="30">
        <f t="shared" si="0"/>
        <v>412.2</v>
      </c>
      <c r="AE5" s="30">
        <f t="shared" si="0"/>
        <v>421.40000000000003</v>
      </c>
      <c r="AF5" s="30">
        <f>B78</f>
        <v>469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1356MW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Load=974</v>
      </c>
      <c r="B7" s="35">
        <f t="shared" ref="B7:AF7" si="1">B85</f>
        <v>1065.04</v>
      </c>
      <c r="C7" s="35">
        <f t="shared" si="1"/>
        <v>1080.04</v>
      </c>
      <c r="D7" s="35">
        <f t="shared" si="1"/>
        <v>973.64</v>
      </c>
      <c r="E7" s="35">
        <f t="shared" si="1"/>
        <v>974.64</v>
      </c>
      <c r="F7" s="35">
        <f t="shared" si="1"/>
        <v>1010.64</v>
      </c>
      <c r="G7" s="35">
        <f t="shared" si="1"/>
        <v>1028.1399999999999</v>
      </c>
      <c r="H7" s="35">
        <f t="shared" si="1"/>
        <v>1087.44</v>
      </c>
      <c r="I7" s="35">
        <f t="shared" si="1"/>
        <v>1121.8399999999999</v>
      </c>
      <c r="J7" s="35">
        <f t="shared" si="1"/>
        <v>1244.8400000000001</v>
      </c>
      <c r="K7" s="35">
        <f t="shared" si="1"/>
        <v>1258.1400000000001</v>
      </c>
      <c r="L7" s="35">
        <f t="shared" si="1"/>
        <v>1301.54</v>
      </c>
      <c r="M7" s="35">
        <f t="shared" si="1"/>
        <v>1341.7400000000002</v>
      </c>
      <c r="N7" s="35">
        <f>N85</f>
        <v>1356.34</v>
      </c>
      <c r="O7" s="35">
        <f t="shared" si="1"/>
        <v>1333.94</v>
      </c>
      <c r="P7" s="35">
        <f t="shared" si="1"/>
        <v>1275.54</v>
      </c>
      <c r="Q7" s="35">
        <f t="shared" si="1"/>
        <v>1213.54</v>
      </c>
      <c r="R7" s="35">
        <f t="shared" si="1"/>
        <v>1201.74</v>
      </c>
      <c r="S7" s="35">
        <f t="shared" si="1"/>
        <v>1160.94</v>
      </c>
      <c r="T7" s="35">
        <f t="shared" si="1"/>
        <v>1142.1399999999999</v>
      </c>
      <c r="U7" s="35">
        <f t="shared" si="1"/>
        <v>1147.6399999999999</v>
      </c>
      <c r="V7" s="35">
        <f t="shared" si="1"/>
        <v>1144.54</v>
      </c>
      <c r="W7" s="35">
        <f t="shared" si="1"/>
        <v>1200.9399999999998</v>
      </c>
      <c r="X7" s="35">
        <f t="shared" si="1"/>
        <v>1280.8400000000001</v>
      </c>
      <c r="Y7" s="35">
        <f t="shared" si="1"/>
        <v>1448.5</v>
      </c>
      <c r="Z7" s="35">
        <f t="shared" si="1"/>
        <v>1436.8400000000001</v>
      </c>
      <c r="AA7" s="35">
        <f t="shared" si="1"/>
        <v>1396.14</v>
      </c>
      <c r="AB7" s="35">
        <f t="shared" si="1"/>
        <v>1356.44</v>
      </c>
      <c r="AC7" s="35">
        <f t="shared" si="1"/>
        <v>1249.1399999999999</v>
      </c>
      <c r="AD7" s="35">
        <f t="shared" si="1"/>
        <v>1224.6399999999999</v>
      </c>
      <c r="AE7" s="35">
        <f t="shared" si="1"/>
        <v>1067.54</v>
      </c>
      <c r="AF7" s="35">
        <f t="shared" si="1"/>
        <v>1000.1400000000001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18</v>
      </c>
      <c r="C11" s="45">
        <v>18</v>
      </c>
      <c r="D11" s="45">
        <v>17.600000000000001</v>
      </c>
      <c r="E11" s="45">
        <v>17.600000000000001</v>
      </c>
      <c r="F11" s="45">
        <v>17.600000000000001</v>
      </c>
      <c r="G11" s="45">
        <v>17.5</v>
      </c>
      <c r="H11" s="45">
        <v>16</v>
      </c>
      <c r="I11" s="45">
        <v>16</v>
      </c>
      <c r="J11" s="45">
        <v>16</v>
      </c>
      <c r="K11" s="45">
        <v>16</v>
      </c>
      <c r="L11" s="45">
        <v>16</v>
      </c>
      <c r="M11" s="45">
        <v>17</v>
      </c>
      <c r="N11" s="45">
        <v>17</v>
      </c>
      <c r="O11" s="45">
        <v>17</v>
      </c>
      <c r="P11" s="45">
        <v>17</v>
      </c>
      <c r="Q11" s="45">
        <v>17</v>
      </c>
      <c r="R11" s="45">
        <v>17</v>
      </c>
      <c r="S11" s="45">
        <v>17</v>
      </c>
      <c r="T11" s="45">
        <v>17</v>
      </c>
      <c r="U11" s="45">
        <v>17</v>
      </c>
      <c r="V11" s="45">
        <v>17</v>
      </c>
      <c r="W11" s="45">
        <v>17</v>
      </c>
      <c r="X11" s="45">
        <v>15.3</v>
      </c>
      <c r="Y11" s="45">
        <v>15.3</v>
      </c>
      <c r="Z11" s="45">
        <v>15.3</v>
      </c>
      <c r="AA11" s="45">
        <v>15.3</v>
      </c>
      <c r="AB11" s="45">
        <v>15.3</v>
      </c>
      <c r="AC11" s="45">
        <v>16.399999999999999</v>
      </c>
      <c r="AD11" s="45">
        <v>16.3</v>
      </c>
      <c r="AE11" s="45">
        <v>16.399999999999999</v>
      </c>
      <c r="AF11" s="45">
        <v>17.8</v>
      </c>
      <c r="AG11" s="46">
        <v>52.4</v>
      </c>
      <c r="AH11" s="47">
        <f t="shared" ref="AH11:AH74" si="2">MAX(B11:AF11)</f>
        <v>18</v>
      </c>
      <c r="AI11" s="48">
        <f t="shared" ref="AI11:AI74" si="3">MIN(B11:AF11)</f>
        <v>15.3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32.6</v>
      </c>
      <c r="C12" s="45">
        <v>32.6</v>
      </c>
      <c r="D12" s="45">
        <v>32.6</v>
      </c>
      <c r="E12" s="45">
        <v>32.6</v>
      </c>
      <c r="F12" s="45">
        <v>32.6</v>
      </c>
      <c r="G12" s="45">
        <v>32.6</v>
      </c>
      <c r="H12" s="45">
        <v>32.6</v>
      </c>
      <c r="I12" s="45">
        <v>32.6</v>
      </c>
      <c r="J12" s="45">
        <v>32.6</v>
      </c>
      <c r="K12" s="45">
        <v>32.6</v>
      </c>
      <c r="L12" s="45">
        <v>32.6</v>
      </c>
      <c r="M12" s="45">
        <v>35</v>
      </c>
      <c r="N12" s="45">
        <v>35</v>
      </c>
      <c r="O12" s="45">
        <v>0</v>
      </c>
      <c r="P12" s="45">
        <v>0</v>
      </c>
      <c r="Q12" s="45">
        <v>0</v>
      </c>
      <c r="R12" s="45">
        <v>0</v>
      </c>
      <c r="S12" s="45">
        <v>0</v>
      </c>
      <c r="T12" s="45">
        <v>0</v>
      </c>
      <c r="U12" s="45">
        <v>31</v>
      </c>
      <c r="V12" s="45">
        <v>31</v>
      </c>
      <c r="W12" s="45">
        <v>31</v>
      </c>
      <c r="X12" s="45">
        <v>31</v>
      </c>
      <c r="Y12" s="45">
        <v>31</v>
      </c>
      <c r="Z12" s="45">
        <v>31</v>
      </c>
      <c r="AA12" s="45">
        <v>31</v>
      </c>
      <c r="AB12" s="45">
        <v>31</v>
      </c>
      <c r="AC12" s="45">
        <v>31.4</v>
      </c>
      <c r="AD12" s="45">
        <v>30.9</v>
      </c>
      <c r="AE12" s="45">
        <v>31.2</v>
      </c>
      <c r="AF12" s="45">
        <v>30.9</v>
      </c>
      <c r="AG12" s="50">
        <v>50</v>
      </c>
      <c r="AH12" s="47">
        <f t="shared" si="2"/>
        <v>35</v>
      </c>
      <c r="AI12" s="48">
        <f t="shared" si="3"/>
        <v>0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20.399999999999999</v>
      </c>
      <c r="C13" s="45">
        <v>20.399999999999999</v>
      </c>
      <c r="D13" s="45">
        <v>20.399999999999999</v>
      </c>
      <c r="E13" s="45">
        <v>20.399999999999999</v>
      </c>
      <c r="F13" s="45">
        <v>20.399999999999999</v>
      </c>
      <c r="G13" s="45">
        <v>20</v>
      </c>
      <c r="H13" s="45">
        <v>19.100000000000001</v>
      </c>
      <c r="I13" s="45">
        <v>19.100000000000001</v>
      </c>
      <c r="J13" s="45">
        <v>19.100000000000001</v>
      </c>
      <c r="K13" s="45">
        <v>19.100000000000001</v>
      </c>
      <c r="L13" s="45">
        <v>19.100000000000001</v>
      </c>
      <c r="M13" s="45">
        <v>15.5</v>
      </c>
      <c r="N13" s="45">
        <v>15.5</v>
      </c>
      <c r="O13" s="45">
        <v>15.5</v>
      </c>
      <c r="P13" s="45">
        <v>15.5</v>
      </c>
      <c r="Q13" s="45">
        <v>15.5</v>
      </c>
      <c r="R13" s="45">
        <v>15.5</v>
      </c>
      <c r="S13" s="45">
        <v>15.5</v>
      </c>
      <c r="T13" s="45">
        <v>15.5</v>
      </c>
      <c r="U13" s="45">
        <v>15.5</v>
      </c>
      <c r="V13" s="45">
        <v>15.5</v>
      </c>
      <c r="W13" s="45">
        <v>15.5</v>
      </c>
      <c r="X13" s="45">
        <v>19.100000000000001</v>
      </c>
      <c r="Y13" s="45">
        <v>19.100000000000001</v>
      </c>
      <c r="Z13" s="45">
        <v>19.100000000000001</v>
      </c>
      <c r="AA13" s="45">
        <v>19.100000000000001</v>
      </c>
      <c r="AB13" s="45">
        <v>19.100000000000001</v>
      </c>
      <c r="AC13" s="45">
        <v>19.8</v>
      </c>
      <c r="AD13" s="45">
        <v>19.8</v>
      </c>
      <c r="AE13" s="45">
        <v>19.3</v>
      </c>
      <c r="AF13" s="45">
        <v>19.600000000000001</v>
      </c>
      <c r="AG13" s="50">
        <v>45</v>
      </c>
      <c r="AH13" s="47">
        <f t="shared" si="2"/>
        <v>20.399999999999999</v>
      </c>
      <c r="AI13" s="48">
        <f t="shared" si="3"/>
        <v>15.5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9</v>
      </c>
      <c r="C14" s="45">
        <v>9</v>
      </c>
      <c r="D14" s="45">
        <v>9</v>
      </c>
      <c r="E14" s="45">
        <v>9</v>
      </c>
      <c r="F14" s="45">
        <v>9</v>
      </c>
      <c r="G14" s="45">
        <v>9</v>
      </c>
      <c r="H14" s="45">
        <v>9</v>
      </c>
      <c r="I14" s="45">
        <v>9</v>
      </c>
      <c r="J14" s="45">
        <v>9</v>
      </c>
      <c r="K14" s="45">
        <v>9</v>
      </c>
      <c r="L14" s="45">
        <v>9</v>
      </c>
      <c r="M14" s="45">
        <v>9</v>
      </c>
      <c r="N14" s="45">
        <v>9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50">
        <v>42</v>
      </c>
      <c r="AH14" s="47">
        <f t="shared" si="2"/>
        <v>9</v>
      </c>
      <c r="AI14" s="48">
        <f t="shared" si="3"/>
        <v>0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13</v>
      </c>
      <c r="C15" s="45">
        <v>13</v>
      </c>
      <c r="D15" s="45">
        <v>13</v>
      </c>
      <c r="E15" s="45">
        <v>13</v>
      </c>
      <c r="F15" s="45">
        <v>13</v>
      </c>
      <c r="G15" s="45">
        <v>13</v>
      </c>
      <c r="H15" s="45">
        <v>13</v>
      </c>
      <c r="I15" s="45">
        <v>13</v>
      </c>
      <c r="J15" s="45">
        <v>13</v>
      </c>
      <c r="K15" s="45">
        <v>13</v>
      </c>
      <c r="L15" s="45">
        <v>13</v>
      </c>
      <c r="M15" s="45">
        <v>13</v>
      </c>
      <c r="N15" s="45">
        <v>13</v>
      </c>
      <c r="O15" s="45">
        <v>13</v>
      </c>
      <c r="P15" s="45">
        <v>13</v>
      </c>
      <c r="Q15" s="45">
        <v>13</v>
      </c>
      <c r="R15" s="45">
        <v>13</v>
      </c>
      <c r="S15" s="45">
        <v>13</v>
      </c>
      <c r="T15" s="45">
        <v>13</v>
      </c>
      <c r="U15" s="45">
        <v>13</v>
      </c>
      <c r="V15" s="45">
        <v>13</v>
      </c>
      <c r="W15" s="45">
        <v>13</v>
      </c>
      <c r="X15" s="45">
        <v>13</v>
      </c>
      <c r="Y15" s="45">
        <v>13</v>
      </c>
      <c r="Z15" s="45">
        <v>13</v>
      </c>
      <c r="AA15" s="45">
        <v>13</v>
      </c>
      <c r="AB15" s="45">
        <v>13</v>
      </c>
      <c r="AC15" s="45">
        <v>13</v>
      </c>
      <c r="AD15" s="45">
        <v>13</v>
      </c>
      <c r="AE15" s="45">
        <v>13</v>
      </c>
      <c r="AF15" s="45">
        <v>13</v>
      </c>
      <c r="AG15" s="50">
        <v>36</v>
      </c>
      <c r="AH15" s="47">
        <f t="shared" si="2"/>
        <v>13</v>
      </c>
      <c r="AI15" s="48">
        <f t="shared" si="3"/>
        <v>13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8.9</v>
      </c>
      <c r="C16" s="45">
        <v>8.9</v>
      </c>
      <c r="D16" s="45">
        <v>8.9</v>
      </c>
      <c r="E16" s="45">
        <v>8.9</v>
      </c>
      <c r="F16" s="45">
        <v>8.9</v>
      </c>
      <c r="G16" s="45">
        <v>8.9</v>
      </c>
      <c r="H16" s="45">
        <v>8.9</v>
      </c>
      <c r="I16" s="45">
        <v>8.9</v>
      </c>
      <c r="J16" s="45">
        <v>8.9</v>
      </c>
      <c r="K16" s="45">
        <v>8.9</v>
      </c>
      <c r="L16" s="45">
        <v>8.9</v>
      </c>
      <c r="M16" s="45">
        <v>8.3000000000000007</v>
      </c>
      <c r="N16" s="45">
        <v>8.3000000000000007</v>
      </c>
      <c r="O16" s="45">
        <v>8.3000000000000007</v>
      </c>
      <c r="P16" s="45">
        <v>8.3000000000000007</v>
      </c>
      <c r="Q16" s="45">
        <v>8.3000000000000007</v>
      </c>
      <c r="R16" s="45">
        <v>8.3000000000000007</v>
      </c>
      <c r="S16" s="45">
        <v>8.3000000000000007</v>
      </c>
      <c r="T16" s="45">
        <v>8.3000000000000007</v>
      </c>
      <c r="U16" s="45">
        <v>8.3000000000000007</v>
      </c>
      <c r="V16" s="45">
        <v>8.3000000000000007</v>
      </c>
      <c r="W16" s="45">
        <v>8.3000000000000007</v>
      </c>
      <c r="X16" s="45">
        <v>8.3000000000000007</v>
      </c>
      <c r="Y16" s="45">
        <v>8.3000000000000007</v>
      </c>
      <c r="Z16" s="45">
        <v>8.3000000000000007</v>
      </c>
      <c r="AA16" s="45">
        <v>8.3000000000000007</v>
      </c>
      <c r="AB16" s="45">
        <v>8.3000000000000007</v>
      </c>
      <c r="AC16" s="45">
        <v>8.3000000000000007</v>
      </c>
      <c r="AD16" s="45">
        <v>8.3000000000000007</v>
      </c>
      <c r="AE16" s="45">
        <v>8.3000000000000007</v>
      </c>
      <c r="AF16" s="45">
        <v>8.3000000000000007</v>
      </c>
      <c r="AG16" s="51">
        <v>30</v>
      </c>
      <c r="AH16" s="47">
        <f t="shared" si="2"/>
        <v>8.9</v>
      </c>
      <c r="AI16" s="48">
        <f t="shared" si="3"/>
        <v>8.3000000000000007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7</v>
      </c>
      <c r="C17" s="45">
        <v>7</v>
      </c>
      <c r="D17" s="45">
        <v>7</v>
      </c>
      <c r="E17" s="45">
        <v>7</v>
      </c>
      <c r="F17" s="45">
        <v>7</v>
      </c>
      <c r="G17" s="45">
        <v>7</v>
      </c>
      <c r="H17" s="45">
        <v>7</v>
      </c>
      <c r="I17" s="45">
        <v>7</v>
      </c>
      <c r="J17" s="45">
        <v>7</v>
      </c>
      <c r="K17" s="45">
        <v>7</v>
      </c>
      <c r="L17" s="45">
        <v>7</v>
      </c>
      <c r="M17" s="45">
        <v>7</v>
      </c>
      <c r="N17" s="45">
        <v>7</v>
      </c>
      <c r="O17" s="45">
        <v>7</v>
      </c>
      <c r="P17" s="45">
        <v>7</v>
      </c>
      <c r="Q17" s="45">
        <v>7</v>
      </c>
      <c r="R17" s="45">
        <v>7</v>
      </c>
      <c r="S17" s="45">
        <v>7</v>
      </c>
      <c r="T17" s="45">
        <v>7</v>
      </c>
      <c r="U17" s="45">
        <v>7</v>
      </c>
      <c r="V17" s="45">
        <v>7</v>
      </c>
      <c r="W17" s="45">
        <v>7</v>
      </c>
      <c r="X17" s="45">
        <v>7</v>
      </c>
      <c r="Y17" s="45">
        <v>7</v>
      </c>
      <c r="Z17" s="45">
        <v>7</v>
      </c>
      <c r="AA17" s="45">
        <v>7</v>
      </c>
      <c r="AB17" s="45">
        <v>7</v>
      </c>
      <c r="AC17" s="45">
        <v>7</v>
      </c>
      <c r="AD17" s="45">
        <v>7</v>
      </c>
      <c r="AE17" s="45">
        <v>7</v>
      </c>
      <c r="AF17" s="45">
        <v>7</v>
      </c>
      <c r="AG17" s="50">
        <v>24.2</v>
      </c>
      <c r="AH17" s="47">
        <f t="shared" si="2"/>
        <v>7</v>
      </c>
      <c r="AI17" s="48">
        <f t="shared" si="3"/>
        <v>7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50">
        <v>28</v>
      </c>
      <c r="AH18" s="47">
        <f t="shared" si="2"/>
        <v>8</v>
      </c>
      <c r="AI18" s="48">
        <f t="shared" si="3"/>
        <v>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9.4</v>
      </c>
      <c r="C20" s="45">
        <v>9.4</v>
      </c>
      <c r="D20" s="45">
        <v>9.4</v>
      </c>
      <c r="E20" s="45">
        <v>9.4</v>
      </c>
      <c r="F20" s="45">
        <v>9.4</v>
      </c>
      <c r="G20" s="45">
        <v>9.4</v>
      </c>
      <c r="H20" s="45">
        <v>9.4</v>
      </c>
      <c r="I20" s="45">
        <v>9.4</v>
      </c>
      <c r="J20" s="45">
        <v>9.4</v>
      </c>
      <c r="K20" s="45">
        <v>9.4</v>
      </c>
      <c r="L20" s="45">
        <v>9.4</v>
      </c>
      <c r="M20" s="45">
        <v>9.4</v>
      </c>
      <c r="N20" s="45">
        <v>9.4</v>
      </c>
      <c r="O20" s="45">
        <v>9.4</v>
      </c>
      <c r="P20" s="45">
        <v>9.4</v>
      </c>
      <c r="Q20" s="45">
        <v>9.4</v>
      </c>
      <c r="R20" s="45">
        <v>9.4</v>
      </c>
      <c r="S20" s="45">
        <v>9.4</v>
      </c>
      <c r="T20" s="45">
        <v>9.4</v>
      </c>
      <c r="U20" s="45">
        <v>9.4</v>
      </c>
      <c r="V20" s="45">
        <v>9.4</v>
      </c>
      <c r="W20" s="45">
        <v>9.4</v>
      </c>
      <c r="X20" s="45">
        <v>9.4</v>
      </c>
      <c r="Y20" s="45">
        <v>9.4</v>
      </c>
      <c r="Z20" s="45">
        <v>9.4</v>
      </c>
      <c r="AA20" s="45">
        <v>9.4</v>
      </c>
      <c r="AB20" s="45">
        <v>9.4</v>
      </c>
      <c r="AC20" s="45">
        <v>9.4</v>
      </c>
      <c r="AD20" s="45">
        <v>9.4</v>
      </c>
      <c r="AE20" s="45">
        <v>9.4</v>
      </c>
      <c r="AF20" s="45">
        <v>9.4</v>
      </c>
      <c r="AG20" s="50">
        <v>25</v>
      </c>
      <c r="AH20" s="47">
        <f t="shared" si="2"/>
        <v>9.4</v>
      </c>
      <c r="AI20" s="48">
        <f t="shared" si="3"/>
        <v>9.4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0">
        <v>25</v>
      </c>
      <c r="AH22" s="47">
        <f t="shared" si="2"/>
        <v>11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3.1</v>
      </c>
      <c r="C24" s="45">
        <v>3.1</v>
      </c>
      <c r="D24" s="45">
        <v>3.1</v>
      </c>
      <c r="E24" s="45">
        <v>3.1</v>
      </c>
      <c r="F24" s="45">
        <v>3.1</v>
      </c>
      <c r="G24" s="45">
        <v>3.1</v>
      </c>
      <c r="H24" s="45">
        <v>3.1</v>
      </c>
      <c r="I24" s="45">
        <v>3.1</v>
      </c>
      <c r="J24" s="45">
        <v>3.1</v>
      </c>
      <c r="K24" s="45">
        <v>3.1</v>
      </c>
      <c r="L24" s="45">
        <v>3.1</v>
      </c>
      <c r="M24" s="45">
        <v>3.1</v>
      </c>
      <c r="N24" s="45">
        <v>3.1</v>
      </c>
      <c r="O24" s="45">
        <v>3.1</v>
      </c>
      <c r="P24" s="45">
        <v>3.1</v>
      </c>
      <c r="Q24" s="45">
        <v>3.1</v>
      </c>
      <c r="R24" s="45">
        <v>3.1</v>
      </c>
      <c r="S24" s="45">
        <v>7.9</v>
      </c>
      <c r="T24" s="45">
        <v>7.9</v>
      </c>
      <c r="U24" s="45">
        <v>7.9</v>
      </c>
      <c r="V24" s="45">
        <v>7.9</v>
      </c>
      <c r="W24" s="45">
        <v>7.9</v>
      </c>
      <c r="X24" s="45">
        <v>7.9</v>
      </c>
      <c r="Y24" s="45">
        <v>7.9</v>
      </c>
      <c r="Z24" s="45">
        <v>7.9</v>
      </c>
      <c r="AA24" s="45">
        <v>7.9</v>
      </c>
      <c r="AB24" s="45">
        <v>7.9</v>
      </c>
      <c r="AC24" s="45">
        <v>7.9</v>
      </c>
      <c r="AD24" s="45">
        <v>7.9</v>
      </c>
      <c r="AE24" s="45">
        <v>7.9</v>
      </c>
      <c r="AF24" s="45">
        <v>7.9</v>
      </c>
      <c r="AG24" s="50">
        <v>23.5</v>
      </c>
      <c r="AH24" s="47">
        <f t="shared" si="2"/>
        <v>7.9</v>
      </c>
      <c r="AI24" s="48">
        <f t="shared" si="3"/>
        <v>3.1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8</v>
      </c>
      <c r="C28" s="45">
        <v>8</v>
      </c>
      <c r="D28" s="45">
        <v>8</v>
      </c>
      <c r="E28" s="45">
        <v>8</v>
      </c>
      <c r="F28" s="45">
        <v>8</v>
      </c>
      <c r="G28" s="45">
        <v>8</v>
      </c>
      <c r="H28" s="45">
        <v>8</v>
      </c>
      <c r="I28" s="45">
        <v>8</v>
      </c>
      <c r="J28" s="45">
        <v>8</v>
      </c>
      <c r="K28" s="45">
        <v>8</v>
      </c>
      <c r="L28" s="45">
        <v>8</v>
      </c>
      <c r="M28" s="45">
        <v>8</v>
      </c>
      <c r="N28" s="45">
        <v>8</v>
      </c>
      <c r="O28" s="45">
        <v>8</v>
      </c>
      <c r="P28" s="45">
        <v>8</v>
      </c>
      <c r="Q28" s="45">
        <v>8</v>
      </c>
      <c r="R28" s="45">
        <v>8</v>
      </c>
      <c r="S28" s="45">
        <v>8</v>
      </c>
      <c r="T28" s="45">
        <v>8</v>
      </c>
      <c r="U28" s="45">
        <v>8</v>
      </c>
      <c r="V28" s="45">
        <v>8</v>
      </c>
      <c r="W28" s="45">
        <v>8</v>
      </c>
      <c r="X28" s="45">
        <v>8</v>
      </c>
      <c r="Y28" s="45">
        <v>8</v>
      </c>
      <c r="Z28" s="45">
        <v>8</v>
      </c>
      <c r="AA28" s="45">
        <v>8</v>
      </c>
      <c r="AB28" s="45">
        <v>8</v>
      </c>
      <c r="AC28" s="45">
        <v>8</v>
      </c>
      <c r="AD28" s="45">
        <v>8</v>
      </c>
      <c r="AE28" s="45">
        <v>8</v>
      </c>
      <c r="AF28" s="45">
        <v>8</v>
      </c>
      <c r="AG28" s="50">
        <v>22</v>
      </c>
      <c r="AH28" s="47">
        <f t="shared" si="2"/>
        <v>8</v>
      </c>
      <c r="AI28" s="48">
        <f t="shared" si="3"/>
        <v>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>
        <v>10</v>
      </c>
      <c r="L35" s="45">
        <v>10</v>
      </c>
      <c r="M35" s="45">
        <v>10</v>
      </c>
      <c r="N35" s="45">
        <v>10</v>
      </c>
      <c r="O35" s="45">
        <v>10</v>
      </c>
      <c r="P35" s="45">
        <v>10</v>
      </c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45">
        <v>10</v>
      </c>
      <c r="Z35" s="45">
        <v>10</v>
      </c>
      <c r="AA35" s="45">
        <v>10</v>
      </c>
      <c r="AB35" s="45">
        <v>10</v>
      </c>
      <c r="AC35" s="45">
        <v>10</v>
      </c>
      <c r="AD35" s="45">
        <v>10</v>
      </c>
      <c r="AE35" s="45">
        <v>10</v>
      </c>
      <c r="AF35" s="45">
        <v>10</v>
      </c>
      <c r="AG35" s="50">
        <v>12</v>
      </c>
      <c r="AH35" s="47">
        <f t="shared" si="2"/>
        <v>10</v>
      </c>
      <c r="AI35" s="48">
        <f t="shared" si="3"/>
        <v>10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1</v>
      </c>
      <c r="N41" s="45">
        <v>1</v>
      </c>
      <c r="O41" s="45">
        <v>1</v>
      </c>
      <c r="P41" s="45">
        <v>2</v>
      </c>
      <c r="Q41" s="45">
        <v>2</v>
      </c>
      <c r="R41" s="45">
        <v>2</v>
      </c>
      <c r="S41" s="45">
        <v>2</v>
      </c>
      <c r="T41" s="45">
        <v>2</v>
      </c>
      <c r="U41" s="45">
        <v>2</v>
      </c>
      <c r="V41" s="45">
        <v>2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2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100</v>
      </c>
      <c r="C42" s="56">
        <v>100</v>
      </c>
      <c r="D42" s="56">
        <v>100</v>
      </c>
      <c r="E42" s="56">
        <v>100</v>
      </c>
      <c r="F42" s="56">
        <v>100</v>
      </c>
      <c r="G42" s="56">
        <v>100</v>
      </c>
      <c r="H42" s="56">
        <v>100</v>
      </c>
      <c r="I42" s="56">
        <v>100</v>
      </c>
      <c r="J42" s="56">
        <v>100</v>
      </c>
      <c r="K42" s="56">
        <v>100</v>
      </c>
      <c r="L42" s="56">
        <v>100</v>
      </c>
      <c r="M42" s="56">
        <v>100</v>
      </c>
      <c r="N42" s="56">
        <v>100</v>
      </c>
      <c r="O42" s="56">
        <v>100</v>
      </c>
      <c r="P42" s="56">
        <v>100</v>
      </c>
      <c r="Q42" s="56">
        <v>100</v>
      </c>
      <c r="R42" s="56">
        <v>100</v>
      </c>
      <c r="S42" s="56">
        <v>100</v>
      </c>
      <c r="T42" s="56">
        <v>100</v>
      </c>
      <c r="U42" s="56">
        <v>100</v>
      </c>
      <c r="V42" s="56">
        <v>100</v>
      </c>
      <c r="W42" s="56">
        <v>100</v>
      </c>
      <c r="X42" s="56">
        <v>100</v>
      </c>
      <c r="Y42" s="56">
        <v>100</v>
      </c>
      <c r="Z42" s="56">
        <v>100</v>
      </c>
      <c r="AA42" s="56">
        <v>100</v>
      </c>
      <c r="AB42" s="56">
        <v>100</v>
      </c>
      <c r="AC42" s="56">
        <v>100</v>
      </c>
      <c r="AD42" s="56">
        <v>100</v>
      </c>
      <c r="AE42" s="56">
        <v>100</v>
      </c>
      <c r="AF42" s="56">
        <v>100</v>
      </c>
      <c r="AG42" s="54">
        <v>85</v>
      </c>
      <c r="AH42" s="47">
        <f t="shared" si="2"/>
        <v>100</v>
      </c>
      <c r="AI42" s="48">
        <f t="shared" si="3"/>
        <v>100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:AG44" si="4">SUM(B11:B42)</f>
        <v>376.09999999999997</v>
      </c>
      <c r="C44" s="60">
        <f t="shared" si="4"/>
        <v>376.09999999999997</v>
      </c>
      <c r="D44" s="60">
        <f t="shared" si="4"/>
        <v>375.7</v>
      </c>
      <c r="E44" s="60">
        <f t="shared" si="4"/>
        <v>375.7</v>
      </c>
      <c r="F44" s="60">
        <f t="shared" si="4"/>
        <v>375.7</v>
      </c>
      <c r="G44" s="60">
        <f t="shared" si="4"/>
        <v>375.2</v>
      </c>
      <c r="H44" s="60">
        <f t="shared" si="4"/>
        <v>372.8</v>
      </c>
      <c r="I44" s="60">
        <f t="shared" si="4"/>
        <v>372.8</v>
      </c>
      <c r="J44" s="60">
        <f t="shared" si="4"/>
        <v>372.8</v>
      </c>
      <c r="K44" s="60">
        <f t="shared" si="4"/>
        <v>372.8</v>
      </c>
      <c r="L44" s="60">
        <f t="shared" si="4"/>
        <v>372.8</v>
      </c>
      <c r="M44" s="60">
        <f t="shared" si="4"/>
        <v>373</v>
      </c>
      <c r="N44" s="60">
        <f t="shared" si="4"/>
        <v>373</v>
      </c>
      <c r="O44" s="60">
        <f t="shared" si="4"/>
        <v>329</v>
      </c>
      <c r="P44" s="60">
        <f t="shared" si="4"/>
        <v>330</v>
      </c>
      <c r="Q44" s="60">
        <f t="shared" si="4"/>
        <v>330</v>
      </c>
      <c r="R44" s="60">
        <f t="shared" si="4"/>
        <v>330</v>
      </c>
      <c r="S44" s="60">
        <f t="shared" si="4"/>
        <v>334.79999999999995</v>
      </c>
      <c r="T44" s="60">
        <f t="shared" si="4"/>
        <v>334.79999999999995</v>
      </c>
      <c r="U44" s="60">
        <f t="shared" si="4"/>
        <v>365.79999999999995</v>
      </c>
      <c r="V44" s="60">
        <f t="shared" si="4"/>
        <v>365.79999999999995</v>
      </c>
      <c r="W44" s="60">
        <f t="shared" si="4"/>
        <v>363.79999999999995</v>
      </c>
      <c r="X44" s="60">
        <f t="shared" si="4"/>
        <v>365.70000000000005</v>
      </c>
      <c r="Y44" s="60">
        <f t="shared" si="4"/>
        <v>365.70000000000005</v>
      </c>
      <c r="Z44" s="60">
        <f t="shared" si="4"/>
        <v>365.70000000000005</v>
      </c>
      <c r="AA44" s="60">
        <f t="shared" si="4"/>
        <v>365.70000000000005</v>
      </c>
      <c r="AB44" s="60">
        <f t="shared" si="4"/>
        <v>365.70000000000005</v>
      </c>
      <c r="AC44" s="60">
        <f t="shared" si="4"/>
        <v>367.9</v>
      </c>
      <c r="AD44" s="60">
        <f t="shared" si="4"/>
        <v>367.29999999999995</v>
      </c>
      <c r="AE44" s="60">
        <f t="shared" si="4"/>
        <v>367.2</v>
      </c>
      <c r="AF44" s="60">
        <f t="shared" si="4"/>
        <v>368.6</v>
      </c>
      <c r="AG44" s="61">
        <f t="shared" si="4"/>
        <v>814.78000000000009</v>
      </c>
      <c r="AH44" s="47">
        <f t="shared" si="2"/>
        <v>376.09999999999997</v>
      </c>
      <c r="AI44" s="48">
        <f t="shared" si="3"/>
        <v>329</v>
      </c>
      <c r="AK44" s="49"/>
    </row>
    <row r="45" spans="1:88" x14ac:dyDescent="0.25">
      <c r="A45" s="62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20</v>
      </c>
      <c r="J45" s="45">
        <v>70</v>
      </c>
      <c r="K45" s="45">
        <v>70</v>
      </c>
      <c r="L45" s="45">
        <v>100</v>
      </c>
      <c r="M45" s="63">
        <v>140</v>
      </c>
      <c r="N45" s="63">
        <v>150</v>
      </c>
      <c r="O45" s="45">
        <v>95</v>
      </c>
      <c r="P45" s="45">
        <v>85</v>
      </c>
      <c r="Q45" s="45">
        <v>95</v>
      </c>
      <c r="R45" s="45">
        <v>70</v>
      </c>
      <c r="S45" s="45">
        <v>70</v>
      </c>
      <c r="T45" s="45">
        <v>60</v>
      </c>
      <c r="U45" s="45">
        <v>60</v>
      </c>
      <c r="V45" s="45">
        <v>60</v>
      </c>
      <c r="W45" s="45">
        <v>60</v>
      </c>
      <c r="X45" s="45">
        <v>60</v>
      </c>
      <c r="Y45" s="45">
        <v>180</v>
      </c>
      <c r="Z45" s="45">
        <v>280</v>
      </c>
      <c r="AA45" s="45">
        <v>270</v>
      </c>
      <c r="AB45" s="45">
        <v>170</v>
      </c>
      <c r="AC45" s="45">
        <v>160</v>
      </c>
      <c r="AD45" s="45">
        <v>135</v>
      </c>
      <c r="AE45" s="45">
        <v>60</v>
      </c>
      <c r="AF45" s="45">
        <v>55</v>
      </c>
      <c r="AG45" s="51">
        <v>456</v>
      </c>
      <c r="AH45" s="47">
        <f t="shared" si="2"/>
        <v>280</v>
      </c>
      <c r="AI45" s="48">
        <f t="shared" si="3"/>
        <v>0</v>
      </c>
      <c r="AK45" s="49"/>
    </row>
    <row r="46" spans="1:88" x14ac:dyDescent="0.25">
      <c r="A46" s="64" t="s">
        <v>54</v>
      </c>
      <c r="B46" s="65">
        <v>30</v>
      </c>
      <c r="C46" s="65">
        <v>30</v>
      </c>
      <c r="D46" s="65">
        <v>30</v>
      </c>
      <c r="E46" s="65">
        <v>30</v>
      </c>
      <c r="F46" s="65">
        <v>30</v>
      </c>
      <c r="G46" s="65">
        <v>30</v>
      </c>
      <c r="H46" s="65">
        <v>30</v>
      </c>
      <c r="I46" s="65">
        <v>30</v>
      </c>
      <c r="J46" s="65">
        <v>30</v>
      </c>
      <c r="K46" s="65">
        <v>30</v>
      </c>
      <c r="L46" s="65">
        <v>30</v>
      </c>
      <c r="M46" s="65">
        <v>30</v>
      </c>
      <c r="N46" s="65">
        <v>30</v>
      </c>
      <c r="O46" s="65">
        <v>30</v>
      </c>
      <c r="P46" s="65">
        <v>30</v>
      </c>
      <c r="Q46" s="65">
        <v>30</v>
      </c>
      <c r="R46" s="65">
        <v>30</v>
      </c>
      <c r="S46" s="65">
        <v>30</v>
      </c>
      <c r="T46" s="65">
        <v>30</v>
      </c>
      <c r="U46" s="65">
        <v>30</v>
      </c>
      <c r="V46" s="65">
        <v>30</v>
      </c>
      <c r="W46" s="65">
        <v>30</v>
      </c>
      <c r="X46" s="65">
        <v>30</v>
      </c>
      <c r="Y46" s="65">
        <v>30</v>
      </c>
      <c r="Z46" s="65">
        <v>30</v>
      </c>
      <c r="AA46" s="65">
        <v>30</v>
      </c>
      <c r="AB46" s="65">
        <v>30</v>
      </c>
      <c r="AC46" s="65">
        <v>30</v>
      </c>
      <c r="AD46" s="65">
        <v>30</v>
      </c>
      <c r="AE46" s="65">
        <v>30</v>
      </c>
      <c r="AF46" s="65">
        <v>30</v>
      </c>
      <c r="AG46" s="54">
        <v>60</v>
      </c>
      <c r="AH46" s="47">
        <f t="shared" si="2"/>
        <v>30</v>
      </c>
      <c r="AI46" s="48">
        <f t="shared" si="3"/>
        <v>30</v>
      </c>
      <c r="AK46" s="49"/>
    </row>
    <row r="47" spans="1:88" ht="15.75" thickBot="1" x14ac:dyDescent="0.3">
      <c r="A47" s="66" t="s">
        <v>55</v>
      </c>
      <c r="B47" s="67">
        <v>10</v>
      </c>
      <c r="C47" s="67">
        <v>10</v>
      </c>
      <c r="D47" s="67">
        <v>10</v>
      </c>
      <c r="E47" s="67">
        <v>10</v>
      </c>
      <c r="F47" s="67">
        <v>10</v>
      </c>
      <c r="G47" s="67">
        <v>10</v>
      </c>
      <c r="H47" s="67">
        <v>10</v>
      </c>
      <c r="I47" s="67">
        <v>10</v>
      </c>
      <c r="J47" s="67">
        <v>10</v>
      </c>
      <c r="K47" s="67">
        <v>10</v>
      </c>
      <c r="L47" s="67">
        <v>10</v>
      </c>
      <c r="M47" s="67">
        <v>10.199999999999999</v>
      </c>
      <c r="N47" s="67">
        <v>10.199999999999999</v>
      </c>
      <c r="O47" s="67">
        <v>10.199999999999999</v>
      </c>
      <c r="P47" s="67">
        <v>10.199999999999999</v>
      </c>
      <c r="Q47" s="67">
        <v>10.199999999999999</v>
      </c>
      <c r="R47" s="67">
        <v>10.199999999999999</v>
      </c>
      <c r="S47" s="67">
        <v>10.199999999999999</v>
      </c>
      <c r="T47" s="67">
        <v>10.199999999999999</v>
      </c>
      <c r="U47" s="67">
        <v>10.199999999999999</v>
      </c>
      <c r="V47" s="67">
        <v>10.199999999999999</v>
      </c>
      <c r="W47" s="67">
        <v>10.199999999999999</v>
      </c>
      <c r="X47" s="67">
        <v>10.199999999999999</v>
      </c>
      <c r="Y47" s="67">
        <v>18.100000000000001</v>
      </c>
      <c r="Z47" s="67">
        <v>18.100000000000001</v>
      </c>
      <c r="AA47" s="67">
        <v>18</v>
      </c>
      <c r="AB47" s="67">
        <v>10</v>
      </c>
      <c r="AC47" s="67">
        <v>10.199999999999999</v>
      </c>
      <c r="AD47" s="67">
        <v>10.199999999999999</v>
      </c>
      <c r="AE47" s="67">
        <v>10.199999999999999</v>
      </c>
      <c r="AF47" s="67">
        <v>10.1</v>
      </c>
      <c r="AG47" s="68">
        <v>22.1</v>
      </c>
      <c r="AH47" s="47">
        <f t="shared" si="2"/>
        <v>18.100000000000001</v>
      </c>
      <c r="AI47" s="48">
        <f t="shared" si="3"/>
        <v>10</v>
      </c>
      <c r="AK47" s="49"/>
    </row>
    <row r="48" spans="1:88" ht="15.75" thickBot="1" x14ac:dyDescent="0.3">
      <c r="A48" s="69" t="s">
        <v>56</v>
      </c>
      <c r="B48" s="60">
        <f t="shared" ref="B48:AG48" si="5">SUM(B45:B47)</f>
        <v>40</v>
      </c>
      <c r="C48" s="60">
        <f t="shared" si="5"/>
        <v>40</v>
      </c>
      <c r="D48" s="60">
        <f t="shared" si="5"/>
        <v>40</v>
      </c>
      <c r="E48" s="60">
        <f t="shared" si="5"/>
        <v>40</v>
      </c>
      <c r="F48" s="60">
        <f t="shared" si="5"/>
        <v>40</v>
      </c>
      <c r="G48" s="60">
        <f t="shared" si="5"/>
        <v>40</v>
      </c>
      <c r="H48" s="60">
        <f t="shared" si="5"/>
        <v>40</v>
      </c>
      <c r="I48" s="60">
        <f t="shared" si="5"/>
        <v>60</v>
      </c>
      <c r="J48" s="60">
        <f t="shared" si="5"/>
        <v>110</v>
      </c>
      <c r="K48" s="60">
        <f t="shared" si="5"/>
        <v>110</v>
      </c>
      <c r="L48" s="60">
        <f t="shared" si="5"/>
        <v>140</v>
      </c>
      <c r="M48" s="60">
        <f t="shared" si="5"/>
        <v>180.2</v>
      </c>
      <c r="N48" s="60">
        <f t="shared" si="5"/>
        <v>190.2</v>
      </c>
      <c r="O48" s="60">
        <f t="shared" si="5"/>
        <v>135.19999999999999</v>
      </c>
      <c r="P48" s="60">
        <f t="shared" si="5"/>
        <v>125.2</v>
      </c>
      <c r="Q48" s="60">
        <f t="shared" si="5"/>
        <v>135.19999999999999</v>
      </c>
      <c r="R48" s="60">
        <f t="shared" si="5"/>
        <v>110.2</v>
      </c>
      <c r="S48" s="60">
        <f t="shared" si="5"/>
        <v>110.2</v>
      </c>
      <c r="T48" s="60">
        <f t="shared" si="5"/>
        <v>100.2</v>
      </c>
      <c r="U48" s="60">
        <f t="shared" si="5"/>
        <v>100.2</v>
      </c>
      <c r="V48" s="60">
        <f t="shared" si="5"/>
        <v>100.2</v>
      </c>
      <c r="W48" s="60">
        <f t="shared" si="5"/>
        <v>100.2</v>
      </c>
      <c r="X48" s="60">
        <f t="shared" si="5"/>
        <v>100.2</v>
      </c>
      <c r="Y48" s="60">
        <f t="shared" si="5"/>
        <v>228.1</v>
      </c>
      <c r="Z48" s="60">
        <f t="shared" si="5"/>
        <v>328.1</v>
      </c>
      <c r="AA48" s="60">
        <f t="shared" si="5"/>
        <v>318</v>
      </c>
      <c r="AB48" s="60">
        <f t="shared" si="5"/>
        <v>210</v>
      </c>
      <c r="AC48" s="60">
        <f t="shared" si="5"/>
        <v>200.2</v>
      </c>
      <c r="AD48" s="60">
        <f t="shared" si="5"/>
        <v>175.2</v>
      </c>
      <c r="AE48" s="60">
        <f t="shared" si="5"/>
        <v>100.2</v>
      </c>
      <c r="AF48" s="60">
        <f t="shared" si="5"/>
        <v>95.1</v>
      </c>
      <c r="AG48" s="61">
        <f t="shared" si="5"/>
        <v>538.1</v>
      </c>
      <c r="AH48" s="47">
        <f t="shared" si="2"/>
        <v>328.1</v>
      </c>
      <c r="AI48" s="48">
        <f t="shared" si="3"/>
        <v>40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30</v>
      </c>
      <c r="H49" s="45">
        <v>31</v>
      </c>
      <c r="I49" s="45">
        <v>30.4</v>
      </c>
      <c r="J49" s="45">
        <v>93.4</v>
      </c>
      <c r="K49" s="45">
        <v>93.4</v>
      </c>
      <c r="L49" s="45">
        <v>93.4</v>
      </c>
      <c r="M49" s="45">
        <v>92.2</v>
      </c>
      <c r="N49" s="45">
        <v>82.1</v>
      </c>
      <c r="O49" s="45">
        <v>93.2</v>
      </c>
      <c r="P49" s="45">
        <v>93.2</v>
      </c>
      <c r="Q49" s="45">
        <v>72</v>
      </c>
      <c r="R49" s="45">
        <v>63</v>
      </c>
      <c r="S49" s="45">
        <v>63.7</v>
      </c>
      <c r="T49" s="45">
        <v>63.7</v>
      </c>
      <c r="U49" s="45">
        <v>63.7</v>
      </c>
      <c r="V49" s="45">
        <v>66.2</v>
      </c>
      <c r="W49" s="45">
        <v>60.7</v>
      </c>
      <c r="X49" s="45">
        <v>91.5</v>
      </c>
      <c r="Y49" s="45">
        <v>114</v>
      </c>
      <c r="Z49" s="45">
        <v>108</v>
      </c>
      <c r="AA49" s="45">
        <v>92</v>
      </c>
      <c r="AB49" s="45">
        <v>91.6</v>
      </c>
      <c r="AC49" s="45">
        <v>86.8</v>
      </c>
      <c r="AD49" s="45">
        <v>86.7</v>
      </c>
      <c r="AE49" s="45">
        <v>30</v>
      </c>
      <c r="AF49" s="45">
        <v>0</v>
      </c>
      <c r="AG49" s="51">
        <v>144</v>
      </c>
      <c r="AH49" s="47">
        <f t="shared" si="2"/>
        <v>114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25</v>
      </c>
      <c r="C50" s="65">
        <v>25</v>
      </c>
      <c r="D50" s="65">
        <v>0</v>
      </c>
      <c r="E50" s="65">
        <v>0</v>
      </c>
      <c r="F50" s="65">
        <v>0</v>
      </c>
      <c r="G50" s="65">
        <v>22</v>
      </c>
      <c r="H50" s="65">
        <v>22.6</v>
      </c>
      <c r="I50" s="65">
        <v>24</v>
      </c>
      <c r="J50" s="65">
        <v>45.2</v>
      </c>
      <c r="K50" s="65">
        <v>45.2</v>
      </c>
      <c r="L50" s="65">
        <v>45.2</v>
      </c>
      <c r="M50" s="65">
        <v>43.8</v>
      </c>
      <c r="N50" s="65">
        <v>60.1</v>
      </c>
      <c r="O50" s="65">
        <v>67.2</v>
      </c>
      <c r="P50" s="65">
        <v>54</v>
      </c>
      <c r="Q50" s="65">
        <v>23.9</v>
      </c>
      <c r="R50" s="45">
        <v>23.8</v>
      </c>
      <c r="S50" s="45">
        <v>30</v>
      </c>
      <c r="T50" s="45">
        <v>24.9</v>
      </c>
      <c r="U50" s="45">
        <v>30</v>
      </c>
      <c r="V50" s="45">
        <v>30</v>
      </c>
      <c r="W50" s="45">
        <v>25</v>
      </c>
      <c r="X50" s="45">
        <v>45.7</v>
      </c>
      <c r="Y50" s="45">
        <v>45.7</v>
      </c>
      <c r="Z50" s="45">
        <v>48</v>
      </c>
      <c r="AA50" s="45">
        <v>48.2</v>
      </c>
      <c r="AB50" s="65">
        <v>29.4</v>
      </c>
      <c r="AC50" s="65">
        <v>30.3</v>
      </c>
      <c r="AD50" s="65">
        <v>30.4</v>
      </c>
      <c r="AE50" s="65">
        <v>30</v>
      </c>
      <c r="AF50" s="65">
        <v>22</v>
      </c>
      <c r="AG50" s="54">
        <v>70</v>
      </c>
      <c r="AH50" s="47">
        <f t="shared" si="2"/>
        <v>67.2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61</v>
      </c>
      <c r="C51" s="65">
        <v>61</v>
      </c>
      <c r="D51" s="65">
        <v>16</v>
      </c>
      <c r="E51" s="65">
        <v>16</v>
      </c>
      <c r="F51" s="65">
        <v>16</v>
      </c>
      <c r="G51" s="65">
        <v>16</v>
      </c>
      <c r="H51" s="65">
        <v>35</v>
      </c>
      <c r="I51" s="65">
        <v>36</v>
      </c>
      <c r="J51" s="65">
        <v>52.3</v>
      </c>
      <c r="K51" s="65">
        <v>52.3</v>
      </c>
      <c r="L51" s="65">
        <v>69</v>
      </c>
      <c r="M51" s="65">
        <v>67.900000000000006</v>
      </c>
      <c r="N51" s="65">
        <v>67.599999999999994</v>
      </c>
      <c r="O51" s="65">
        <v>46.3</v>
      </c>
      <c r="P51" s="65">
        <v>22.9</v>
      </c>
      <c r="Q51" s="65">
        <v>16.899999999999999</v>
      </c>
      <c r="R51" s="45">
        <v>15.8</v>
      </c>
      <c r="S51" s="45">
        <v>22.3</v>
      </c>
      <c r="T51" s="45">
        <v>22.3</v>
      </c>
      <c r="U51" s="45">
        <v>22.3</v>
      </c>
      <c r="V51" s="45">
        <v>22.3</v>
      </c>
      <c r="W51" s="45">
        <v>22.4</v>
      </c>
      <c r="X51" s="45">
        <v>34.6</v>
      </c>
      <c r="Y51" s="45">
        <v>69</v>
      </c>
      <c r="Z51" s="45">
        <v>69</v>
      </c>
      <c r="AA51" s="45">
        <v>62.5</v>
      </c>
      <c r="AB51" s="65">
        <v>60</v>
      </c>
      <c r="AC51" s="65">
        <v>68.3</v>
      </c>
      <c r="AD51" s="65">
        <v>54</v>
      </c>
      <c r="AE51" s="65">
        <v>35</v>
      </c>
      <c r="AF51" s="65">
        <v>0</v>
      </c>
      <c r="AG51" s="54">
        <v>69</v>
      </c>
      <c r="AH51" s="47">
        <f t="shared" si="2"/>
        <v>69</v>
      </c>
      <c r="AI51" s="48">
        <f t="shared" si="3"/>
        <v>0</v>
      </c>
      <c r="AK51" s="49"/>
    </row>
    <row r="52" spans="1:41" x14ac:dyDescent="0.25">
      <c r="A52" s="53" t="s">
        <v>60</v>
      </c>
      <c r="B52" s="56">
        <v>47</v>
      </c>
      <c r="C52" s="56">
        <v>47</v>
      </c>
      <c r="D52" s="56">
        <v>47</v>
      </c>
      <c r="E52" s="56">
        <v>47</v>
      </c>
      <c r="F52" s="56">
        <v>47</v>
      </c>
      <c r="G52" s="56">
        <v>47</v>
      </c>
      <c r="H52" s="56">
        <v>47</v>
      </c>
      <c r="I52" s="56">
        <v>47</v>
      </c>
      <c r="J52" s="56">
        <v>43.1</v>
      </c>
      <c r="K52" s="56">
        <v>43.1</v>
      </c>
      <c r="L52" s="56">
        <v>43.1</v>
      </c>
      <c r="M52" s="65">
        <v>43.3</v>
      </c>
      <c r="N52" s="65">
        <v>46.4</v>
      </c>
      <c r="O52" s="65">
        <v>46.4</v>
      </c>
      <c r="P52" s="65">
        <v>46.1</v>
      </c>
      <c r="Q52" s="65">
        <v>43.8</v>
      </c>
      <c r="R52" s="45">
        <v>44</v>
      </c>
      <c r="S52" s="45">
        <v>44</v>
      </c>
      <c r="T52" s="45">
        <v>44</v>
      </c>
      <c r="U52" s="45">
        <v>44</v>
      </c>
      <c r="V52" s="45">
        <v>44</v>
      </c>
      <c r="W52" s="65">
        <v>42.1</v>
      </c>
      <c r="X52" s="65">
        <v>42.1</v>
      </c>
      <c r="Y52" s="65">
        <v>42.1</v>
      </c>
      <c r="Z52" s="65">
        <v>42.1</v>
      </c>
      <c r="AA52" s="65">
        <v>42.1</v>
      </c>
      <c r="AB52" s="65">
        <v>42.3</v>
      </c>
      <c r="AC52" s="65">
        <v>42.6</v>
      </c>
      <c r="AD52" s="65">
        <v>44</v>
      </c>
      <c r="AE52" s="65">
        <v>48</v>
      </c>
      <c r="AF52" s="65">
        <v>48.1</v>
      </c>
      <c r="AG52" s="54">
        <v>60</v>
      </c>
      <c r="AH52" s="47">
        <f t="shared" si="2"/>
        <v>48.1</v>
      </c>
      <c r="AI52" s="48">
        <f t="shared" si="3"/>
        <v>42.1</v>
      </c>
      <c r="AK52" s="49"/>
    </row>
    <row r="53" spans="1:41" x14ac:dyDescent="0.25">
      <c r="A53" s="53" t="s">
        <v>61</v>
      </c>
      <c r="B53" s="56">
        <v>0</v>
      </c>
      <c r="C53" s="56">
        <v>0</v>
      </c>
      <c r="D53" s="56">
        <v>0</v>
      </c>
      <c r="E53" s="56">
        <v>0</v>
      </c>
      <c r="F53" s="56">
        <v>0</v>
      </c>
      <c r="G53" s="56">
        <v>0</v>
      </c>
      <c r="H53" s="56">
        <v>9.6</v>
      </c>
      <c r="I53" s="56">
        <v>9.5</v>
      </c>
      <c r="J53" s="56">
        <v>9.5</v>
      </c>
      <c r="K53" s="56">
        <v>9.5</v>
      </c>
      <c r="L53" s="56">
        <v>9.5</v>
      </c>
      <c r="M53" s="65">
        <v>15</v>
      </c>
      <c r="N53" s="65">
        <v>14.9</v>
      </c>
      <c r="O53" s="65">
        <v>15.1</v>
      </c>
      <c r="P53" s="65">
        <v>15.1</v>
      </c>
      <c r="Q53" s="65">
        <v>15</v>
      </c>
      <c r="R53" s="45">
        <v>15</v>
      </c>
      <c r="S53" s="45">
        <v>15</v>
      </c>
      <c r="T53" s="45">
        <v>15</v>
      </c>
      <c r="U53" s="45">
        <v>10</v>
      </c>
      <c r="V53" s="45">
        <v>10</v>
      </c>
      <c r="W53" s="65">
        <v>10</v>
      </c>
      <c r="X53" s="65">
        <v>10</v>
      </c>
      <c r="Y53" s="65">
        <v>26</v>
      </c>
      <c r="Z53" s="65">
        <v>29</v>
      </c>
      <c r="AA53" s="65">
        <v>28</v>
      </c>
      <c r="AB53" s="65">
        <v>27.4</v>
      </c>
      <c r="AC53" s="65">
        <v>13.1</v>
      </c>
      <c r="AD53" s="65">
        <v>0</v>
      </c>
      <c r="AE53" s="65">
        <v>0</v>
      </c>
      <c r="AF53" s="65">
        <v>0</v>
      </c>
      <c r="AG53" s="54">
        <v>30</v>
      </c>
      <c r="AH53" s="47">
        <f t="shared" si="2"/>
        <v>29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65">
        <v>2</v>
      </c>
      <c r="N54" s="65">
        <v>4</v>
      </c>
      <c r="O54" s="65">
        <v>6</v>
      </c>
      <c r="P54" s="65">
        <v>6</v>
      </c>
      <c r="Q54" s="65">
        <v>6</v>
      </c>
      <c r="R54" s="65">
        <v>6</v>
      </c>
      <c r="S54" s="65">
        <v>6</v>
      </c>
      <c r="T54" s="65">
        <v>9</v>
      </c>
      <c r="U54" s="65">
        <v>9</v>
      </c>
      <c r="V54" s="65">
        <v>9</v>
      </c>
      <c r="W54" s="45">
        <v>0</v>
      </c>
      <c r="X54" s="4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9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16</v>
      </c>
      <c r="C55" s="65">
        <v>16</v>
      </c>
      <c r="D55" s="65">
        <v>16</v>
      </c>
      <c r="E55" s="65">
        <v>16</v>
      </c>
      <c r="F55" s="65">
        <v>16</v>
      </c>
      <c r="G55" s="65">
        <v>16</v>
      </c>
      <c r="H55" s="65">
        <v>16</v>
      </c>
      <c r="I55" s="65">
        <v>16</v>
      </c>
      <c r="J55" s="65">
        <v>16</v>
      </c>
      <c r="K55" s="65">
        <v>16</v>
      </c>
      <c r="L55" s="65">
        <v>16</v>
      </c>
      <c r="M55" s="65">
        <v>16</v>
      </c>
      <c r="N55" s="65">
        <v>16</v>
      </c>
      <c r="O55" s="65">
        <v>16</v>
      </c>
      <c r="P55" s="65">
        <v>16</v>
      </c>
      <c r="Q55" s="65">
        <v>16</v>
      </c>
      <c r="R55" s="65">
        <v>16</v>
      </c>
      <c r="S55" s="65">
        <v>16</v>
      </c>
      <c r="T55" s="65">
        <v>16</v>
      </c>
      <c r="U55" s="65">
        <v>16</v>
      </c>
      <c r="V55" s="65">
        <v>16</v>
      </c>
      <c r="W55" s="65">
        <v>16</v>
      </c>
      <c r="X55" s="65">
        <v>16</v>
      </c>
      <c r="Y55" s="65">
        <v>16</v>
      </c>
      <c r="Z55" s="65">
        <v>16</v>
      </c>
      <c r="AA55" s="65">
        <v>16</v>
      </c>
      <c r="AB55" s="65">
        <v>16</v>
      </c>
      <c r="AC55" s="65">
        <v>16</v>
      </c>
      <c r="AD55" s="65">
        <v>16</v>
      </c>
      <c r="AE55" s="65">
        <v>16</v>
      </c>
      <c r="AF55" s="65">
        <v>16</v>
      </c>
      <c r="AG55" s="54">
        <v>24</v>
      </c>
      <c r="AH55" s="47">
        <f t="shared" si="2"/>
        <v>16</v>
      </c>
      <c r="AI55" s="48">
        <f t="shared" si="3"/>
        <v>16</v>
      </c>
      <c r="AK55" s="49"/>
    </row>
    <row r="56" spans="1:41" x14ac:dyDescent="0.25">
      <c r="A56" s="53" t="s">
        <v>64</v>
      </c>
      <c r="B56" s="65">
        <v>3.3</v>
      </c>
      <c r="C56" s="65">
        <v>3.3</v>
      </c>
      <c r="D56" s="65">
        <v>3.3</v>
      </c>
      <c r="E56" s="65">
        <v>3.3</v>
      </c>
      <c r="F56" s="65">
        <v>3.3</v>
      </c>
      <c r="G56" s="65">
        <v>3.3</v>
      </c>
      <c r="H56" s="65">
        <v>3.3</v>
      </c>
      <c r="I56" s="65">
        <v>3.3</v>
      </c>
      <c r="J56" s="65">
        <v>3.3</v>
      </c>
      <c r="K56" s="65">
        <v>3.3</v>
      </c>
      <c r="L56" s="65">
        <v>3.3</v>
      </c>
      <c r="M56" s="65">
        <v>3.3</v>
      </c>
      <c r="N56" s="65">
        <v>3.3</v>
      </c>
      <c r="O56" s="65">
        <v>3.3</v>
      </c>
      <c r="P56" s="65">
        <v>3.3</v>
      </c>
      <c r="Q56" s="65">
        <v>3.3</v>
      </c>
      <c r="R56" s="65">
        <v>3.3</v>
      </c>
      <c r="S56" s="65">
        <v>3.3</v>
      </c>
      <c r="T56" s="65">
        <v>3.3</v>
      </c>
      <c r="U56" s="65">
        <v>3.3</v>
      </c>
      <c r="V56" s="65">
        <v>3.3</v>
      </c>
      <c r="W56" s="65">
        <v>3.3</v>
      </c>
      <c r="X56" s="65">
        <v>3.3</v>
      </c>
      <c r="Y56" s="65">
        <v>3.3</v>
      </c>
      <c r="Z56" s="65">
        <v>3.3</v>
      </c>
      <c r="AA56" s="65">
        <v>3.3</v>
      </c>
      <c r="AB56" s="65">
        <v>3.3</v>
      </c>
      <c r="AC56" s="65">
        <v>3.3</v>
      </c>
      <c r="AD56" s="65">
        <v>3.3</v>
      </c>
      <c r="AE56" s="65">
        <v>3.3</v>
      </c>
      <c r="AF56" s="65">
        <v>3.3</v>
      </c>
      <c r="AG56" s="54">
        <v>15</v>
      </c>
      <c r="AH56" s="47">
        <f t="shared" si="2"/>
        <v>3.3</v>
      </c>
      <c r="AI56" s="48">
        <f t="shared" si="3"/>
        <v>3.3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10.6</v>
      </c>
      <c r="C57" s="65">
        <v>10.6</v>
      </c>
      <c r="D57" s="65">
        <v>10.6</v>
      </c>
      <c r="E57" s="65">
        <v>10.6</v>
      </c>
      <c r="F57" s="65">
        <v>10.6</v>
      </c>
      <c r="G57" s="65">
        <v>10.6</v>
      </c>
      <c r="H57" s="65">
        <v>10.6</v>
      </c>
      <c r="I57" s="65">
        <v>10.6</v>
      </c>
      <c r="J57" s="65">
        <v>10.6</v>
      </c>
      <c r="K57" s="65">
        <v>10.6</v>
      </c>
      <c r="L57" s="65">
        <v>10.6</v>
      </c>
      <c r="M57" s="65">
        <v>10.6</v>
      </c>
      <c r="N57" s="65">
        <v>10.6</v>
      </c>
      <c r="O57" s="65">
        <v>10.6</v>
      </c>
      <c r="P57" s="65">
        <v>10.6</v>
      </c>
      <c r="Q57" s="65">
        <v>10.6</v>
      </c>
      <c r="R57" s="65">
        <v>10.6</v>
      </c>
      <c r="S57" s="65">
        <v>10.6</v>
      </c>
      <c r="T57" s="65">
        <v>10.6</v>
      </c>
      <c r="U57" s="65">
        <v>10.6</v>
      </c>
      <c r="V57" s="65">
        <v>10.6</v>
      </c>
      <c r="W57" s="65">
        <v>10.6</v>
      </c>
      <c r="X57" s="65">
        <v>10.6</v>
      </c>
      <c r="Y57" s="65">
        <v>10.6</v>
      </c>
      <c r="Z57" s="65">
        <v>10.6</v>
      </c>
      <c r="AA57" s="65">
        <v>10.6</v>
      </c>
      <c r="AB57" s="65">
        <v>10.6</v>
      </c>
      <c r="AC57" s="65">
        <v>10.6</v>
      </c>
      <c r="AD57" s="65">
        <v>10.6</v>
      </c>
      <c r="AE57" s="65">
        <v>10.6</v>
      </c>
      <c r="AF57" s="65">
        <v>10.6</v>
      </c>
      <c r="AG57" s="54">
        <v>14.1</v>
      </c>
      <c r="AH57" s="47">
        <f t="shared" si="2"/>
        <v>10.6</v>
      </c>
      <c r="AI57" s="48">
        <f t="shared" si="3"/>
        <v>10.6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5</v>
      </c>
      <c r="C58" s="65">
        <v>5</v>
      </c>
      <c r="D58" s="65">
        <v>5</v>
      </c>
      <c r="E58" s="65">
        <v>5</v>
      </c>
      <c r="F58" s="65">
        <v>5</v>
      </c>
      <c r="G58" s="65">
        <v>5</v>
      </c>
      <c r="H58" s="65">
        <v>5</v>
      </c>
      <c r="I58" s="65">
        <v>5</v>
      </c>
      <c r="J58" s="65">
        <v>5</v>
      </c>
      <c r="K58" s="65">
        <v>5</v>
      </c>
      <c r="L58" s="65">
        <v>5</v>
      </c>
      <c r="M58" s="65">
        <v>5</v>
      </c>
      <c r="N58" s="65">
        <v>5</v>
      </c>
      <c r="O58" s="65">
        <v>5</v>
      </c>
      <c r="P58" s="65">
        <v>5</v>
      </c>
      <c r="Q58" s="65">
        <v>5</v>
      </c>
      <c r="R58" s="65">
        <v>5</v>
      </c>
      <c r="S58" s="65">
        <v>5</v>
      </c>
      <c r="T58" s="65">
        <v>5</v>
      </c>
      <c r="U58" s="65">
        <v>5</v>
      </c>
      <c r="V58" s="65">
        <v>5</v>
      </c>
      <c r="W58" s="65">
        <v>5</v>
      </c>
      <c r="X58" s="65">
        <v>5</v>
      </c>
      <c r="Y58" s="65">
        <v>5</v>
      </c>
      <c r="Z58" s="65">
        <v>3</v>
      </c>
      <c r="AA58" s="65">
        <v>3</v>
      </c>
      <c r="AB58" s="65">
        <v>3</v>
      </c>
      <c r="AC58" s="65">
        <v>3</v>
      </c>
      <c r="AD58" s="65">
        <v>3</v>
      </c>
      <c r="AE58" s="65">
        <v>3</v>
      </c>
      <c r="AF58" s="65">
        <v>3</v>
      </c>
      <c r="AG58" s="54">
        <v>14</v>
      </c>
      <c r="AH58" s="47">
        <f t="shared" si="2"/>
        <v>5</v>
      </c>
      <c r="AI58" s="48">
        <f t="shared" si="3"/>
        <v>3</v>
      </c>
      <c r="AK58" s="49"/>
    </row>
    <row r="59" spans="1:41" x14ac:dyDescent="0.25">
      <c r="A59" s="53" t="s">
        <v>67</v>
      </c>
      <c r="B59" s="65">
        <v>5.3</v>
      </c>
      <c r="C59" s="65">
        <v>5.3</v>
      </c>
      <c r="D59" s="65">
        <v>5.3</v>
      </c>
      <c r="E59" s="65">
        <v>5.3</v>
      </c>
      <c r="F59" s="65">
        <v>5.3</v>
      </c>
      <c r="G59" s="65">
        <v>5.3</v>
      </c>
      <c r="H59" s="65">
        <v>5.3</v>
      </c>
      <c r="I59" s="65">
        <v>5.3</v>
      </c>
      <c r="J59" s="65">
        <v>5.3</v>
      </c>
      <c r="K59" s="65">
        <v>5.3</v>
      </c>
      <c r="L59" s="65">
        <v>5.3</v>
      </c>
      <c r="M59" s="65">
        <v>5.3</v>
      </c>
      <c r="N59" s="65">
        <v>5.3</v>
      </c>
      <c r="O59" s="65">
        <v>5.3</v>
      </c>
      <c r="P59" s="65">
        <v>5.3</v>
      </c>
      <c r="Q59" s="65">
        <v>5.3</v>
      </c>
      <c r="R59" s="65">
        <v>5.3</v>
      </c>
      <c r="S59" s="65">
        <v>5.3</v>
      </c>
      <c r="T59" s="65">
        <v>5.3</v>
      </c>
      <c r="U59" s="65">
        <v>5.3</v>
      </c>
      <c r="V59" s="65">
        <v>5.3</v>
      </c>
      <c r="W59" s="65">
        <v>5.3</v>
      </c>
      <c r="X59" s="65">
        <v>5.3</v>
      </c>
      <c r="Y59" s="65">
        <v>5.3</v>
      </c>
      <c r="Z59" s="65">
        <v>5.3</v>
      </c>
      <c r="AA59" s="65">
        <v>5.3</v>
      </c>
      <c r="AB59" s="65">
        <v>5.3</v>
      </c>
      <c r="AC59" s="65">
        <v>5.3</v>
      </c>
      <c r="AD59" s="65">
        <v>5.3</v>
      </c>
      <c r="AE59" s="65">
        <v>5.3</v>
      </c>
      <c r="AF59" s="65">
        <v>5.3</v>
      </c>
      <c r="AG59" s="54">
        <v>10.050000000000001</v>
      </c>
      <c r="AH59" s="47">
        <f t="shared" si="2"/>
        <v>5.3</v>
      </c>
      <c r="AI59" s="48">
        <f t="shared" si="3"/>
        <v>5.3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</v>
      </c>
      <c r="AK61" s="49"/>
    </row>
    <row r="62" spans="1:41" ht="15.75" thickBot="1" x14ac:dyDescent="0.3">
      <c r="A62" s="74" t="s">
        <v>70</v>
      </c>
      <c r="B62" s="60">
        <f t="shared" ref="B62:AG62" si="6">SUM(B49:B61)</f>
        <v>179.94</v>
      </c>
      <c r="C62" s="60">
        <f t="shared" si="6"/>
        <v>179.94</v>
      </c>
      <c r="D62" s="60">
        <f t="shared" si="6"/>
        <v>109.94</v>
      </c>
      <c r="E62" s="60">
        <f t="shared" si="6"/>
        <v>109.94</v>
      </c>
      <c r="F62" s="60">
        <f t="shared" si="6"/>
        <v>109.94</v>
      </c>
      <c r="G62" s="60">
        <f t="shared" si="6"/>
        <v>161.94</v>
      </c>
      <c r="H62" s="60">
        <f t="shared" si="6"/>
        <v>192.14</v>
      </c>
      <c r="I62" s="60">
        <f t="shared" si="6"/>
        <v>193.84</v>
      </c>
      <c r="J62" s="60">
        <f t="shared" si="6"/>
        <v>290.44000000000005</v>
      </c>
      <c r="K62" s="60">
        <f t="shared" si="6"/>
        <v>290.44000000000005</v>
      </c>
      <c r="L62" s="60">
        <f t="shared" si="6"/>
        <v>307.1400000000001</v>
      </c>
      <c r="M62" s="60">
        <f t="shared" si="6"/>
        <v>311.14000000000004</v>
      </c>
      <c r="N62" s="60">
        <f t="shared" si="6"/>
        <v>322.04000000000002</v>
      </c>
      <c r="O62" s="60">
        <f t="shared" si="6"/>
        <v>321.14000000000004</v>
      </c>
      <c r="P62" s="60">
        <f t="shared" si="6"/>
        <v>284.24</v>
      </c>
      <c r="Q62" s="60">
        <f t="shared" si="6"/>
        <v>224.54000000000002</v>
      </c>
      <c r="R62" s="60">
        <f t="shared" si="6"/>
        <v>214.54</v>
      </c>
      <c r="S62" s="60">
        <f t="shared" si="6"/>
        <v>227.94</v>
      </c>
      <c r="T62" s="60">
        <f t="shared" si="6"/>
        <v>225.83999999999997</v>
      </c>
      <c r="U62" s="60">
        <f t="shared" si="6"/>
        <v>225.94</v>
      </c>
      <c r="V62" s="60">
        <f t="shared" si="6"/>
        <v>228.44</v>
      </c>
      <c r="W62" s="60">
        <f t="shared" si="6"/>
        <v>207.14</v>
      </c>
      <c r="X62" s="60">
        <f t="shared" si="6"/>
        <v>270.83999999999997</v>
      </c>
      <c r="Y62" s="60">
        <f t="shared" si="6"/>
        <v>343.70000000000005</v>
      </c>
      <c r="Z62" s="60">
        <f t="shared" si="6"/>
        <v>341.04000000000008</v>
      </c>
      <c r="AA62" s="60">
        <f t="shared" si="6"/>
        <v>317.74</v>
      </c>
      <c r="AB62" s="60">
        <f t="shared" si="6"/>
        <v>295.6400000000001</v>
      </c>
      <c r="AC62" s="60">
        <f t="shared" si="6"/>
        <v>286.04000000000002</v>
      </c>
      <c r="AD62" s="60">
        <f t="shared" si="6"/>
        <v>260.04000000000002</v>
      </c>
      <c r="AE62" s="60">
        <f t="shared" si="6"/>
        <v>187.94</v>
      </c>
      <c r="AF62" s="60">
        <f t="shared" si="6"/>
        <v>115.03999999999999</v>
      </c>
      <c r="AG62" s="61">
        <f t="shared" si="6"/>
        <v>489.91</v>
      </c>
      <c r="AH62" s="47">
        <f t="shared" si="2"/>
        <v>343.70000000000005</v>
      </c>
      <c r="AI62" s="48">
        <f t="shared" si="3"/>
        <v>109.94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38.799999999999997</v>
      </c>
      <c r="P63" s="45">
        <v>49.5</v>
      </c>
      <c r="Q63" s="45">
        <v>43.6</v>
      </c>
      <c r="R63" s="45">
        <v>59.8</v>
      </c>
      <c r="S63" s="45">
        <v>29.7</v>
      </c>
      <c r="T63" s="45">
        <v>14</v>
      </c>
      <c r="U63" s="45">
        <v>0</v>
      </c>
      <c r="V63" s="45">
        <v>0</v>
      </c>
      <c r="W63" s="45">
        <v>0</v>
      </c>
      <c r="X63" s="45">
        <v>0</v>
      </c>
      <c r="Y63" s="45">
        <v>0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1">
        <v>60</v>
      </c>
      <c r="AH63" s="47">
        <f t="shared" si="2"/>
        <v>59.8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25.5</v>
      </c>
      <c r="P64" s="65">
        <v>18</v>
      </c>
      <c r="Q64" s="45">
        <v>17.899999999999999</v>
      </c>
      <c r="R64" s="45">
        <v>27.6</v>
      </c>
      <c r="S64" s="65">
        <v>14.7</v>
      </c>
      <c r="T64" s="65">
        <v>9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54">
        <v>32</v>
      </c>
      <c r="AH64" s="47">
        <f t="shared" si="2"/>
        <v>27.6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0</v>
      </c>
      <c r="N65" s="67">
        <v>0</v>
      </c>
      <c r="O65" s="67">
        <v>9.3000000000000007</v>
      </c>
      <c r="P65" s="67">
        <v>6.7</v>
      </c>
      <c r="Q65" s="45">
        <v>6.5</v>
      </c>
      <c r="R65" s="45">
        <v>10</v>
      </c>
      <c r="S65" s="67">
        <v>5.4</v>
      </c>
      <c r="T65" s="67">
        <v>3.3</v>
      </c>
      <c r="U65" s="67">
        <v>0</v>
      </c>
      <c r="V65" s="67">
        <v>0</v>
      </c>
      <c r="W65" s="67">
        <v>0</v>
      </c>
      <c r="X65" s="67">
        <v>0</v>
      </c>
      <c r="Y65" s="67">
        <v>0</v>
      </c>
      <c r="Z65" s="67">
        <v>0</v>
      </c>
      <c r="AA65" s="67">
        <v>0</v>
      </c>
      <c r="AB65" s="67">
        <v>0</v>
      </c>
      <c r="AC65" s="67">
        <v>0</v>
      </c>
      <c r="AD65" s="67">
        <v>0</v>
      </c>
      <c r="AE65" s="67">
        <v>0</v>
      </c>
      <c r="AF65" s="67">
        <v>0</v>
      </c>
      <c r="AG65" s="68">
        <v>14</v>
      </c>
      <c r="AH65" s="47">
        <f t="shared" si="2"/>
        <v>10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0</v>
      </c>
      <c r="M66" s="60">
        <f t="shared" ref="M66:AF66" si="7">M63+M64+M65</f>
        <v>0</v>
      </c>
      <c r="N66" s="60">
        <f t="shared" si="7"/>
        <v>0</v>
      </c>
      <c r="O66" s="60">
        <f t="shared" si="7"/>
        <v>73.599999999999994</v>
      </c>
      <c r="P66" s="60">
        <f t="shared" si="7"/>
        <v>74.2</v>
      </c>
      <c r="Q66" s="60">
        <f t="shared" si="7"/>
        <v>68</v>
      </c>
      <c r="R66" s="60">
        <f t="shared" si="7"/>
        <v>97.4</v>
      </c>
      <c r="S66" s="60">
        <f t="shared" si="7"/>
        <v>49.8</v>
      </c>
      <c r="T66" s="60">
        <f t="shared" si="7"/>
        <v>26.3</v>
      </c>
      <c r="U66" s="60">
        <f t="shared" si="7"/>
        <v>0</v>
      </c>
      <c r="V66" s="60">
        <f t="shared" si="7"/>
        <v>0</v>
      </c>
      <c r="W66" s="60">
        <f t="shared" si="7"/>
        <v>0</v>
      </c>
      <c r="X66" s="60">
        <f t="shared" si="7"/>
        <v>0</v>
      </c>
      <c r="Y66" s="60">
        <f t="shared" si="7"/>
        <v>0</v>
      </c>
      <c r="Z66" s="60">
        <f t="shared" si="7"/>
        <v>0</v>
      </c>
      <c r="AA66" s="60">
        <f t="shared" si="7"/>
        <v>0</v>
      </c>
      <c r="AB66" s="60">
        <f t="shared" si="7"/>
        <v>0</v>
      </c>
      <c r="AC66" s="60">
        <f t="shared" si="7"/>
        <v>0</v>
      </c>
      <c r="AD66" s="60">
        <f t="shared" si="7"/>
        <v>0</v>
      </c>
      <c r="AE66" s="60">
        <f t="shared" si="7"/>
        <v>0</v>
      </c>
      <c r="AF66" s="60">
        <f t="shared" si="7"/>
        <v>0</v>
      </c>
      <c r="AG66" s="61">
        <f>SUM(AG63:AG65)</f>
        <v>106</v>
      </c>
      <c r="AH66" s="47">
        <f t="shared" si="2"/>
        <v>97.4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62</v>
      </c>
      <c r="C67" s="45">
        <v>53</v>
      </c>
      <c r="D67" s="45">
        <v>51</v>
      </c>
      <c r="E67" s="45">
        <v>60</v>
      </c>
      <c r="F67" s="45">
        <v>63</v>
      </c>
      <c r="G67" s="45">
        <v>59</v>
      </c>
      <c r="H67" s="45">
        <v>56</v>
      </c>
      <c r="I67" s="45">
        <v>57</v>
      </c>
      <c r="J67" s="45">
        <v>68</v>
      </c>
      <c r="K67" s="45">
        <v>61.3</v>
      </c>
      <c r="L67" s="45">
        <v>68</v>
      </c>
      <c r="M67" s="45">
        <v>70</v>
      </c>
      <c r="N67" s="45">
        <v>70.7</v>
      </c>
      <c r="O67" s="45">
        <v>61.8</v>
      </c>
      <c r="P67" s="45">
        <v>64.8</v>
      </c>
      <c r="Q67" s="45">
        <v>64</v>
      </c>
      <c r="R67" s="45">
        <v>70</v>
      </c>
      <c r="S67" s="45">
        <v>60.4</v>
      </c>
      <c r="T67" s="45">
        <v>67.599999999999994</v>
      </c>
      <c r="U67" s="45">
        <v>63.7</v>
      </c>
      <c r="V67" s="45">
        <v>63.9</v>
      </c>
      <c r="W67" s="45">
        <v>68.099999999999994</v>
      </c>
      <c r="X67" s="45">
        <v>68.3</v>
      </c>
      <c r="Y67" s="45">
        <v>64</v>
      </c>
      <c r="Z67" s="45">
        <v>46</v>
      </c>
      <c r="AA67" s="45">
        <v>42</v>
      </c>
      <c r="AB67" s="45">
        <v>54.3</v>
      </c>
      <c r="AC67" s="45">
        <v>55.2</v>
      </c>
      <c r="AD67" s="45">
        <v>62.1</v>
      </c>
      <c r="AE67" s="45">
        <v>66</v>
      </c>
      <c r="AF67" s="45">
        <v>62.1</v>
      </c>
      <c r="AG67" s="51"/>
      <c r="AH67" s="47">
        <f t="shared" si="2"/>
        <v>70.7</v>
      </c>
      <c r="AI67" s="48">
        <f t="shared" si="3"/>
        <v>42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315</v>
      </c>
      <c r="C69" s="65">
        <v>340</v>
      </c>
      <c r="D69" s="65">
        <v>315</v>
      </c>
      <c r="E69" s="65">
        <v>307</v>
      </c>
      <c r="F69" s="65">
        <v>340</v>
      </c>
      <c r="G69" s="65">
        <v>310</v>
      </c>
      <c r="H69" s="65">
        <v>335</v>
      </c>
      <c r="I69" s="65">
        <v>340</v>
      </c>
      <c r="J69" s="65">
        <v>310</v>
      </c>
      <c r="K69" s="65">
        <v>270</v>
      </c>
      <c r="L69" s="65">
        <v>260</v>
      </c>
      <c r="M69" s="65">
        <v>267</v>
      </c>
      <c r="N69" s="65">
        <v>273</v>
      </c>
      <c r="O69" s="65">
        <v>279.10000000000002</v>
      </c>
      <c r="P69" s="65">
        <v>276.7</v>
      </c>
      <c r="Q69" s="65">
        <v>305.89999999999998</v>
      </c>
      <c r="R69" s="65">
        <v>296.60000000000002</v>
      </c>
      <c r="S69" s="65">
        <v>291.3</v>
      </c>
      <c r="T69" s="65">
        <v>313</v>
      </c>
      <c r="U69" s="65">
        <v>309</v>
      </c>
      <c r="V69" s="65">
        <v>309</v>
      </c>
      <c r="W69" s="65">
        <v>295</v>
      </c>
      <c r="X69" s="65">
        <v>300</v>
      </c>
      <c r="Y69" s="65">
        <v>242</v>
      </c>
      <c r="Z69" s="65">
        <v>142</v>
      </c>
      <c r="AA69" s="65">
        <v>133.4</v>
      </c>
      <c r="AB69" s="65">
        <v>213</v>
      </c>
      <c r="AC69" s="65">
        <v>269</v>
      </c>
      <c r="AD69" s="65">
        <v>285</v>
      </c>
      <c r="AE69" s="65">
        <v>275</v>
      </c>
      <c r="AF69" s="65">
        <v>279</v>
      </c>
      <c r="AG69" s="75"/>
      <c r="AH69" s="47">
        <f t="shared" si="2"/>
        <v>340</v>
      </c>
      <c r="AI69" s="48">
        <f t="shared" si="3"/>
        <v>133.4</v>
      </c>
      <c r="AK69" s="49"/>
    </row>
    <row r="70" spans="1:40" x14ac:dyDescent="0.25">
      <c r="A70" s="53" t="s">
        <v>78</v>
      </c>
      <c r="B70" s="76">
        <v>57</v>
      </c>
      <c r="C70" s="76">
        <v>56</v>
      </c>
      <c r="D70" s="76">
        <v>52</v>
      </c>
      <c r="E70" s="76">
        <v>52</v>
      </c>
      <c r="F70" s="76">
        <v>52</v>
      </c>
      <c r="G70" s="76">
        <v>52</v>
      </c>
      <c r="H70" s="76">
        <v>61.5</v>
      </c>
      <c r="I70" s="76">
        <v>68.2</v>
      </c>
      <c r="J70" s="76">
        <v>63.6</v>
      </c>
      <c r="K70" s="76">
        <v>63.6</v>
      </c>
      <c r="L70" s="76">
        <v>63.6</v>
      </c>
      <c r="M70" s="76">
        <v>50.4</v>
      </c>
      <c r="N70" s="76">
        <v>47.4</v>
      </c>
      <c r="O70" s="76">
        <v>69.099999999999994</v>
      </c>
      <c r="P70" s="76">
        <v>60.4</v>
      </c>
      <c r="Q70" s="76">
        <v>55.9</v>
      </c>
      <c r="R70" s="76">
        <v>53</v>
      </c>
      <c r="S70" s="76">
        <v>56.5</v>
      </c>
      <c r="T70" s="76">
        <v>51.4</v>
      </c>
      <c r="U70" s="76">
        <v>60</v>
      </c>
      <c r="V70" s="76">
        <v>54.2</v>
      </c>
      <c r="W70" s="76">
        <v>41.7</v>
      </c>
      <c r="X70" s="76">
        <v>50.8</v>
      </c>
      <c r="Y70" s="65">
        <v>48</v>
      </c>
      <c r="Z70" s="65">
        <v>57</v>
      </c>
      <c r="AA70" s="65">
        <v>62.3</v>
      </c>
      <c r="AB70" s="65">
        <v>60.8</v>
      </c>
      <c r="AC70" s="65">
        <v>50.8</v>
      </c>
      <c r="AD70" s="65">
        <v>50</v>
      </c>
      <c r="AE70" s="65">
        <v>46.2</v>
      </c>
      <c r="AF70" s="65">
        <v>50.3</v>
      </c>
      <c r="AG70" s="75"/>
      <c r="AH70" s="47">
        <f t="shared" si="2"/>
        <v>69.099999999999994</v>
      </c>
      <c r="AI70" s="48">
        <f t="shared" si="3"/>
        <v>41.7</v>
      </c>
      <c r="AK70" s="49"/>
    </row>
    <row r="71" spans="1:40" x14ac:dyDescent="0.25">
      <c r="A71" s="53" t="s">
        <v>79</v>
      </c>
      <c r="B71" s="45">
        <v>30</v>
      </c>
      <c r="C71" s="45">
        <v>30</v>
      </c>
      <c r="D71" s="45">
        <v>30</v>
      </c>
      <c r="E71" s="45">
        <v>30</v>
      </c>
      <c r="F71" s="45">
        <v>30</v>
      </c>
      <c r="G71" s="45">
        <v>30</v>
      </c>
      <c r="H71" s="45">
        <v>30</v>
      </c>
      <c r="I71" s="45">
        <v>30</v>
      </c>
      <c r="J71" s="45">
        <v>30</v>
      </c>
      <c r="K71" s="45">
        <v>30</v>
      </c>
      <c r="L71" s="45">
        <v>30</v>
      </c>
      <c r="M71" s="45">
        <v>30</v>
      </c>
      <c r="N71" s="45">
        <v>30</v>
      </c>
      <c r="O71" s="45">
        <v>30</v>
      </c>
      <c r="P71" s="45">
        <v>25</v>
      </c>
      <c r="Q71" s="45">
        <v>25</v>
      </c>
      <c r="R71" s="45">
        <v>25</v>
      </c>
      <c r="S71" s="45">
        <v>25</v>
      </c>
      <c r="T71" s="45">
        <v>18</v>
      </c>
      <c r="U71" s="45">
        <v>18</v>
      </c>
      <c r="V71" s="45">
        <v>18</v>
      </c>
      <c r="W71" s="45">
        <v>20</v>
      </c>
      <c r="X71" s="45">
        <v>20</v>
      </c>
      <c r="Y71" s="45">
        <v>52</v>
      </c>
      <c r="Z71" s="45">
        <v>52</v>
      </c>
      <c r="AA71" s="45">
        <v>52</v>
      </c>
      <c r="AB71" s="45">
        <v>52</v>
      </c>
      <c r="AC71" s="45">
        <v>15</v>
      </c>
      <c r="AD71" s="45">
        <v>20</v>
      </c>
      <c r="AE71" s="45">
        <v>20</v>
      </c>
      <c r="AF71" s="45">
        <v>25</v>
      </c>
      <c r="AG71" s="75"/>
      <c r="AH71" s="47">
        <f t="shared" si="2"/>
        <v>52</v>
      </c>
      <c r="AI71" s="48">
        <f t="shared" si="3"/>
        <v>15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0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8">MAX(B75:AF75)</f>
        <v>0</v>
      </c>
      <c r="AI75" s="48">
        <f t="shared" ref="AI75:AI113" si="9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8"/>
        <v>0</v>
      </c>
      <c r="AI76" s="48">
        <f t="shared" si="9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8"/>
        <v>0</v>
      </c>
      <c r="AI77" s="48">
        <f t="shared" si="9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F78" si="10">SUMIF(B67:B77,"&gt;0")</f>
        <v>469</v>
      </c>
      <c r="C78" s="60">
        <f t="shared" si="10"/>
        <v>484</v>
      </c>
      <c r="D78" s="60">
        <f t="shared" si="10"/>
        <v>448</v>
      </c>
      <c r="E78" s="60">
        <f t="shared" si="10"/>
        <v>449</v>
      </c>
      <c r="F78" s="60">
        <f t="shared" si="10"/>
        <v>485</v>
      </c>
      <c r="G78" s="60">
        <f t="shared" si="10"/>
        <v>451</v>
      </c>
      <c r="H78" s="60">
        <f t="shared" si="10"/>
        <v>482.5</v>
      </c>
      <c r="I78" s="60">
        <f t="shared" si="10"/>
        <v>495.2</v>
      </c>
      <c r="J78" s="60">
        <f t="shared" si="10"/>
        <v>471.6</v>
      </c>
      <c r="K78" s="60">
        <f t="shared" si="10"/>
        <v>424.90000000000003</v>
      </c>
      <c r="L78" s="60">
        <f t="shared" si="10"/>
        <v>421.6</v>
      </c>
      <c r="M78" s="60">
        <f t="shared" si="10"/>
        <v>417.4</v>
      </c>
      <c r="N78" s="60">
        <f t="shared" si="10"/>
        <v>421.09999999999997</v>
      </c>
      <c r="O78" s="60">
        <f t="shared" si="10"/>
        <v>445</v>
      </c>
      <c r="P78" s="60">
        <f t="shared" si="10"/>
        <v>431.9</v>
      </c>
      <c r="Q78" s="60">
        <f t="shared" si="10"/>
        <v>455.79999999999995</v>
      </c>
      <c r="R78" s="60">
        <f t="shared" si="10"/>
        <v>449.6</v>
      </c>
      <c r="S78" s="60">
        <f>SUMIF(S67:S77,"&gt;0")</f>
        <v>438.2</v>
      </c>
      <c r="T78" s="60">
        <f t="shared" si="10"/>
        <v>455</v>
      </c>
      <c r="U78" s="60">
        <f t="shared" si="10"/>
        <v>455.7</v>
      </c>
      <c r="V78" s="60">
        <f t="shared" si="10"/>
        <v>450.09999999999997</v>
      </c>
      <c r="W78" s="60">
        <f t="shared" si="10"/>
        <v>429.8</v>
      </c>
      <c r="X78" s="60">
        <f t="shared" si="10"/>
        <v>444.1</v>
      </c>
      <c r="Y78" s="60">
        <f t="shared" si="10"/>
        <v>411</v>
      </c>
      <c r="Z78" s="60">
        <f t="shared" si="10"/>
        <v>302</v>
      </c>
      <c r="AA78" s="60">
        <f t="shared" si="10"/>
        <v>294.7</v>
      </c>
      <c r="AB78" s="60">
        <f t="shared" si="10"/>
        <v>385.1</v>
      </c>
      <c r="AC78" s="60">
        <f t="shared" si="10"/>
        <v>395</v>
      </c>
      <c r="AD78" s="60">
        <f t="shared" si="10"/>
        <v>422.1</v>
      </c>
      <c r="AE78" s="60">
        <f t="shared" si="10"/>
        <v>412.2</v>
      </c>
      <c r="AF78" s="60">
        <f t="shared" si="10"/>
        <v>421.40000000000003</v>
      </c>
      <c r="AG78" s="88">
        <f>SUM(AG67:AG77)</f>
        <v>0</v>
      </c>
      <c r="AH78" s="47">
        <f t="shared" si="8"/>
        <v>495.2</v>
      </c>
      <c r="AI78" s="48">
        <f t="shared" si="9"/>
        <v>294.7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8"/>
        <v>0</v>
      </c>
      <c r="AI79" s="48">
        <f t="shared" si="9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8"/>
        <v>0</v>
      </c>
      <c r="AI80" s="48">
        <f t="shared" si="9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8"/>
        <v>0</v>
      </c>
      <c r="AI81" s="48">
        <f t="shared" si="9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8"/>
        <v>0</v>
      </c>
      <c r="AI82" s="48">
        <f t="shared" si="9"/>
        <v>0</v>
      </c>
    </row>
    <row r="83" spans="1:37" ht="15.75" thickBot="1" x14ac:dyDescent="0.3">
      <c r="A83" s="74" t="s">
        <v>94</v>
      </c>
      <c r="B83" s="95">
        <f>B44+B48+B66+B62+B78+B82</f>
        <v>1065.04</v>
      </c>
      <c r="C83" s="95">
        <f t="shared" ref="C83:AG83" si="11">C44+C48+C66+C62+C78+C82</f>
        <v>1080.04</v>
      </c>
      <c r="D83" s="95">
        <f t="shared" si="11"/>
        <v>973.64</v>
      </c>
      <c r="E83" s="95">
        <f t="shared" si="11"/>
        <v>974.64</v>
      </c>
      <c r="F83" s="95">
        <f t="shared" si="11"/>
        <v>1010.64</v>
      </c>
      <c r="G83" s="95">
        <f t="shared" si="11"/>
        <v>1028.1399999999999</v>
      </c>
      <c r="H83" s="95">
        <f t="shared" si="11"/>
        <v>1087.44</v>
      </c>
      <c r="I83" s="95">
        <f t="shared" si="11"/>
        <v>1121.8399999999999</v>
      </c>
      <c r="J83" s="95">
        <f t="shared" si="11"/>
        <v>1244.8400000000001</v>
      </c>
      <c r="K83" s="95">
        <f t="shared" si="11"/>
        <v>1198.1400000000001</v>
      </c>
      <c r="L83" s="95">
        <f t="shared" si="11"/>
        <v>1241.54</v>
      </c>
      <c r="M83" s="95">
        <f t="shared" si="11"/>
        <v>1281.7400000000002</v>
      </c>
      <c r="N83" s="95">
        <f t="shared" si="11"/>
        <v>1306.3399999999999</v>
      </c>
      <c r="O83" s="95">
        <f t="shared" si="11"/>
        <v>1303.94</v>
      </c>
      <c r="P83" s="95">
        <f t="shared" si="11"/>
        <v>1245.54</v>
      </c>
      <c r="Q83" s="95">
        <f t="shared" si="11"/>
        <v>1213.54</v>
      </c>
      <c r="R83" s="95">
        <f t="shared" si="11"/>
        <v>1201.74</v>
      </c>
      <c r="S83" s="95">
        <f t="shared" si="11"/>
        <v>1160.94</v>
      </c>
      <c r="T83" s="95">
        <f t="shared" si="11"/>
        <v>1142.1399999999999</v>
      </c>
      <c r="U83" s="95">
        <f t="shared" si="11"/>
        <v>1147.6399999999999</v>
      </c>
      <c r="V83" s="95">
        <f t="shared" si="11"/>
        <v>1144.54</v>
      </c>
      <c r="W83" s="95">
        <f t="shared" si="11"/>
        <v>1100.9399999999998</v>
      </c>
      <c r="X83" s="95">
        <f t="shared" si="11"/>
        <v>1180.8400000000001</v>
      </c>
      <c r="Y83" s="95">
        <f t="shared" si="11"/>
        <v>1348.5</v>
      </c>
      <c r="Z83" s="95">
        <f t="shared" si="11"/>
        <v>1336.8400000000001</v>
      </c>
      <c r="AA83" s="95">
        <f t="shared" si="11"/>
        <v>1296.1400000000001</v>
      </c>
      <c r="AB83" s="95">
        <f t="shared" si="11"/>
        <v>1256.44</v>
      </c>
      <c r="AC83" s="95">
        <f t="shared" si="11"/>
        <v>1249.1399999999999</v>
      </c>
      <c r="AD83" s="95">
        <f t="shared" si="11"/>
        <v>1224.6399999999999</v>
      </c>
      <c r="AE83" s="95">
        <f t="shared" si="11"/>
        <v>1067.54</v>
      </c>
      <c r="AF83" s="95">
        <f t="shared" si="11"/>
        <v>1000.1400000000001</v>
      </c>
      <c r="AG83" s="61">
        <f t="shared" si="11"/>
        <v>2004.1900000000003</v>
      </c>
      <c r="AH83" s="47">
        <f>MAX(B83:AF83)</f>
        <v>1348.5</v>
      </c>
      <c r="AI83" s="48">
        <f>MIN(B83:AF83)</f>
        <v>973.64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>
        <v>60</v>
      </c>
      <c r="L84" s="97">
        <v>60</v>
      </c>
      <c r="M84" s="97">
        <v>60</v>
      </c>
      <c r="N84" s="97">
        <v>50</v>
      </c>
      <c r="O84" s="97">
        <v>30</v>
      </c>
      <c r="P84" s="97">
        <v>30</v>
      </c>
      <c r="Q84" s="97">
        <v>0</v>
      </c>
      <c r="R84" s="97">
        <v>0</v>
      </c>
      <c r="S84" s="97">
        <v>0</v>
      </c>
      <c r="T84" s="97"/>
      <c r="U84" s="97"/>
      <c r="V84" s="97"/>
      <c r="W84" s="97">
        <v>100</v>
      </c>
      <c r="X84" s="97">
        <v>100</v>
      </c>
      <c r="Y84" s="97">
        <v>100</v>
      </c>
      <c r="Z84" s="97">
        <v>100</v>
      </c>
      <c r="AA84" s="97">
        <v>100</v>
      </c>
      <c r="AB84" s="97">
        <v>100</v>
      </c>
      <c r="AC84" s="97"/>
      <c r="AD84" s="97"/>
      <c r="AE84" s="97"/>
      <c r="AF84" s="97"/>
      <c r="AG84" s="88"/>
      <c r="AH84" s="47">
        <f t="shared" si="8"/>
        <v>100</v>
      </c>
      <c r="AI84" s="48">
        <f t="shared" si="9"/>
        <v>0</v>
      </c>
    </row>
    <row r="85" spans="1:37" ht="15.75" thickBot="1" x14ac:dyDescent="0.3">
      <c r="A85" s="74" t="s">
        <v>96</v>
      </c>
      <c r="B85" s="95">
        <f>B83+B84</f>
        <v>1065.04</v>
      </c>
      <c r="C85" s="95">
        <f t="shared" ref="C85:AF85" si="12">C83+C84</f>
        <v>1080.04</v>
      </c>
      <c r="D85" s="95">
        <f t="shared" si="12"/>
        <v>973.64</v>
      </c>
      <c r="E85" s="95">
        <f t="shared" si="12"/>
        <v>974.64</v>
      </c>
      <c r="F85" s="95">
        <f t="shared" si="12"/>
        <v>1010.64</v>
      </c>
      <c r="G85" s="95">
        <f t="shared" si="12"/>
        <v>1028.1399999999999</v>
      </c>
      <c r="H85" s="95">
        <f t="shared" si="12"/>
        <v>1087.44</v>
      </c>
      <c r="I85" s="95">
        <f t="shared" si="12"/>
        <v>1121.8399999999999</v>
      </c>
      <c r="J85" s="95">
        <f t="shared" si="12"/>
        <v>1244.8400000000001</v>
      </c>
      <c r="K85" s="95">
        <f t="shared" si="12"/>
        <v>1258.1400000000001</v>
      </c>
      <c r="L85" s="95">
        <f t="shared" si="12"/>
        <v>1301.54</v>
      </c>
      <c r="M85" s="95">
        <f t="shared" si="12"/>
        <v>1341.7400000000002</v>
      </c>
      <c r="N85" s="95">
        <f t="shared" si="12"/>
        <v>1356.34</v>
      </c>
      <c r="O85" s="95">
        <f t="shared" si="12"/>
        <v>1333.94</v>
      </c>
      <c r="P85" s="95">
        <f t="shared" si="12"/>
        <v>1275.54</v>
      </c>
      <c r="Q85" s="95">
        <f t="shared" si="12"/>
        <v>1213.54</v>
      </c>
      <c r="R85" s="95">
        <f t="shared" si="12"/>
        <v>1201.74</v>
      </c>
      <c r="S85" s="95">
        <f t="shared" si="12"/>
        <v>1160.94</v>
      </c>
      <c r="T85" s="95">
        <f t="shared" si="12"/>
        <v>1142.1399999999999</v>
      </c>
      <c r="U85" s="95">
        <f t="shared" si="12"/>
        <v>1147.6399999999999</v>
      </c>
      <c r="V85" s="95">
        <f t="shared" si="12"/>
        <v>1144.54</v>
      </c>
      <c r="W85" s="95">
        <f t="shared" si="12"/>
        <v>1200.9399999999998</v>
      </c>
      <c r="X85" s="95">
        <f t="shared" si="12"/>
        <v>1280.8400000000001</v>
      </c>
      <c r="Y85" s="95">
        <f t="shared" si="12"/>
        <v>1448.5</v>
      </c>
      <c r="Z85" s="95">
        <f t="shared" si="12"/>
        <v>1436.8400000000001</v>
      </c>
      <c r="AA85" s="95">
        <f t="shared" si="12"/>
        <v>1396.14</v>
      </c>
      <c r="AB85" s="95">
        <f t="shared" si="12"/>
        <v>1356.44</v>
      </c>
      <c r="AC85" s="95">
        <f t="shared" si="12"/>
        <v>1249.1399999999999</v>
      </c>
      <c r="AD85" s="95">
        <f t="shared" si="12"/>
        <v>1224.6399999999999</v>
      </c>
      <c r="AE85" s="95">
        <f t="shared" si="12"/>
        <v>1067.54</v>
      </c>
      <c r="AF85" s="95">
        <f t="shared" si="12"/>
        <v>1000.1400000000001</v>
      </c>
      <c r="AG85" s="88">
        <f>AG82+AG78+AG66+AG62+AG44+AG84</f>
        <v>1466.0900000000001</v>
      </c>
      <c r="AH85" s="47">
        <f t="shared" si="8"/>
        <v>1448.5</v>
      </c>
      <c r="AI85" s="48">
        <f t="shared" si="9"/>
        <v>973.64</v>
      </c>
    </row>
    <row r="86" spans="1:37" ht="15.75" thickBot="1" x14ac:dyDescent="0.3">
      <c r="A86" s="74" t="s">
        <v>97</v>
      </c>
      <c r="B86" s="95">
        <f t="shared" ref="B86:AF86" si="13">B85-B93</f>
        <v>1065.04</v>
      </c>
      <c r="C86" s="95">
        <f t="shared" si="13"/>
        <v>1080.04</v>
      </c>
      <c r="D86" s="95">
        <f t="shared" si="13"/>
        <v>973.64</v>
      </c>
      <c r="E86" s="95">
        <f t="shared" si="13"/>
        <v>974.64</v>
      </c>
      <c r="F86" s="95">
        <f t="shared" si="13"/>
        <v>1010.64</v>
      </c>
      <c r="G86" s="95">
        <f t="shared" si="13"/>
        <v>1028.1399999999999</v>
      </c>
      <c r="H86" s="95">
        <f t="shared" si="13"/>
        <v>1087.44</v>
      </c>
      <c r="I86" s="95">
        <f t="shared" si="13"/>
        <v>1121.8399999999999</v>
      </c>
      <c r="J86" s="95">
        <f t="shared" si="13"/>
        <v>1244.8400000000001</v>
      </c>
      <c r="K86" s="95">
        <f t="shared" si="13"/>
        <v>1258.1400000000001</v>
      </c>
      <c r="L86" s="95">
        <f t="shared" si="13"/>
        <v>1301.54</v>
      </c>
      <c r="M86" s="95">
        <f t="shared" si="13"/>
        <v>1341.7400000000002</v>
      </c>
      <c r="N86" s="95">
        <f t="shared" si="13"/>
        <v>1356.34</v>
      </c>
      <c r="O86" s="95">
        <f t="shared" si="13"/>
        <v>1333.94</v>
      </c>
      <c r="P86" s="95">
        <f t="shared" si="13"/>
        <v>1275.54</v>
      </c>
      <c r="Q86" s="95">
        <f t="shared" si="13"/>
        <v>1213.54</v>
      </c>
      <c r="R86" s="95">
        <f t="shared" si="13"/>
        <v>1201.74</v>
      </c>
      <c r="S86" s="95">
        <f t="shared" si="13"/>
        <v>1160.94</v>
      </c>
      <c r="T86" s="95">
        <f t="shared" si="13"/>
        <v>1142.1399999999999</v>
      </c>
      <c r="U86" s="95">
        <f t="shared" si="13"/>
        <v>1147.6399999999999</v>
      </c>
      <c r="V86" s="95">
        <f t="shared" si="13"/>
        <v>1144.54</v>
      </c>
      <c r="W86" s="95">
        <f t="shared" si="13"/>
        <v>1200.9399999999998</v>
      </c>
      <c r="X86" s="95">
        <f t="shared" si="13"/>
        <v>1280.8400000000001</v>
      </c>
      <c r="Y86" s="95">
        <f t="shared" si="13"/>
        <v>1448.5</v>
      </c>
      <c r="Z86" s="95">
        <f t="shared" si="13"/>
        <v>1436.8400000000001</v>
      </c>
      <c r="AA86" s="95">
        <f t="shared" si="13"/>
        <v>1396.14</v>
      </c>
      <c r="AB86" s="95">
        <f t="shared" si="13"/>
        <v>1356.44</v>
      </c>
      <c r="AC86" s="95">
        <f t="shared" si="13"/>
        <v>1249.1399999999999</v>
      </c>
      <c r="AD86" s="95">
        <f t="shared" si="13"/>
        <v>1224.6399999999999</v>
      </c>
      <c r="AE86" s="95">
        <f t="shared" si="13"/>
        <v>1067.54</v>
      </c>
      <c r="AF86" s="95">
        <f t="shared" si="13"/>
        <v>1000.1400000000001</v>
      </c>
      <c r="AG86" s="88"/>
      <c r="AH86" s="47">
        <f t="shared" si="8"/>
        <v>1448.5</v>
      </c>
      <c r="AI86" s="48">
        <f t="shared" si="9"/>
        <v>973.64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8"/>
        <v>0</v>
      </c>
      <c r="AI87" s="48">
        <f t="shared" si="9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8"/>
        <v>0</v>
      </c>
      <c r="AI88" s="48">
        <f t="shared" si="9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8"/>
        <v>0</v>
      </c>
      <c r="AI89" s="48">
        <f t="shared" si="9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8"/>
        <v>0</v>
      </c>
      <c r="AI90" s="48">
        <f t="shared" si="9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8"/>
        <v>0</v>
      </c>
      <c r="AI91" s="48">
        <f t="shared" si="9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8"/>
        <v>0</v>
      </c>
      <c r="AI92" s="48">
        <f t="shared" si="9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88"/>
      <c r="AH93" s="47">
        <f t="shared" si="8"/>
        <v>0</v>
      </c>
      <c r="AI93" s="48">
        <f t="shared" si="9"/>
        <v>0</v>
      </c>
      <c r="AK93" s="49"/>
    </row>
    <row r="94" spans="1:37" ht="15.75" thickBot="1" x14ac:dyDescent="0.3">
      <c r="A94" s="74" t="s">
        <v>102</v>
      </c>
      <c r="B94" s="60">
        <f t="shared" ref="B94:AF94" si="14">B78-B93</f>
        <v>469</v>
      </c>
      <c r="C94" s="60">
        <f t="shared" si="14"/>
        <v>484</v>
      </c>
      <c r="D94" s="60">
        <f t="shared" si="14"/>
        <v>448</v>
      </c>
      <c r="E94" s="60">
        <f t="shared" si="14"/>
        <v>449</v>
      </c>
      <c r="F94" s="60">
        <f t="shared" si="14"/>
        <v>485</v>
      </c>
      <c r="G94" s="60">
        <f t="shared" si="14"/>
        <v>451</v>
      </c>
      <c r="H94" s="60">
        <f t="shared" si="14"/>
        <v>482.5</v>
      </c>
      <c r="I94" s="60">
        <f t="shared" si="14"/>
        <v>495.2</v>
      </c>
      <c r="J94" s="60">
        <f t="shared" si="14"/>
        <v>471.6</v>
      </c>
      <c r="K94" s="60">
        <f t="shared" si="14"/>
        <v>424.90000000000003</v>
      </c>
      <c r="L94" s="60">
        <f t="shared" si="14"/>
        <v>421.6</v>
      </c>
      <c r="M94" s="60">
        <f t="shared" si="14"/>
        <v>417.4</v>
      </c>
      <c r="N94" s="60">
        <f t="shared" si="14"/>
        <v>421.09999999999997</v>
      </c>
      <c r="O94" s="60">
        <f t="shared" si="14"/>
        <v>445</v>
      </c>
      <c r="P94" s="60">
        <f t="shared" si="14"/>
        <v>431.9</v>
      </c>
      <c r="Q94" s="60">
        <f t="shared" si="14"/>
        <v>455.79999999999995</v>
      </c>
      <c r="R94" s="60">
        <f t="shared" si="14"/>
        <v>449.6</v>
      </c>
      <c r="S94" s="60">
        <f t="shared" si="14"/>
        <v>438.2</v>
      </c>
      <c r="T94" s="60">
        <f t="shared" si="14"/>
        <v>455</v>
      </c>
      <c r="U94" s="60">
        <f t="shared" si="14"/>
        <v>455.7</v>
      </c>
      <c r="V94" s="60">
        <f t="shared" si="14"/>
        <v>450.09999999999997</v>
      </c>
      <c r="W94" s="60">
        <f t="shared" si="14"/>
        <v>429.8</v>
      </c>
      <c r="X94" s="60">
        <f t="shared" si="14"/>
        <v>444.1</v>
      </c>
      <c r="Y94" s="60">
        <f t="shared" si="14"/>
        <v>411</v>
      </c>
      <c r="Z94" s="60">
        <f t="shared" si="14"/>
        <v>302</v>
      </c>
      <c r="AA94" s="60">
        <f t="shared" si="14"/>
        <v>294.7</v>
      </c>
      <c r="AB94" s="60">
        <f t="shared" si="14"/>
        <v>385.1</v>
      </c>
      <c r="AC94" s="60">
        <f t="shared" si="14"/>
        <v>395</v>
      </c>
      <c r="AD94" s="60">
        <f t="shared" si="14"/>
        <v>422.1</v>
      </c>
      <c r="AE94" s="60">
        <f t="shared" si="14"/>
        <v>412.2</v>
      </c>
      <c r="AF94" s="60">
        <f t="shared" si="14"/>
        <v>421.40000000000003</v>
      </c>
      <c r="AG94" s="88"/>
      <c r="AH94" s="47">
        <f t="shared" si="8"/>
        <v>495.2</v>
      </c>
      <c r="AI94" s="48">
        <f t="shared" si="9"/>
        <v>294.7</v>
      </c>
    </row>
    <row r="95" spans="1:37" x14ac:dyDescent="0.25">
      <c r="A95" s="100" t="s">
        <v>103</v>
      </c>
      <c r="B95" s="101">
        <v>49.9</v>
      </c>
      <c r="C95" s="101">
        <v>49.9</v>
      </c>
      <c r="D95" s="101">
        <v>49.96</v>
      </c>
      <c r="E95" s="101">
        <v>49.96</v>
      </c>
      <c r="F95" s="101">
        <v>49.96</v>
      </c>
      <c r="G95" s="101">
        <v>49.96</v>
      </c>
      <c r="H95" s="101">
        <v>50.08</v>
      </c>
      <c r="I95" s="101">
        <v>50.01</v>
      </c>
      <c r="J95" s="101">
        <v>50.06</v>
      </c>
      <c r="K95" s="101">
        <v>49.82</v>
      </c>
      <c r="L95" s="101">
        <v>49.97</v>
      </c>
      <c r="M95" s="101">
        <v>50.052</v>
      </c>
      <c r="N95" s="101">
        <v>50.055999999999997</v>
      </c>
      <c r="O95" s="101">
        <v>49.97</v>
      </c>
      <c r="P95" s="101">
        <v>50.036000000000001</v>
      </c>
      <c r="Q95" s="101">
        <v>50.029000000000003</v>
      </c>
      <c r="R95" s="101">
        <v>49.923999999999999</v>
      </c>
      <c r="S95" s="101">
        <v>49.993000000000002</v>
      </c>
      <c r="T95" s="101">
        <v>49.786000000000001</v>
      </c>
      <c r="U95" s="101">
        <v>49.923000000000002</v>
      </c>
      <c r="V95" s="101">
        <v>50.067</v>
      </c>
      <c r="W95" s="101">
        <v>50.116999999999997</v>
      </c>
      <c r="X95" s="101">
        <v>50.072000000000003</v>
      </c>
      <c r="Y95" s="101">
        <v>50.02</v>
      </c>
      <c r="Z95" s="101">
        <v>49.844999999999999</v>
      </c>
      <c r="AA95" s="101">
        <v>49.874000000000002</v>
      </c>
      <c r="AB95" s="101">
        <v>50.03</v>
      </c>
      <c r="AC95" s="101">
        <v>50.087000000000003</v>
      </c>
      <c r="AD95" s="101">
        <v>49.968000000000004</v>
      </c>
      <c r="AE95" s="101">
        <v>49.9</v>
      </c>
      <c r="AF95" s="101">
        <v>49.963999999999999</v>
      </c>
      <c r="AG95" s="102"/>
      <c r="AH95" s="47">
        <f t="shared" si="8"/>
        <v>50.116999999999997</v>
      </c>
      <c r="AI95" s="48">
        <f t="shared" si="9"/>
        <v>49.786000000000001</v>
      </c>
    </row>
    <row r="96" spans="1:37" x14ac:dyDescent="0.25">
      <c r="A96" s="103" t="s">
        <v>104</v>
      </c>
      <c r="B96" s="65">
        <v>129</v>
      </c>
      <c r="C96" s="65">
        <v>129</v>
      </c>
      <c r="D96" s="65">
        <v>130</v>
      </c>
      <c r="E96" s="65">
        <v>130</v>
      </c>
      <c r="F96" s="65">
        <v>130</v>
      </c>
      <c r="G96" s="65">
        <v>130</v>
      </c>
      <c r="H96" s="65">
        <v>129.30000000000001</v>
      </c>
      <c r="I96" s="65">
        <v>128.19999999999999</v>
      </c>
      <c r="J96" s="65">
        <v>128.5</v>
      </c>
      <c r="K96" s="65">
        <v>130</v>
      </c>
      <c r="L96" s="65">
        <v>129.30000000000001</v>
      </c>
      <c r="M96" s="65">
        <v>127</v>
      </c>
      <c r="N96" s="65">
        <v>125.2</v>
      </c>
      <c r="O96" s="65">
        <v>128.6</v>
      </c>
      <c r="P96" s="65">
        <v>128.19999999999999</v>
      </c>
      <c r="Q96" s="65">
        <v>128</v>
      </c>
      <c r="R96" s="65">
        <v>128</v>
      </c>
      <c r="S96" s="65">
        <v>127.1</v>
      </c>
      <c r="T96" s="65">
        <v>126.5</v>
      </c>
      <c r="U96" s="65">
        <v>126.1</v>
      </c>
      <c r="V96" s="65">
        <v>128</v>
      </c>
      <c r="W96" s="65">
        <v>130.6</v>
      </c>
      <c r="X96" s="65">
        <v>129.4</v>
      </c>
      <c r="Y96" s="65">
        <v>127.4</v>
      </c>
      <c r="Z96" s="65">
        <v>128.30000000000001</v>
      </c>
      <c r="AA96" s="65">
        <v>129.19999999999999</v>
      </c>
      <c r="AB96" s="65">
        <v>130</v>
      </c>
      <c r="AC96" s="65">
        <v>128.19999999999999</v>
      </c>
      <c r="AD96" s="65">
        <v>127.6</v>
      </c>
      <c r="AE96" s="65">
        <v>129.5</v>
      </c>
      <c r="AF96" s="65">
        <v>130.4</v>
      </c>
      <c r="AG96" s="104"/>
      <c r="AH96" s="47">
        <f t="shared" si="8"/>
        <v>130.6</v>
      </c>
      <c r="AI96" s="48">
        <f t="shared" si="9"/>
        <v>125.2</v>
      </c>
    </row>
    <row r="97" spans="1:35" x14ac:dyDescent="0.25">
      <c r="A97" s="103" t="s">
        <v>105</v>
      </c>
      <c r="B97" s="65">
        <v>132.6</v>
      </c>
      <c r="C97" s="65">
        <v>132.6</v>
      </c>
      <c r="D97" s="65">
        <v>133</v>
      </c>
      <c r="E97" s="65">
        <v>133</v>
      </c>
      <c r="F97" s="65">
        <v>133</v>
      </c>
      <c r="G97" s="65">
        <v>133</v>
      </c>
      <c r="H97" s="65">
        <v>132.30000000000001</v>
      </c>
      <c r="I97" s="65">
        <v>131.30000000000001</v>
      </c>
      <c r="J97" s="65">
        <v>131.1</v>
      </c>
      <c r="K97" s="65">
        <v>131.80000000000001</v>
      </c>
      <c r="L97" s="65">
        <v>130.6</v>
      </c>
      <c r="M97" s="65">
        <v>129</v>
      </c>
      <c r="N97" s="65">
        <v>127.7</v>
      </c>
      <c r="O97" s="65">
        <v>130.4</v>
      </c>
      <c r="P97" s="65">
        <v>130</v>
      </c>
      <c r="Q97" s="65">
        <v>130</v>
      </c>
      <c r="R97" s="65">
        <v>130</v>
      </c>
      <c r="S97" s="65">
        <v>130.4</v>
      </c>
      <c r="T97" s="65">
        <v>129.80000000000001</v>
      </c>
      <c r="U97" s="65">
        <v>130</v>
      </c>
      <c r="V97" s="65">
        <v>131</v>
      </c>
      <c r="W97" s="65">
        <v>132.19999999999999</v>
      </c>
      <c r="X97" s="65">
        <v>130.69999999999999</v>
      </c>
      <c r="Y97" s="65">
        <v>128.6</v>
      </c>
      <c r="Z97" s="65">
        <v>130</v>
      </c>
      <c r="AA97" s="65">
        <v>130.69999999999999</v>
      </c>
      <c r="AB97" s="65">
        <v>131.5</v>
      </c>
      <c r="AC97" s="65">
        <v>130.4</v>
      </c>
      <c r="AD97" s="65">
        <v>130.30000000000001</v>
      </c>
      <c r="AE97" s="65">
        <v>132.80000000000001</v>
      </c>
      <c r="AF97" s="65">
        <v>133.5</v>
      </c>
      <c r="AG97" s="104"/>
      <c r="AH97" s="47">
        <f t="shared" si="8"/>
        <v>133.5</v>
      </c>
      <c r="AI97" s="48">
        <f t="shared" si="9"/>
        <v>127.7</v>
      </c>
    </row>
    <row r="98" spans="1:35" x14ac:dyDescent="0.25">
      <c r="A98" s="103" t="s">
        <v>106</v>
      </c>
      <c r="B98" s="65">
        <v>130</v>
      </c>
      <c r="C98" s="65">
        <v>130</v>
      </c>
      <c r="D98" s="65">
        <v>130</v>
      </c>
      <c r="E98" s="65">
        <v>130</v>
      </c>
      <c r="F98" s="65">
        <v>130</v>
      </c>
      <c r="G98" s="65">
        <v>130</v>
      </c>
      <c r="H98" s="65">
        <v>129.69999999999999</v>
      </c>
      <c r="I98" s="65">
        <v>132.80000000000001</v>
      </c>
      <c r="J98" s="65">
        <v>130.9</v>
      </c>
      <c r="K98" s="65">
        <v>129.19999999999999</v>
      </c>
      <c r="L98" s="65">
        <v>128.80000000000001</v>
      </c>
      <c r="M98" s="65">
        <v>128</v>
      </c>
      <c r="N98" s="65">
        <v>127.4</v>
      </c>
      <c r="O98" s="65">
        <v>129.9</v>
      </c>
      <c r="P98" s="65">
        <v>132.6</v>
      </c>
      <c r="Q98" s="65">
        <v>130.69999999999999</v>
      </c>
      <c r="R98" s="65">
        <v>130.69999999999999</v>
      </c>
      <c r="S98" s="65">
        <v>129.80000000000001</v>
      </c>
      <c r="T98" s="65">
        <v>129.4</v>
      </c>
      <c r="U98" s="65">
        <v>129</v>
      </c>
      <c r="V98" s="65">
        <v>130</v>
      </c>
      <c r="W98" s="65">
        <v>130.19999999999999</v>
      </c>
      <c r="X98" s="65">
        <v>127.9</v>
      </c>
      <c r="Y98" s="65">
        <v>129.4</v>
      </c>
      <c r="Z98" s="65">
        <v>130</v>
      </c>
      <c r="AA98" s="65">
        <v>129.1</v>
      </c>
      <c r="AB98" s="65">
        <v>131.6</v>
      </c>
      <c r="AC98" s="65">
        <v>131.30000000000001</v>
      </c>
      <c r="AD98" s="65">
        <v>130.5</v>
      </c>
      <c r="AE98" s="65">
        <v>132.4</v>
      </c>
      <c r="AF98" s="65">
        <v>134.1</v>
      </c>
      <c r="AG98" s="104"/>
      <c r="AH98" s="47">
        <f t="shared" si="8"/>
        <v>134.1</v>
      </c>
      <c r="AI98" s="48">
        <f t="shared" si="9"/>
        <v>127.4</v>
      </c>
    </row>
    <row r="99" spans="1:35" x14ac:dyDescent="0.25">
      <c r="A99" s="105" t="s">
        <v>107</v>
      </c>
      <c r="B99" s="65">
        <v>132</v>
      </c>
      <c r="C99" s="65">
        <v>132</v>
      </c>
      <c r="D99" s="65">
        <v>133</v>
      </c>
      <c r="E99" s="65">
        <v>133</v>
      </c>
      <c r="F99" s="65">
        <v>133</v>
      </c>
      <c r="G99" s="65">
        <v>133</v>
      </c>
      <c r="H99" s="65">
        <v>132.1</v>
      </c>
      <c r="I99" s="65">
        <v>132.1</v>
      </c>
      <c r="J99" s="65">
        <v>131.9</v>
      </c>
      <c r="K99" s="65">
        <v>129.69999999999999</v>
      </c>
      <c r="L99" s="65">
        <v>132.4</v>
      </c>
      <c r="M99" s="65">
        <v>131.5</v>
      </c>
      <c r="N99" s="65">
        <v>131</v>
      </c>
      <c r="O99" s="65">
        <v>132.1</v>
      </c>
      <c r="P99" s="65">
        <v>134.30000000000001</v>
      </c>
      <c r="Q99" s="65">
        <v>133</v>
      </c>
      <c r="R99" s="65">
        <v>133</v>
      </c>
      <c r="S99" s="65">
        <v>131.5</v>
      </c>
      <c r="T99" s="65">
        <v>130.6</v>
      </c>
      <c r="U99" s="65">
        <v>130</v>
      </c>
      <c r="V99" s="65">
        <v>132.69999999999999</v>
      </c>
      <c r="W99" s="65">
        <v>132.4</v>
      </c>
      <c r="X99" s="65">
        <v>131.9</v>
      </c>
      <c r="Y99" s="65">
        <v>133.30000000000001</v>
      </c>
      <c r="Z99" s="65">
        <v>132</v>
      </c>
      <c r="AA99" s="65">
        <v>132.5</v>
      </c>
      <c r="AB99" s="65">
        <v>132</v>
      </c>
      <c r="AC99" s="65">
        <v>132.80000000000001</v>
      </c>
      <c r="AD99" s="65">
        <v>130.9</v>
      </c>
      <c r="AE99" s="65">
        <v>132.9</v>
      </c>
      <c r="AF99" s="65">
        <v>134.6</v>
      </c>
      <c r="AG99" s="104"/>
      <c r="AH99" s="47">
        <f t="shared" si="8"/>
        <v>134.6</v>
      </c>
      <c r="AI99" s="48">
        <f t="shared" si="9"/>
        <v>129.69999999999999</v>
      </c>
    </row>
    <row r="100" spans="1:35" x14ac:dyDescent="0.25">
      <c r="A100" s="105" t="s">
        <v>108</v>
      </c>
      <c r="B100" s="106">
        <v>133</v>
      </c>
      <c r="C100" s="106">
        <v>133</v>
      </c>
      <c r="D100" s="106">
        <v>133</v>
      </c>
      <c r="E100" s="106">
        <v>133</v>
      </c>
      <c r="F100" s="106">
        <v>133</v>
      </c>
      <c r="G100" s="106">
        <v>133</v>
      </c>
      <c r="H100" s="106">
        <v>135.5</v>
      </c>
      <c r="I100" s="106">
        <v>135.5</v>
      </c>
      <c r="J100" s="106">
        <v>136.80000000000001</v>
      </c>
      <c r="K100" s="106">
        <v>135.19999999999999</v>
      </c>
      <c r="L100" s="106">
        <v>133.9</v>
      </c>
      <c r="M100" s="106">
        <v>133</v>
      </c>
      <c r="N100" s="106">
        <v>132.9</v>
      </c>
      <c r="O100" s="106">
        <v>135.19999999999999</v>
      </c>
      <c r="P100" s="106">
        <v>133.4</v>
      </c>
      <c r="Q100" s="106">
        <v>133</v>
      </c>
      <c r="R100" s="106">
        <v>133</v>
      </c>
      <c r="S100" s="106">
        <v>132.69999999999999</v>
      </c>
      <c r="T100" s="106">
        <v>134.1</v>
      </c>
      <c r="U100" s="106">
        <v>134.1</v>
      </c>
      <c r="V100" s="106">
        <v>135.1</v>
      </c>
      <c r="W100" s="106">
        <v>135.69999999999999</v>
      </c>
      <c r="X100" s="106">
        <v>135.1</v>
      </c>
      <c r="Y100" s="106">
        <v>133.19999999999999</v>
      </c>
      <c r="Z100" s="106">
        <v>136</v>
      </c>
      <c r="AA100" s="106">
        <v>136.80000000000001</v>
      </c>
      <c r="AB100" s="106">
        <v>136</v>
      </c>
      <c r="AC100" s="106">
        <v>134.5</v>
      </c>
      <c r="AD100" s="106">
        <v>134.4</v>
      </c>
      <c r="AE100" s="106">
        <v>136.5</v>
      </c>
      <c r="AF100" s="106">
        <v>134.69999999999999</v>
      </c>
      <c r="AG100" s="107"/>
      <c r="AH100" s="47">
        <f t="shared" si="8"/>
        <v>136.80000000000001</v>
      </c>
      <c r="AI100" s="48">
        <f t="shared" si="9"/>
        <v>132.69999999999999</v>
      </c>
    </row>
    <row r="101" spans="1:35" x14ac:dyDescent="0.25">
      <c r="A101" s="103" t="s">
        <v>109</v>
      </c>
      <c r="B101" s="65">
        <v>130</v>
      </c>
      <c r="C101" s="65">
        <v>130</v>
      </c>
      <c r="D101" s="65">
        <v>133</v>
      </c>
      <c r="E101" s="65">
        <v>133</v>
      </c>
      <c r="F101" s="65">
        <v>133</v>
      </c>
      <c r="G101" s="65">
        <v>133</v>
      </c>
      <c r="H101" s="65">
        <v>130.9</v>
      </c>
      <c r="I101" s="65">
        <v>130.9</v>
      </c>
      <c r="J101" s="65">
        <v>128.30000000000001</v>
      </c>
      <c r="K101" s="65">
        <v>128.80000000000001</v>
      </c>
      <c r="L101" s="65">
        <v>124.6</v>
      </c>
      <c r="M101" s="65">
        <v>127</v>
      </c>
      <c r="N101" s="65">
        <v>127.5</v>
      </c>
      <c r="O101" s="65">
        <v>129.19999999999999</v>
      </c>
      <c r="P101" s="65">
        <v>130.5</v>
      </c>
      <c r="Q101" s="65">
        <v>129</v>
      </c>
      <c r="R101" s="65">
        <v>129</v>
      </c>
      <c r="S101" s="65">
        <v>130.4</v>
      </c>
      <c r="T101" s="65">
        <v>134.4</v>
      </c>
      <c r="U101" s="65">
        <v>131.19999999999999</v>
      </c>
      <c r="V101" s="65">
        <v>137.1</v>
      </c>
      <c r="W101" s="65">
        <v>133</v>
      </c>
      <c r="X101" s="65">
        <v>136</v>
      </c>
      <c r="Y101" s="65">
        <v>132.80000000000001</v>
      </c>
      <c r="Z101" s="65">
        <v>129</v>
      </c>
      <c r="AA101" s="65">
        <v>129.80000000000001</v>
      </c>
      <c r="AB101" s="65">
        <v>133</v>
      </c>
      <c r="AC101" s="65">
        <v>136.4</v>
      </c>
      <c r="AD101" s="65">
        <v>135.1</v>
      </c>
      <c r="AE101" s="65">
        <v>131.69999999999999</v>
      </c>
      <c r="AF101" s="65">
        <v>133</v>
      </c>
      <c r="AG101" s="104"/>
      <c r="AH101" s="47">
        <f t="shared" si="8"/>
        <v>137.1</v>
      </c>
      <c r="AI101" s="48">
        <f t="shared" si="9"/>
        <v>124.6</v>
      </c>
    </row>
    <row r="102" spans="1:35" ht="15.75" thickBot="1" x14ac:dyDescent="0.3">
      <c r="A102" s="103" t="s">
        <v>110</v>
      </c>
      <c r="B102" s="92">
        <v>66.8</v>
      </c>
      <c r="C102" s="92">
        <v>66.8</v>
      </c>
      <c r="D102" s="92">
        <v>67</v>
      </c>
      <c r="E102" s="92">
        <v>67</v>
      </c>
      <c r="F102" s="92">
        <v>67</v>
      </c>
      <c r="G102" s="92">
        <v>67</v>
      </c>
      <c r="H102" s="92">
        <v>66.400000000000006</v>
      </c>
      <c r="I102" s="92">
        <v>66.099999999999994</v>
      </c>
      <c r="J102" s="92">
        <v>65.900000000000006</v>
      </c>
      <c r="K102" s="92">
        <v>66.099999999999994</v>
      </c>
      <c r="L102" s="92">
        <v>65.5</v>
      </c>
      <c r="M102" s="92">
        <v>64.599999999999994</v>
      </c>
      <c r="N102" s="92">
        <v>63.9</v>
      </c>
      <c r="O102" s="92">
        <v>65.5</v>
      </c>
      <c r="P102" s="92">
        <v>65.400000000000006</v>
      </c>
      <c r="Q102" s="92">
        <v>65.599999999999994</v>
      </c>
      <c r="R102" s="92">
        <v>65.599999999999994</v>
      </c>
      <c r="S102" s="92">
        <v>65.5</v>
      </c>
      <c r="T102" s="92">
        <v>65.2</v>
      </c>
      <c r="U102" s="92">
        <v>65.099999999999994</v>
      </c>
      <c r="V102" s="92">
        <v>65.900000000000006</v>
      </c>
      <c r="W102" s="92">
        <v>66</v>
      </c>
      <c r="X102" s="92">
        <v>65.8</v>
      </c>
      <c r="Y102" s="92">
        <v>64.400000000000006</v>
      </c>
      <c r="Z102" s="92">
        <v>65</v>
      </c>
      <c r="AA102" s="92">
        <v>65.599999999999994</v>
      </c>
      <c r="AB102" s="92">
        <v>66</v>
      </c>
      <c r="AC102" s="92">
        <v>65.599999999999994</v>
      </c>
      <c r="AD102" s="92">
        <v>65.599999999999994</v>
      </c>
      <c r="AE102" s="92">
        <v>65</v>
      </c>
      <c r="AF102" s="92">
        <v>67</v>
      </c>
      <c r="AG102" s="108"/>
      <c r="AH102" s="47">
        <f t="shared" si="8"/>
        <v>67</v>
      </c>
      <c r="AI102" s="48">
        <f t="shared" si="9"/>
        <v>63.9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8"/>
        <v>0</v>
      </c>
      <c r="AI103" s="48">
        <f t="shared" si="9"/>
        <v>0</v>
      </c>
    </row>
    <row r="104" spans="1:35" ht="15.75" thickBot="1" x14ac:dyDescent="0.3">
      <c r="A104" s="110" t="s">
        <v>112</v>
      </c>
      <c r="B104" s="111">
        <f t="shared" ref="B104:AF104" si="15">SUM(B16,B22,B25:B26,B52,B54:B55,B57,B59,B105:B109,B131,B137,B143,B152,B154,B166,B173,B176:B177,B184,B186,B188,B192:B194,B196:B198,B203,B209:B210,B212:B214,B222,B227)</f>
        <v>145.80000000000001</v>
      </c>
      <c r="C104" s="111">
        <f t="shared" si="15"/>
        <v>143.74</v>
      </c>
      <c r="D104" s="111">
        <f t="shared" si="15"/>
        <v>137.74</v>
      </c>
      <c r="E104" s="111">
        <f t="shared" si="15"/>
        <v>137.74</v>
      </c>
      <c r="F104" s="111">
        <f t="shared" si="15"/>
        <v>155.24</v>
      </c>
      <c r="G104" s="111">
        <f t="shared" si="15"/>
        <v>157.24</v>
      </c>
      <c r="H104" s="111">
        <f t="shared" si="15"/>
        <v>187.94</v>
      </c>
      <c r="I104" s="111">
        <f t="shared" si="15"/>
        <v>203.64</v>
      </c>
      <c r="J104" s="111">
        <f t="shared" si="15"/>
        <v>263.33999999999997</v>
      </c>
      <c r="K104" s="111">
        <f t="shared" si="15"/>
        <v>298.14</v>
      </c>
      <c r="L104" s="111">
        <f t="shared" si="15"/>
        <v>302.73999999999995</v>
      </c>
      <c r="M104" s="111">
        <f t="shared" si="15"/>
        <v>331.84</v>
      </c>
      <c r="N104" s="111">
        <f t="shared" si="15"/>
        <v>347.64</v>
      </c>
      <c r="O104" s="111">
        <f t="shared" si="15"/>
        <v>280.94</v>
      </c>
      <c r="P104" s="111">
        <v>42</v>
      </c>
      <c r="Q104" s="111">
        <f t="shared" si="15"/>
        <v>271.2</v>
      </c>
      <c r="R104" s="111">
        <f t="shared" si="15"/>
        <v>252.39999999999998</v>
      </c>
      <c r="S104" s="111">
        <f t="shared" si="15"/>
        <v>215.89999999999998</v>
      </c>
      <c r="T104" s="111">
        <f t="shared" si="15"/>
        <v>239.5</v>
      </c>
      <c r="U104" s="111">
        <f t="shared" si="15"/>
        <v>236.29999999999998</v>
      </c>
      <c r="V104" s="111">
        <f t="shared" si="15"/>
        <v>246.5</v>
      </c>
      <c r="W104" s="111">
        <f t="shared" si="15"/>
        <v>285.3</v>
      </c>
      <c r="X104" s="111">
        <f t="shared" si="15"/>
        <v>339.4</v>
      </c>
      <c r="Y104" s="111">
        <f t="shared" si="15"/>
        <v>379.2</v>
      </c>
      <c r="Z104" s="111">
        <f t="shared" si="15"/>
        <v>385.3</v>
      </c>
      <c r="AA104" s="111">
        <f t="shared" si="15"/>
        <v>356.7</v>
      </c>
      <c r="AB104" s="111">
        <f t="shared" si="15"/>
        <v>347.20000000000005</v>
      </c>
      <c r="AC104" s="111">
        <f t="shared" si="15"/>
        <v>326</v>
      </c>
      <c r="AD104" s="111">
        <f t="shared" si="15"/>
        <v>301</v>
      </c>
      <c r="AE104" s="111">
        <f t="shared" si="15"/>
        <v>201.9</v>
      </c>
      <c r="AF104" s="111">
        <f t="shared" si="15"/>
        <v>173.3</v>
      </c>
      <c r="AG104" s="112"/>
      <c r="AH104" s="47">
        <f t="shared" si="8"/>
        <v>385.3</v>
      </c>
      <c r="AI104" s="48">
        <f t="shared" si="9"/>
        <v>42</v>
      </c>
    </row>
    <row r="105" spans="1:35" x14ac:dyDescent="0.25">
      <c r="A105" s="100" t="s">
        <v>113</v>
      </c>
      <c r="B105" s="113">
        <v>1</v>
      </c>
      <c r="C105" s="113">
        <v>-9</v>
      </c>
      <c r="D105" s="113">
        <v>-11</v>
      </c>
      <c r="E105" s="113">
        <v>-11</v>
      </c>
      <c r="F105" s="113">
        <v>-8.5</v>
      </c>
      <c r="G105" s="113">
        <v>-6.5</v>
      </c>
      <c r="H105" s="113">
        <v>0</v>
      </c>
      <c r="I105" s="113">
        <v>0</v>
      </c>
      <c r="J105" s="113">
        <v>21</v>
      </c>
      <c r="K105" s="113">
        <v>24.9</v>
      </c>
      <c r="L105" s="113">
        <v>30.3</v>
      </c>
      <c r="M105" s="113">
        <v>30.6</v>
      </c>
      <c r="N105" s="113">
        <v>33.1</v>
      </c>
      <c r="O105" s="113">
        <v>26</v>
      </c>
      <c r="P105" s="113">
        <v>10.3</v>
      </c>
      <c r="Q105" s="113">
        <v>0</v>
      </c>
      <c r="R105" s="113">
        <v>-5.9</v>
      </c>
      <c r="S105" s="113">
        <v>-1.9</v>
      </c>
      <c r="T105" s="113">
        <v>3.5</v>
      </c>
      <c r="U105" s="113">
        <v>11</v>
      </c>
      <c r="V105" s="113">
        <v>12</v>
      </c>
      <c r="W105" s="113">
        <v>22.2</v>
      </c>
      <c r="X105" s="113">
        <v>33.200000000000003</v>
      </c>
      <c r="Y105" s="113">
        <v>40</v>
      </c>
      <c r="Z105" s="113">
        <v>37</v>
      </c>
      <c r="AA105" s="113">
        <v>24.8</v>
      </c>
      <c r="AB105" s="113">
        <v>32.299999999999997</v>
      </c>
      <c r="AC105" s="113">
        <v>29</v>
      </c>
      <c r="AD105" s="113">
        <v>26</v>
      </c>
      <c r="AE105" s="113">
        <v>14.2</v>
      </c>
      <c r="AF105" s="113">
        <v>-5.0999999999999996</v>
      </c>
      <c r="AG105" s="114">
        <v>75</v>
      </c>
      <c r="AH105" s="47">
        <f t="shared" si="8"/>
        <v>40</v>
      </c>
      <c r="AI105" s="48">
        <f t="shared" si="9"/>
        <v>-11</v>
      </c>
    </row>
    <row r="106" spans="1:35" x14ac:dyDescent="0.25">
      <c r="A106" s="103" t="s">
        <v>114</v>
      </c>
      <c r="B106" s="115">
        <v>5</v>
      </c>
      <c r="C106" s="115">
        <v>-9</v>
      </c>
      <c r="D106" s="115">
        <v>-11</v>
      </c>
      <c r="E106" s="115">
        <v>-11</v>
      </c>
      <c r="F106" s="115">
        <v>-10</v>
      </c>
      <c r="G106" s="115">
        <v>-6</v>
      </c>
      <c r="H106" s="115">
        <v>-4.0999999999999996</v>
      </c>
      <c r="I106" s="115">
        <v>-2.5</v>
      </c>
      <c r="J106" s="115">
        <v>31.9</v>
      </c>
      <c r="K106" s="115">
        <v>30.2</v>
      </c>
      <c r="L106" s="115">
        <v>36.6</v>
      </c>
      <c r="M106" s="115">
        <v>37.299999999999997</v>
      </c>
      <c r="N106" s="115">
        <v>42</v>
      </c>
      <c r="O106" s="115">
        <v>31.7</v>
      </c>
      <c r="P106" s="115">
        <v>18.399999999999999</v>
      </c>
      <c r="Q106" s="115">
        <v>2.1</v>
      </c>
      <c r="R106" s="115">
        <v>-4.0999999999999996</v>
      </c>
      <c r="S106" s="115">
        <v>1.1000000000000001</v>
      </c>
      <c r="T106" s="115">
        <v>8.4</v>
      </c>
      <c r="U106" s="115">
        <v>20.7</v>
      </c>
      <c r="V106" s="115">
        <v>22</v>
      </c>
      <c r="W106" s="115">
        <v>28.6</v>
      </c>
      <c r="X106" s="115">
        <v>42</v>
      </c>
      <c r="Y106" s="115">
        <v>46.2</v>
      </c>
      <c r="Z106" s="115">
        <v>43</v>
      </c>
      <c r="AA106" s="115">
        <v>40.1</v>
      </c>
      <c r="AB106" s="115">
        <v>38.4</v>
      </c>
      <c r="AC106" s="115">
        <v>36.700000000000003</v>
      </c>
      <c r="AD106" s="115">
        <v>33.700000000000003</v>
      </c>
      <c r="AE106" s="115">
        <v>20.6</v>
      </c>
      <c r="AF106" s="115">
        <v>-0.6</v>
      </c>
      <c r="AG106" s="114">
        <v>240</v>
      </c>
      <c r="AH106" s="47">
        <f t="shared" si="8"/>
        <v>46.2</v>
      </c>
      <c r="AI106" s="48">
        <f t="shared" si="9"/>
        <v>-11</v>
      </c>
    </row>
    <row r="107" spans="1:35" x14ac:dyDescent="0.25">
      <c r="A107" s="103" t="s">
        <v>115</v>
      </c>
      <c r="B107" s="115">
        <v>-45</v>
      </c>
      <c r="C107" s="115">
        <v>-33</v>
      </c>
      <c r="D107" s="115">
        <v>-30</v>
      </c>
      <c r="E107" s="115">
        <v>-30</v>
      </c>
      <c r="F107" s="115">
        <v>-26</v>
      </c>
      <c r="G107" s="115">
        <v>-22</v>
      </c>
      <c r="H107" s="115">
        <f>-5.3-6.3</f>
        <v>-11.6</v>
      </c>
      <c r="I107" s="115">
        <f>-3.9-3.9</f>
        <v>-7.8</v>
      </c>
      <c r="J107" s="115">
        <f>-2.3-2.5</f>
        <v>-4.8</v>
      </c>
      <c r="K107" s="115">
        <f>8.8+9.4</f>
        <v>18.200000000000003</v>
      </c>
      <c r="L107" s="115">
        <f>3.9+11.1</f>
        <v>15</v>
      </c>
      <c r="M107" s="115">
        <v>23</v>
      </c>
      <c r="N107" s="115">
        <v>20.9</v>
      </c>
      <c r="O107" s="115">
        <v>-30</v>
      </c>
      <c r="P107" s="115">
        <v>-15</v>
      </c>
      <c r="Q107" s="115">
        <v>13.3</v>
      </c>
      <c r="R107" s="115">
        <v>7.9</v>
      </c>
      <c r="S107" s="115">
        <v>-22</v>
      </c>
      <c r="T107" s="115">
        <v>-2.8</v>
      </c>
      <c r="U107" s="115">
        <v>-15</v>
      </c>
      <c r="V107" s="115">
        <v>-9</v>
      </c>
      <c r="W107" s="115">
        <v>18.8</v>
      </c>
      <c r="X107" s="115">
        <v>42</v>
      </c>
      <c r="Y107" s="115">
        <v>62</v>
      </c>
      <c r="Z107" s="115">
        <v>68</v>
      </c>
      <c r="AA107" s="115">
        <v>65</v>
      </c>
      <c r="AB107" s="115">
        <v>58.8</v>
      </c>
      <c r="AC107" s="115">
        <v>19.100000000000001</v>
      </c>
      <c r="AD107" s="115">
        <v>5.9</v>
      </c>
      <c r="AE107" s="115">
        <v>-34</v>
      </c>
      <c r="AF107" s="115">
        <v>-25.8</v>
      </c>
      <c r="AG107" s="114">
        <v>240</v>
      </c>
      <c r="AH107" s="47">
        <f t="shared" si="8"/>
        <v>68</v>
      </c>
      <c r="AI107" s="48">
        <f t="shared" si="9"/>
        <v>-45</v>
      </c>
    </row>
    <row r="108" spans="1:35" x14ac:dyDescent="0.25">
      <c r="A108" s="103" t="s">
        <v>116</v>
      </c>
      <c r="B108" s="115">
        <v>-9</v>
      </c>
      <c r="C108" s="115">
        <v>-9</v>
      </c>
      <c r="D108" s="115">
        <v>-8</v>
      </c>
      <c r="E108" s="115">
        <v>-8</v>
      </c>
      <c r="F108" s="115">
        <v>-4</v>
      </c>
      <c r="G108" s="115">
        <v>-4</v>
      </c>
      <c r="H108" s="115">
        <v>0</v>
      </c>
      <c r="I108" s="115">
        <v>2.2000000000000002</v>
      </c>
      <c r="J108" s="115">
        <v>10.199999999999999</v>
      </c>
      <c r="K108" s="115">
        <v>15.1</v>
      </c>
      <c r="L108" s="115">
        <v>17.7</v>
      </c>
      <c r="M108" s="115">
        <v>19.5</v>
      </c>
      <c r="N108" s="115">
        <v>14.8</v>
      </c>
      <c r="O108" s="115">
        <v>34.299999999999997</v>
      </c>
      <c r="P108" s="115">
        <v>38.6</v>
      </c>
      <c r="Q108" s="115">
        <v>33.4</v>
      </c>
      <c r="R108" s="115">
        <v>40</v>
      </c>
      <c r="S108" s="115">
        <v>22.8</v>
      </c>
      <c r="T108" s="115">
        <v>12.2</v>
      </c>
      <c r="U108" s="115">
        <v>1.4</v>
      </c>
      <c r="V108" s="115">
        <v>7.1</v>
      </c>
      <c r="W108" s="115">
        <v>14.3</v>
      </c>
      <c r="X108" s="115">
        <v>20.2</v>
      </c>
      <c r="Y108" s="115">
        <v>26.5</v>
      </c>
      <c r="Z108" s="115">
        <v>28</v>
      </c>
      <c r="AA108" s="115">
        <v>27</v>
      </c>
      <c r="AB108" s="115">
        <v>27.3</v>
      </c>
      <c r="AC108" s="115">
        <v>18.399999999999999</v>
      </c>
      <c r="AD108" s="115">
        <v>13.8</v>
      </c>
      <c r="AE108" s="115">
        <v>2.9</v>
      </c>
      <c r="AF108" s="115">
        <v>1.5</v>
      </c>
      <c r="AG108" s="114">
        <v>60</v>
      </c>
      <c r="AH108" s="47">
        <f t="shared" si="8"/>
        <v>40</v>
      </c>
      <c r="AI108" s="48">
        <f t="shared" si="9"/>
        <v>-9</v>
      </c>
    </row>
    <row r="109" spans="1:35" x14ac:dyDescent="0.25">
      <c r="A109" s="116" t="s">
        <v>117</v>
      </c>
      <c r="B109" s="117">
        <v>81</v>
      </c>
      <c r="C109" s="117">
        <v>90</v>
      </c>
      <c r="D109" s="117">
        <v>84</v>
      </c>
      <c r="E109" s="117">
        <v>84</v>
      </c>
      <c r="F109" s="117">
        <v>90</v>
      </c>
      <c r="G109" s="117">
        <v>82</v>
      </c>
      <c r="H109" s="117">
        <v>89.9</v>
      </c>
      <c r="I109" s="117">
        <v>98</v>
      </c>
      <c r="J109" s="117">
        <v>95.2</v>
      </c>
      <c r="K109" s="117">
        <v>99.9</v>
      </c>
      <c r="L109" s="117">
        <v>93.3</v>
      </c>
      <c r="M109" s="117">
        <v>110</v>
      </c>
      <c r="N109" s="117">
        <v>120.3</v>
      </c>
      <c r="O109" s="117">
        <v>100.4</v>
      </c>
      <c r="P109" s="117">
        <v>105.6</v>
      </c>
      <c r="Q109" s="117">
        <v>107.4</v>
      </c>
      <c r="R109" s="117">
        <v>99.3</v>
      </c>
      <c r="S109" s="117">
        <v>100.7</v>
      </c>
      <c r="T109" s="117">
        <v>100</v>
      </c>
      <c r="U109" s="117">
        <v>100</v>
      </c>
      <c r="V109" s="117">
        <v>96.2</v>
      </c>
      <c r="W109" s="117">
        <v>94.1</v>
      </c>
      <c r="X109" s="117">
        <v>94.7</v>
      </c>
      <c r="Y109" s="117">
        <v>97.2</v>
      </c>
      <c r="Z109" s="117">
        <v>102</v>
      </c>
      <c r="AA109" s="117">
        <v>92.5</v>
      </c>
      <c r="AB109" s="117">
        <v>82.9</v>
      </c>
      <c r="AC109" s="117">
        <v>115</v>
      </c>
      <c r="AD109" s="117">
        <v>112.4</v>
      </c>
      <c r="AE109" s="117">
        <v>85</v>
      </c>
      <c r="AF109" s="117">
        <v>90</v>
      </c>
      <c r="AG109" s="118">
        <v>120</v>
      </c>
      <c r="AH109" s="47">
        <f t="shared" si="8"/>
        <v>120.3</v>
      </c>
      <c r="AI109" s="48">
        <f t="shared" si="9"/>
        <v>81</v>
      </c>
    </row>
    <row r="110" spans="1:35" x14ac:dyDescent="0.25">
      <c r="A110" s="116" t="s">
        <v>118</v>
      </c>
      <c r="B110" s="117">
        <v>88</v>
      </c>
      <c r="C110" s="117">
        <v>97</v>
      </c>
      <c r="D110" s="117">
        <v>88</v>
      </c>
      <c r="E110" s="117">
        <v>88</v>
      </c>
      <c r="F110" s="117">
        <v>92</v>
      </c>
      <c r="G110" s="117">
        <v>76</v>
      </c>
      <c r="H110" s="117">
        <v>87</v>
      </c>
      <c r="I110" s="117">
        <v>93.5</v>
      </c>
      <c r="J110" s="117">
        <v>84</v>
      </c>
      <c r="K110" s="117">
        <v>79.599999999999994</v>
      </c>
      <c r="L110" s="117">
        <v>69.2</v>
      </c>
      <c r="M110" s="117">
        <v>80.900000000000006</v>
      </c>
      <c r="N110" s="117">
        <v>94.6</v>
      </c>
      <c r="O110" s="117">
        <v>86.1</v>
      </c>
      <c r="P110" s="117">
        <v>93.1</v>
      </c>
      <c r="Q110" s="117">
        <v>101</v>
      </c>
      <c r="R110" s="117">
        <v>94.9</v>
      </c>
      <c r="S110" s="117">
        <v>95.5</v>
      </c>
      <c r="T110" s="117">
        <v>96</v>
      </c>
      <c r="U110" s="117">
        <v>98</v>
      </c>
      <c r="V110" s="117">
        <v>86</v>
      </c>
      <c r="W110" s="117">
        <v>75</v>
      </c>
      <c r="X110" s="117">
        <v>63</v>
      </c>
      <c r="Y110" s="117">
        <v>78.400000000000006</v>
      </c>
      <c r="Z110" s="117">
        <v>84</v>
      </c>
      <c r="AA110" s="117">
        <v>82</v>
      </c>
      <c r="AB110" s="117">
        <v>75.5</v>
      </c>
      <c r="AC110" s="117">
        <v>90</v>
      </c>
      <c r="AD110" s="117">
        <v>95</v>
      </c>
      <c r="AE110" s="117">
        <v>90</v>
      </c>
      <c r="AF110" s="117">
        <v>96</v>
      </c>
      <c r="AG110" s="118"/>
      <c r="AH110" s="47">
        <f t="shared" si="8"/>
        <v>101</v>
      </c>
      <c r="AI110" s="48">
        <f t="shared" si="9"/>
        <v>63</v>
      </c>
    </row>
    <row r="111" spans="1:35" x14ac:dyDescent="0.25">
      <c r="A111" s="116" t="s">
        <v>119</v>
      </c>
      <c r="B111" s="117">
        <v>37</v>
      </c>
      <c r="C111" s="117">
        <v>39</v>
      </c>
      <c r="D111" s="117">
        <v>36</v>
      </c>
      <c r="E111" s="117">
        <v>36</v>
      </c>
      <c r="F111" s="117">
        <v>36</v>
      </c>
      <c r="G111" s="117">
        <v>30</v>
      </c>
      <c r="H111" s="117">
        <v>33</v>
      </c>
      <c r="I111" s="117">
        <v>29.9</v>
      </c>
      <c r="J111" s="117">
        <v>16.7</v>
      </c>
      <c r="K111" s="117">
        <v>-23.5</v>
      </c>
      <c r="L111" s="117">
        <v>-17.3</v>
      </c>
      <c r="M111" s="117" t="s">
        <v>712</v>
      </c>
      <c r="N111" s="117">
        <v>18.8</v>
      </c>
      <c r="O111" s="117">
        <v>12.6</v>
      </c>
      <c r="P111" s="117">
        <v>12.4</v>
      </c>
      <c r="Q111" s="117">
        <v>14.5</v>
      </c>
      <c r="R111" s="117">
        <v>18.100000000000001</v>
      </c>
      <c r="S111" s="117">
        <v>19</v>
      </c>
      <c r="T111" s="117">
        <v>14</v>
      </c>
      <c r="U111" s="117">
        <v>13</v>
      </c>
      <c r="V111" s="117">
        <v>9.1999999999999993</v>
      </c>
      <c r="W111" s="117">
        <v>2.7</v>
      </c>
      <c r="X111" s="117">
        <v>1</v>
      </c>
      <c r="Y111" s="117">
        <v>2</v>
      </c>
      <c r="Z111" s="117">
        <v>11</v>
      </c>
      <c r="AA111" s="117">
        <v>12</v>
      </c>
      <c r="AB111" s="117">
        <v>9.1999999999999993</v>
      </c>
      <c r="AC111" s="117">
        <v>14.3</v>
      </c>
      <c r="AD111" s="117">
        <v>12.4</v>
      </c>
      <c r="AE111" s="117">
        <v>18.2</v>
      </c>
      <c r="AF111" s="117">
        <v>24.5</v>
      </c>
      <c r="AG111" s="119"/>
      <c r="AH111" s="47">
        <f t="shared" si="8"/>
        <v>39</v>
      </c>
      <c r="AI111" s="48">
        <f t="shared" si="9"/>
        <v>-23.5</v>
      </c>
    </row>
    <row r="112" spans="1:35" x14ac:dyDescent="0.25">
      <c r="A112" s="120" t="s">
        <v>120</v>
      </c>
      <c r="B112" s="106">
        <v>12</v>
      </c>
      <c r="C112" s="106">
        <v>13</v>
      </c>
      <c r="D112" s="106">
        <v>14</v>
      </c>
      <c r="E112" s="106">
        <v>14</v>
      </c>
      <c r="F112" s="106">
        <v>10</v>
      </c>
      <c r="G112" s="106">
        <v>8.4</v>
      </c>
      <c r="H112" s="106">
        <v>4.9000000000000004</v>
      </c>
      <c r="I112" s="106">
        <v>-3.9</v>
      </c>
      <c r="J112" s="106">
        <v>-15.9</v>
      </c>
      <c r="K112" s="106">
        <v>-25.7</v>
      </c>
      <c r="L112" s="106">
        <v>-33.799999999999997</v>
      </c>
      <c r="M112" s="106">
        <v>-32.799999999999997</v>
      </c>
      <c r="N112" s="106">
        <v>-33.200000000000003</v>
      </c>
      <c r="O112" s="106">
        <v>-14</v>
      </c>
      <c r="P112" s="106">
        <v>-11.7</v>
      </c>
      <c r="Q112" s="106">
        <v>0</v>
      </c>
      <c r="R112" s="106">
        <v>-1.7</v>
      </c>
      <c r="S112" s="106">
        <v>4.3</v>
      </c>
      <c r="T112" s="106">
        <v>-1.2</v>
      </c>
      <c r="U112" s="106">
        <v>0</v>
      </c>
      <c r="V112" s="106">
        <v>-14</v>
      </c>
      <c r="W112" s="106">
        <v>-31.4</v>
      </c>
      <c r="X112" s="106">
        <v>-43</v>
      </c>
      <c r="Y112" s="106">
        <v>-44</v>
      </c>
      <c r="Z112" s="106">
        <v>-42</v>
      </c>
      <c r="AA112" s="106">
        <v>-28</v>
      </c>
      <c r="AB112" s="106">
        <v>-17.5</v>
      </c>
      <c r="AC112" s="106">
        <v>-11.7</v>
      </c>
      <c r="AD112" s="106">
        <v>-5</v>
      </c>
      <c r="AE112" s="106">
        <v>12.4</v>
      </c>
      <c r="AF112" s="106">
        <v>15.1</v>
      </c>
      <c r="AG112" s="119"/>
      <c r="AH112" s="47">
        <f t="shared" si="8"/>
        <v>15.1</v>
      </c>
      <c r="AI112" s="48">
        <f t="shared" si="9"/>
        <v>-44</v>
      </c>
    </row>
    <row r="113" spans="1:37" ht="15.75" thickBot="1" x14ac:dyDescent="0.3">
      <c r="A113" s="120" t="s">
        <v>121</v>
      </c>
      <c r="B113" s="106">
        <v>19</v>
      </c>
      <c r="C113" s="106">
        <v>11</v>
      </c>
      <c r="D113" s="106">
        <v>6</v>
      </c>
      <c r="E113" s="106">
        <v>6</v>
      </c>
      <c r="F113" s="106">
        <v>9</v>
      </c>
      <c r="G113" s="106">
        <v>0</v>
      </c>
      <c r="H113" s="106">
        <v>-1.4</v>
      </c>
      <c r="I113" s="106">
        <v>-2.6</v>
      </c>
      <c r="J113" s="106">
        <v>1.9</v>
      </c>
      <c r="K113" s="106">
        <v>22.4</v>
      </c>
      <c r="L113" s="106">
        <v>-16.5</v>
      </c>
      <c r="M113" s="106">
        <v>-18.8</v>
      </c>
      <c r="N113" s="106">
        <v>-16.100000000000001</v>
      </c>
      <c r="O113" s="106">
        <v>6.9</v>
      </c>
      <c r="P113" s="106">
        <v>7.9</v>
      </c>
      <c r="Q113" s="106">
        <v>0</v>
      </c>
      <c r="R113" s="106">
        <v>10.199999999999999</v>
      </c>
      <c r="S113" s="106">
        <v>5.0999999999999996</v>
      </c>
      <c r="T113" s="106">
        <v>0</v>
      </c>
      <c r="U113" s="106">
        <v>6</v>
      </c>
      <c r="V113" s="106">
        <v>0</v>
      </c>
      <c r="W113" s="106">
        <v>-16.899999999999999</v>
      </c>
      <c r="X113" s="106">
        <v>-30</v>
      </c>
      <c r="Y113" s="106">
        <v>-45</v>
      </c>
      <c r="Z113" s="106">
        <v>-48</v>
      </c>
      <c r="AA113" s="106">
        <v>-46</v>
      </c>
      <c r="AB113" s="106">
        <v>-38.299999999999997</v>
      </c>
      <c r="AC113" s="106">
        <v>-14.1</v>
      </c>
      <c r="AD113" s="106">
        <v>-4.8</v>
      </c>
      <c r="AE113" s="106">
        <v>19.2</v>
      </c>
      <c r="AF113" s="106">
        <v>10</v>
      </c>
      <c r="AG113" s="119"/>
      <c r="AH113" s="47">
        <f t="shared" si="8"/>
        <v>22.4</v>
      </c>
      <c r="AI113" s="48">
        <f t="shared" si="9"/>
        <v>-48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6">SUM(B115:B219)</f>
        <v>0</v>
      </c>
      <c r="C220" s="136">
        <f t="shared" si="16"/>
        <v>0</v>
      </c>
      <c r="D220" s="136">
        <f t="shared" si="16"/>
        <v>0</v>
      </c>
      <c r="E220" s="136">
        <f t="shared" si="16"/>
        <v>0</v>
      </c>
      <c r="F220" s="136">
        <f t="shared" si="16"/>
        <v>0</v>
      </c>
      <c r="G220" s="136">
        <f t="shared" si="16"/>
        <v>0</v>
      </c>
      <c r="H220" s="136">
        <f t="shared" si="16"/>
        <v>0</v>
      </c>
      <c r="I220" s="136">
        <f t="shared" si="16"/>
        <v>0</v>
      </c>
      <c r="J220" s="136">
        <f t="shared" si="16"/>
        <v>0</v>
      </c>
      <c r="K220" s="136">
        <f t="shared" si="16"/>
        <v>0</v>
      </c>
      <c r="L220" s="136">
        <f t="shared" si="16"/>
        <v>0</v>
      </c>
      <c r="M220" s="136">
        <f t="shared" si="16"/>
        <v>0</v>
      </c>
      <c r="N220" s="136">
        <f t="shared" si="16"/>
        <v>0</v>
      </c>
      <c r="O220" s="136">
        <f t="shared" si="16"/>
        <v>0</v>
      </c>
      <c r="P220" s="136">
        <f t="shared" si="16"/>
        <v>0</v>
      </c>
      <c r="Q220" s="136">
        <f t="shared" si="16"/>
        <v>0</v>
      </c>
      <c r="R220" s="136">
        <f t="shared" si="16"/>
        <v>0</v>
      </c>
      <c r="S220" s="136">
        <f t="shared" si="16"/>
        <v>0</v>
      </c>
      <c r="T220" s="136">
        <f t="shared" si="16"/>
        <v>0</v>
      </c>
      <c r="U220" s="136">
        <f t="shared" si="16"/>
        <v>0</v>
      </c>
      <c r="V220" s="136">
        <f t="shared" si="16"/>
        <v>0</v>
      </c>
      <c r="W220" s="136">
        <f t="shared" si="16"/>
        <v>0</v>
      </c>
      <c r="X220" s="136">
        <f t="shared" si="16"/>
        <v>0</v>
      </c>
      <c r="Y220" s="136">
        <f t="shared" si="16"/>
        <v>0</v>
      </c>
      <c r="Z220" s="136">
        <f t="shared" si="16"/>
        <v>0</v>
      </c>
      <c r="AA220" s="136">
        <f t="shared" si="16"/>
        <v>0</v>
      </c>
      <c r="AB220" s="136">
        <f t="shared" si="16"/>
        <v>0</v>
      </c>
      <c r="AC220" s="136">
        <f t="shared" si="16"/>
        <v>0</v>
      </c>
      <c r="AD220" s="136">
        <f t="shared" si="16"/>
        <v>0</v>
      </c>
      <c r="AE220" s="136">
        <f t="shared" si="16"/>
        <v>0</v>
      </c>
      <c r="AF220" s="137">
        <f t="shared" si="16"/>
        <v>0</v>
      </c>
      <c r="AG220" s="138">
        <f t="shared" si="16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7">AF222</f>
        <v>0</v>
      </c>
      <c r="C222" s="140">
        <v>0.3</v>
      </c>
      <c r="D222" s="140">
        <f t="shared" ref="D222:P227" si="18">C222</f>
        <v>0.3</v>
      </c>
      <c r="E222" s="140">
        <f t="shared" si="18"/>
        <v>0.3</v>
      </c>
      <c r="F222" s="140">
        <f t="shared" si="18"/>
        <v>0.3</v>
      </c>
      <c r="G222" s="140">
        <f t="shared" si="18"/>
        <v>0.3</v>
      </c>
      <c r="H222" s="140">
        <f t="shared" si="18"/>
        <v>0.3</v>
      </c>
      <c r="I222" s="140">
        <f t="shared" si="18"/>
        <v>0.3</v>
      </c>
      <c r="J222" s="140">
        <f t="shared" si="18"/>
        <v>0.3</v>
      </c>
      <c r="K222" s="140">
        <f t="shared" si="18"/>
        <v>0.3</v>
      </c>
      <c r="L222" s="140">
        <f t="shared" si="18"/>
        <v>0.3</v>
      </c>
      <c r="M222" s="140">
        <f t="shared" si="18"/>
        <v>0.3</v>
      </c>
      <c r="N222" s="140">
        <f t="shared" si="18"/>
        <v>0.3</v>
      </c>
      <c r="O222" s="140">
        <f t="shared" si="18"/>
        <v>0.3</v>
      </c>
      <c r="P222" s="140">
        <f t="shared" si="18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7"/>
        <v>0</v>
      </c>
      <c r="C223" s="128">
        <v>0.4</v>
      </c>
      <c r="D223" s="128">
        <f t="shared" si="18"/>
        <v>0.4</v>
      </c>
      <c r="E223" s="128">
        <f t="shared" si="18"/>
        <v>0.4</v>
      </c>
      <c r="F223" s="128">
        <f t="shared" si="18"/>
        <v>0.4</v>
      </c>
      <c r="G223" s="128">
        <f t="shared" si="18"/>
        <v>0.4</v>
      </c>
      <c r="H223" s="128">
        <f t="shared" si="18"/>
        <v>0.4</v>
      </c>
      <c r="I223" s="128">
        <f t="shared" si="18"/>
        <v>0.4</v>
      </c>
      <c r="J223" s="128">
        <f t="shared" si="18"/>
        <v>0.4</v>
      </c>
      <c r="K223" s="128">
        <f t="shared" si="18"/>
        <v>0.4</v>
      </c>
      <c r="L223" s="128">
        <f t="shared" si="18"/>
        <v>0.4</v>
      </c>
      <c r="M223" s="128">
        <f t="shared" si="18"/>
        <v>0.4</v>
      </c>
      <c r="N223" s="128">
        <f t="shared" si="18"/>
        <v>0.4</v>
      </c>
      <c r="O223" s="128">
        <f t="shared" si="18"/>
        <v>0.4</v>
      </c>
      <c r="P223" s="128">
        <f t="shared" si="18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7"/>
        <v>0</v>
      </c>
      <c r="C224" s="128">
        <v>1.5</v>
      </c>
      <c r="D224" s="128">
        <f t="shared" si="18"/>
        <v>1.5</v>
      </c>
      <c r="E224" s="128">
        <f t="shared" si="18"/>
        <v>1.5</v>
      </c>
      <c r="F224" s="128">
        <f t="shared" si="18"/>
        <v>1.5</v>
      </c>
      <c r="G224" s="128">
        <f t="shared" si="18"/>
        <v>1.5</v>
      </c>
      <c r="H224" s="128">
        <f t="shared" si="18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18"/>
        <v>1.5</v>
      </c>
      <c r="K224" s="128">
        <f t="shared" ca="1" si="18"/>
        <v>1.5</v>
      </c>
      <c r="L224" s="128">
        <f t="shared" ca="1" si="18"/>
        <v>1.5</v>
      </c>
      <c r="M224" s="128">
        <f t="shared" ca="1" si="18"/>
        <v>1.5</v>
      </c>
      <c r="N224" s="128">
        <f t="shared" ca="1" si="18"/>
        <v>1.5</v>
      </c>
      <c r="O224" s="128">
        <f t="shared" ca="1" si="18"/>
        <v>1.5</v>
      </c>
      <c r="P224" s="128">
        <f t="shared" ca="1" si="18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7"/>
        <v>0</v>
      </c>
      <c r="C225" s="128">
        <v>0.3</v>
      </c>
      <c r="D225" s="128">
        <f t="shared" si="18"/>
        <v>0.3</v>
      </c>
      <c r="E225" s="128">
        <f t="shared" si="18"/>
        <v>0.3</v>
      </c>
      <c r="F225" s="128">
        <f t="shared" si="18"/>
        <v>0.3</v>
      </c>
      <c r="G225" s="128">
        <f t="shared" si="18"/>
        <v>0.3</v>
      </c>
      <c r="H225" s="128">
        <f t="shared" si="18"/>
        <v>0.3</v>
      </c>
      <c r="I225" s="128">
        <f t="shared" si="18"/>
        <v>0.3</v>
      </c>
      <c r="J225" s="128">
        <f t="shared" si="18"/>
        <v>0.3</v>
      </c>
      <c r="K225" s="128">
        <f t="shared" si="18"/>
        <v>0.3</v>
      </c>
      <c r="L225" s="128">
        <f t="shared" si="18"/>
        <v>0.3</v>
      </c>
      <c r="M225" s="128">
        <f t="shared" si="18"/>
        <v>0.3</v>
      </c>
      <c r="N225" s="128">
        <f t="shared" si="18"/>
        <v>0.3</v>
      </c>
      <c r="O225" s="128">
        <f t="shared" si="18"/>
        <v>0.3</v>
      </c>
      <c r="P225" s="128">
        <f t="shared" si="18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7"/>
        <v>0</v>
      </c>
      <c r="C226" s="128">
        <v>0.4</v>
      </c>
      <c r="D226" s="128">
        <f t="shared" si="18"/>
        <v>0.4</v>
      </c>
      <c r="E226" s="128">
        <f t="shared" si="18"/>
        <v>0.4</v>
      </c>
      <c r="F226" s="128">
        <f t="shared" si="18"/>
        <v>0.4</v>
      </c>
      <c r="G226" s="128">
        <f t="shared" si="18"/>
        <v>0.4</v>
      </c>
      <c r="H226" s="128">
        <f t="shared" si="18"/>
        <v>0.4</v>
      </c>
      <c r="I226" s="128">
        <f t="shared" si="18"/>
        <v>0.4</v>
      </c>
      <c r="J226" s="128">
        <f t="shared" si="18"/>
        <v>0.4</v>
      </c>
      <c r="K226" s="128">
        <f t="shared" si="18"/>
        <v>0.4</v>
      </c>
      <c r="L226" s="128">
        <f t="shared" si="18"/>
        <v>0.4</v>
      </c>
      <c r="M226" s="128">
        <f t="shared" si="18"/>
        <v>0.4</v>
      </c>
      <c r="N226" s="128">
        <f t="shared" si="18"/>
        <v>0.4</v>
      </c>
      <c r="O226" s="128">
        <f t="shared" si="18"/>
        <v>0.4</v>
      </c>
      <c r="P226" s="128">
        <f t="shared" si="18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7"/>
        <v>0</v>
      </c>
      <c r="C227" s="132">
        <v>0.64</v>
      </c>
      <c r="D227" s="132">
        <f t="shared" si="18"/>
        <v>0.64</v>
      </c>
      <c r="E227" s="132">
        <f t="shared" si="18"/>
        <v>0.64</v>
      </c>
      <c r="F227" s="132">
        <f t="shared" si="18"/>
        <v>0.64</v>
      </c>
      <c r="G227" s="132">
        <f t="shared" si="18"/>
        <v>0.64</v>
      </c>
      <c r="H227" s="132">
        <f t="shared" si="18"/>
        <v>0.64</v>
      </c>
      <c r="I227" s="132">
        <f t="shared" si="18"/>
        <v>0.64</v>
      </c>
      <c r="J227" s="132">
        <f t="shared" si="18"/>
        <v>0.64</v>
      </c>
      <c r="K227" s="132">
        <f t="shared" si="18"/>
        <v>0.64</v>
      </c>
      <c r="L227" s="132">
        <f t="shared" si="18"/>
        <v>0.64</v>
      </c>
      <c r="M227" s="132">
        <f t="shared" si="18"/>
        <v>0.64</v>
      </c>
      <c r="N227" s="132">
        <f t="shared" si="18"/>
        <v>0.64</v>
      </c>
      <c r="O227" s="132">
        <f t="shared" si="18"/>
        <v>0.64</v>
      </c>
      <c r="P227" s="132">
        <f t="shared" si="18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19">SUM(B222:B227)</f>
        <v>0</v>
      </c>
      <c r="C228" s="136">
        <f t="shared" si="19"/>
        <v>3.54</v>
      </c>
      <c r="D228" s="136">
        <f t="shared" si="19"/>
        <v>3.54</v>
      </c>
      <c r="E228" s="136">
        <f t="shared" si="19"/>
        <v>3.54</v>
      </c>
      <c r="F228" s="136">
        <f t="shared" si="19"/>
        <v>3.54</v>
      </c>
      <c r="G228" s="136">
        <f t="shared" si="19"/>
        <v>3.54</v>
      </c>
      <c r="H228" s="136">
        <f t="shared" si="19"/>
        <v>3.54</v>
      </c>
      <c r="I228" s="136">
        <f t="shared" ca="1" si="19"/>
        <v>3.54</v>
      </c>
      <c r="J228" s="136">
        <f t="shared" ca="1" si="19"/>
        <v>3.54</v>
      </c>
      <c r="K228" s="136">
        <f t="shared" ca="1" si="19"/>
        <v>3.54</v>
      </c>
      <c r="L228" s="136">
        <f t="shared" ca="1" si="19"/>
        <v>3.54</v>
      </c>
      <c r="M228" s="136">
        <f t="shared" ca="1" si="19"/>
        <v>3.54</v>
      </c>
      <c r="N228" s="136">
        <f t="shared" ca="1" si="19"/>
        <v>3.54</v>
      </c>
      <c r="O228" s="136">
        <f t="shared" ca="1" si="19"/>
        <v>3.54</v>
      </c>
      <c r="P228" s="136">
        <f t="shared" ca="1" si="19"/>
        <v>3.54</v>
      </c>
      <c r="Q228" s="136">
        <f t="shared" si="19"/>
        <v>0</v>
      </c>
      <c r="R228" s="136">
        <f t="shared" si="19"/>
        <v>0</v>
      </c>
      <c r="S228" s="136">
        <f t="shared" si="19"/>
        <v>0</v>
      </c>
      <c r="T228" s="136">
        <f t="shared" si="19"/>
        <v>0</v>
      </c>
      <c r="U228" s="136">
        <f t="shared" si="19"/>
        <v>0</v>
      </c>
      <c r="V228" s="136">
        <f t="shared" si="19"/>
        <v>0</v>
      </c>
      <c r="W228" s="136">
        <f t="shared" si="19"/>
        <v>0</v>
      </c>
      <c r="X228" s="136">
        <f t="shared" si="19"/>
        <v>0</v>
      </c>
      <c r="Y228" s="136">
        <f t="shared" si="19"/>
        <v>0</v>
      </c>
      <c r="Z228" s="136">
        <f t="shared" si="19"/>
        <v>0</v>
      </c>
      <c r="AA228" s="136">
        <f t="shared" si="19"/>
        <v>0</v>
      </c>
      <c r="AB228" s="136">
        <f t="shared" si="19"/>
        <v>0</v>
      </c>
      <c r="AC228" s="136">
        <f t="shared" si="19"/>
        <v>0</v>
      </c>
      <c r="AD228" s="136">
        <f t="shared" si="19"/>
        <v>0</v>
      </c>
      <c r="AE228" s="136">
        <f t="shared" si="19"/>
        <v>0</v>
      </c>
      <c r="AF228" s="136">
        <f t="shared" si="19"/>
        <v>0</v>
      </c>
      <c r="AG228" s="145">
        <f t="shared" si="19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1356.34</v>
      </c>
      <c r="C237" s="161">
        <f>INDEX(G9:N9,1,MATCH(MAX(G85:N85),G85:N85,0))</f>
        <v>0.375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21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str">
        <f ca="1">"Pie Chart of Daily Peak Demand(Inclusive of Export) of Nepal ("&amp;A4&amp;" "&amp;B4&amp;")"</f>
        <v>Pie Chart of Daily Peak Demand(Inclusive of Export) of Nepal (Nepali Date: 2079/09/21)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2079/09/21)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0">B85</f>
        <v>1065.04</v>
      </c>
      <c r="U242" s="170">
        <f t="shared" si="20"/>
        <v>1080.04</v>
      </c>
      <c r="V242" s="170">
        <f t="shared" si="20"/>
        <v>973.64</v>
      </c>
      <c r="W242" s="170">
        <f t="shared" si="20"/>
        <v>974.64</v>
      </c>
      <c r="X242" s="170">
        <f t="shared" si="20"/>
        <v>1010.64</v>
      </c>
      <c r="Y242" s="170">
        <f t="shared" si="20"/>
        <v>1028.1399999999999</v>
      </c>
      <c r="Z242" s="170">
        <f t="shared" si="20"/>
        <v>1087.44</v>
      </c>
      <c r="AA242" s="170">
        <f t="shared" si="20"/>
        <v>1121.8399999999999</v>
      </c>
      <c r="AB242" s="170">
        <f t="shared" si="20"/>
        <v>1244.8400000000001</v>
      </c>
      <c r="AC242" s="170">
        <f t="shared" si="20"/>
        <v>1258.1400000000001</v>
      </c>
      <c r="AD242" s="170">
        <f t="shared" si="20"/>
        <v>1301.54</v>
      </c>
      <c r="AE242" s="170">
        <f t="shared" si="20"/>
        <v>1341.7400000000002</v>
      </c>
      <c r="AF242" s="170">
        <f t="shared" si="20"/>
        <v>1356.34</v>
      </c>
      <c r="AG242" s="170">
        <f t="shared" si="20"/>
        <v>1333.94</v>
      </c>
      <c r="AH242" s="170">
        <f t="shared" si="20"/>
        <v>1275.54</v>
      </c>
      <c r="AI242" s="170">
        <f t="shared" si="20"/>
        <v>1213.54</v>
      </c>
      <c r="AJ242" s="170">
        <f t="shared" si="20"/>
        <v>1201.74</v>
      </c>
      <c r="AK242" s="170">
        <f t="shared" si="20"/>
        <v>1160.94</v>
      </c>
      <c r="AL242" s="170">
        <f t="shared" si="20"/>
        <v>1142.1399999999999</v>
      </c>
      <c r="AM242" s="170">
        <f t="shared" si="20"/>
        <v>1147.6399999999999</v>
      </c>
      <c r="AN242" s="170">
        <f t="shared" si="20"/>
        <v>1144.54</v>
      </c>
      <c r="AO242" s="170">
        <f t="shared" si="20"/>
        <v>1200.9399999999998</v>
      </c>
      <c r="AP242" s="170">
        <f t="shared" si="20"/>
        <v>1280.8400000000001</v>
      </c>
      <c r="AQ242" s="170">
        <f t="shared" si="20"/>
        <v>1448.5</v>
      </c>
      <c r="AR242" s="170">
        <f t="shared" si="20"/>
        <v>1436.8400000000001</v>
      </c>
      <c r="AS242" s="170">
        <f t="shared" si="20"/>
        <v>1396.14</v>
      </c>
      <c r="AT242" s="170">
        <f t="shared" si="20"/>
        <v>1356.44</v>
      </c>
      <c r="AU242" s="170">
        <f t="shared" si="20"/>
        <v>1249.1399999999999</v>
      </c>
      <c r="AV242" s="170">
        <f t="shared" si="20"/>
        <v>1224.6399999999999</v>
      </c>
      <c r="AW242" s="170">
        <f t="shared" si="20"/>
        <v>1067.54</v>
      </c>
      <c r="AX242" s="170">
        <f t="shared" si="20"/>
        <v>1000.1400000000001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1">C227</f>
        <v>0.64</v>
      </c>
      <c r="C263" s="173">
        <f t="shared" si="21"/>
        <v>0.64</v>
      </c>
      <c r="D263" s="173">
        <f t="shared" si="21"/>
        <v>0.64</v>
      </c>
      <c r="E263" s="173">
        <f t="shared" si="21"/>
        <v>0.64</v>
      </c>
      <c r="F263" s="173">
        <f t="shared" si="21"/>
        <v>0.64</v>
      </c>
      <c r="G263" s="173">
        <f t="shared" si="21"/>
        <v>0.64</v>
      </c>
      <c r="H263" s="173">
        <f t="shared" si="21"/>
        <v>0.64</v>
      </c>
      <c r="I263" s="173">
        <f t="shared" si="21"/>
        <v>0.64</v>
      </c>
      <c r="J263" s="173">
        <f t="shared" si="21"/>
        <v>0.64</v>
      </c>
      <c r="K263" s="173">
        <f t="shared" si="21"/>
        <v>0.64</v>
      </c>
      <c r="L263" s="173">
        <f t="shared" si="21"/>
        <v>0.64</v>
      </c>
      <c r="M263" s="173">
        <f t="shared" si="21"/>
        <v>0.64</v>
      </c>
      <c r="N263" s="173">
        <f t="shared" si="21"/>
        <v>0.64</v>
      </c>
      <c r="O263" s="173">
        <f t="shared" si="21"/>
        <v>0.64</v>
      </c>
      <c r="P263" s="173">
        <f t="shared" si="21"/>
        <v>0</v>
      </c>
      <c r="Q263" s="173">
        <f t="shared" si="21"/>
        <v>0</v>
      </c>
      <c r="R263" s="173">
        <f t="shared" si="21"/>
        <v>0</v>
      </c>
      <c r="S263" s="173">
        <f t="shared" si="21"/>
        <v>0</v>
      </c>
      <c r="T263" s="173">
        <f t="shared" si="21"/>
        <v>0</v>
      </c>
      <c r="U263" s="173">
        <f t="shared" si="21"/>
        <v>0</v>
      </c>
      <c r="V263" s="173">
        <f t="shared" si="21"/>
        <v>0</v>
      </c>
      <c r="W263" s="173">
        <f t="shared" si="21"/>
        <v>0</v>
      </c>
      <c r="X263" s="173">
        <f t="shared" si="21"/>
        <v>0</v>
      </c>
      <c r="Y263" s="173">
        <f t="shared" si="21"/>
        <v>0</v>
      </c>
      <c r="Z263" s="173">
        <f t="shared" si="21"/>
        <v>0</v>
      </c>
      <c r="AA263" s="173">
        <f t="shared" si="21"/>
        <v>0</v>
      </c>
      <c r="AB263" s="173">
        <f t="shared" si="21"/>
        <v>0</v>
      </c>
      <c r="AC263" s="173">
        <f t="shared" si="21"/>
        <v>0</v>
      </c>
      <c r="AD263" s="173">
        <f t="shared" si="21"/>
        <v>0</v>
      </c>
      <c r="AE263" s="173">
        <f t="shared" si="21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2">IF(B231&lt;100,"",B231-520)</f>
        <v/>
      </c>
      <c r="C264" s="174" t="str">
        <f t="shared" si="22"/>
        <v/>
      </c>
      <c r="D264" s="174" t="str">
        <f t="shared" si="22"/>
        <v/>
      </c>
      <c r="E264" s="174" t="str">
        <f t="shared" si="22"/>
        <v/>
      </c>
      <c r="F264" s="174" t="str">
        <f t="shared" si="22"/>
        <v/>
      </c>
      <c r="G264" s="174" t="str">
        <f t="shared" si="22"/>
        <v/>
      </c>
      <c r="H264" s="174" t="str">
        <f t="shared" si="22"/>
        <v/>
      </c>
      <c r="I264" s="174" t="str">
        <f t="shared" si="22"/>
        <v/>
      </c>
      <c r="J264" s="174" t="str">
        <f t="shared" si="22"/>
        <v/>
      </c>
      <c r="K264" s="174" t="str">
        <f t="shared" si="22"/>
        <v/>
      </c>
      <c r="L264" s="174" t="str">
        <f t="shared" si="22"/>
        <v/>
      </c>
      <c r="M264" s="174" t="str">
        <f t="shared" si="22"/>
        <v/>
      </c>
      <c r="N264" s="174" t="str">
        <f t="shared" si="22"/>
        <v/>
      </c>
      <c r="O264" s="174" t="str">
        <f t="shared" si="22"/>
        <v/>
      </c>
      <c r="P264" s="174" t="str">
        <f t="shared" si="22"/>
        <v/>
      </c>
      <c r="Q264" s="174" t="str">
        <f t="shared" si="22"/>
        <v/>
      </c>
      <c r="R264" s="174" t="str">
        <f t="shared" si="22"/>
        <v/>
      </c>
      <c r="S264" s="174" t="str">
        <f t="shared" si="22"/>
        <v/>
      </c>
      <c r="T264" s="174" t="str">
        <f t="shared" si="22"/>
        <v/>
      </c>
      <c r="U264" s="174" t="str">
        <f t="shared" si="22"/>
        <v/>
      </c>
      <c r="V264" s="174" t="str">
        <f t="shared" si="22"/>
        <v/>
      </c>
      <c r="W264" s="174" t="str">
        <f t="shared" si="22"/>
        <v/>
      </c>
      <c r="X264" s="174" t="str">
        <f t="shared" si="22"/>
        <v/>
      </c>
      <c r="Y264" s="174" t="str">
        <f t="shared" si="22"/>
        <v/>
      </c>
      <c r="Z264" s="174" t="str">
        <f t="shared" si="22"/>
        <v/>
      </c>
      <c r="AA264" s="174" t="str">
        <f t="shared" si="22"/>
        <v/>
      </c>
      <c r="AB264" s="174" t="str">
        <f t="shared" si="22"/>
        <v/>
      </c>
      <c r="AC264" s="174" t="str">
        <f t="shared" si="22"/>
        <v/>
      </c>
      <c r="AD264" s="174" t="str">
        <f t="shared" si="22"/>
        <v/>
      </c>
      <c r="AE264" s="174" t="str">
        <f t="shared" si="22"/>
        <v/>
      </c>
      <c r="AF264" s="174" t="str">
        <f t="shared" si="22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3">IF(B232&lt;100,"",B232-620)</f>
        <v/>
      </c>
      <c r="C265" s="174" t="str">
        <f t="shared" si="23"/>
        <v/>
      </c>
      <c r="D265" s="174" t="str">
        <f t="shared" si="23"/>
        <v/>
      </c>
      <c r="E265" s="174" t="str">
        <f t="shared" si="23"/>
        <v/>
      </c>
      <c r="F265" s="174" t="str">
        <f t="shared" si="23"/>
        <v/>
      </c>
      <c r="G265" s="174" t="str">
        <f t="shared" si="23"/>
        <v/>
      </c>
      <c r="H265" s="174" t="str">
        <f t="shared" si="23"/>
        <v/>
      </c>
      <c r="I265" s="174" t="str">
        <f t="shared" si="23"/>
        <v/>
      </c>
      <c r="J265" s="174" t="str">
        <f t="shared" si="23"/>
        <v/>
      </c>
      <c r="K265" s="174" t="str">
        <f t="shared" si="23"/>
        <v/>
      </c>
      <c r="L265" s="174" t="str">
        <f t="shared" si="23"/>
        <v/>
      </c>
      <c r="M265" s="174" t="str">
        <f t="shared" si="23"/>
        <v/>
      </c>
      <c r="N265" s="174" t="str">
        <f t="shared" si="23"/>
        <v/>
      </c>
      <c r="O265" s="174" t="str">
        <f t="shared" si="23"/>
        <v/>
      </c>
      <c r="P265" s="174" t="str">
        <f t="shared" si="23"/>
        <v/>
      </c>
      <c r="Q265" s="174" t="str">
        <f t="shared" si="23"/>
        <v/>
      </c>
      <c r="R265" s="174" t="str">
        <f t="shared" si="23"/>
        <v/>
      </c>
      <c r="S265" s="174" t="str">
        <f t="shared" si="23"/>
        <v/>
      </c>
      <c r="T265" s="174" t="str">
        <f t="shared" si="23"/>
        <v/>
      </c>
      <c r="U265" s="174" t="str">
        <f t="shared" si="23"/>
        <v/>
      </c>
      <c r="V265" s="174" t="str">
        <f t="shared" si="23"/>
        <v/>
      </c>
      <c r="W265" s="174" t="str">
        <f t="shared" si="23"/>
        <v/>
      </c>
      <c r="X265" s="174" t="str">
        <f t="shared" si="23"/>
        <v/>
      </c>
      <c r="Y265" s="174" t="str">
        <f t="shared" si="23"/>
        <v/>
      </c>
      <c r="Z265" s="174" t="str">
        <f t="shared" si="23"/>
        <v/>
      </c>
      <c r="AA265" s="174" t="str">
        <f t="shared" si="23"/>
        <v/>
      </c>
      <c r="AB265" s="174" t="str">
        <f t="shared" si="23"/>
        <v/>
      </c>
      <c r="AC265" s="174" t="str">
        <f t="shared" si="23"/>
        <v/>
      </c>
      <c r="AD265" s="174" t="str">
        <f t="shared" si="23"/>
        <v/>
      </c>
      <c r="AE265" s="174" t="str">
        <f t="shared" si="23"/>
        <v/>
      </c>
      <c r="AF265" s="174" t="str">
        <f t="shared" si="23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4">IF(B233&lt;100,"",B233-330)</f>
        <v/>
      </c>
      <c r="C266" s="174" t="str">
        <f t="shared" si="24"/>
        <v/>
      </c>
      <c r="D266" s="174" t="str">
        <f t="shared" si="24"/>
        <v/>
      </c>
      <c r="E266" s="174" t="str">
        <f t="shared" si="24"/>
        <v/>
      </c>
      <c r="F266" s="174" t="str">
        <f t="shared" si="24"/>
        <v/>
      </c>
      <c r="G266" s="174" t="str">
        <f t="shared" si="24"/>
        <v/>
      </c>
      <c r="H266" s="174" t="str">
        <f t="shared" si="24"/>
        <v/>
      </c>
      <c r="I266" s="174" t="str">
        <f t="shared" si="24"/>
        <v/>
      </c>
      <c r="J266" s="174" t="str">
        <f t="shared" si="24"/>
        <v/>
      </c>
      <c r="K266" s="174" t="str">
        <f t="shared" si="24"/>
        <v/>
      </c>
      <c r="L266" s="174" t="str">
        <f t="shared" si="24"/>
        <v/>
      </c>
      <c r="M266" s="174" t="str">
        <f t="shared" si="24"/>
        <v/>
      </c>
      <c r="N266" s="174" t="str">
        <f t="shared" si="24"/>
        <v/>
      </c>
      <c r="O266" s="174" t="str">
        <f t="shared" si="24"/>
        <v/>
      </c>
      <c r="P266" s="174" t="str">
        <f t="shared" si="24"/>
        <v/>
      </c>
      <c r="Q266" s="174" t="str">
        <f t="shared" si="24"/>
        <v/>
      </c>
      <c r="R266" s="174" t="str">
        <f t="shared" si="24"/>
        <v/>
      </c>
      <c r="S266" s="174" t="str">
        <f t="shared" si="24"/>
        <v/>
      </c>
      <c r="T266" s="174" t="str">
        <f t="shared" si="24"/>
        <v/>
      </c>
      <c r="U266" s="174" t="str">
        <f t="shared" si="24"/>
        <v/>
      </c>
      <c r="V266" s="174" t="str">
        <f t="shared" si="24"/>
        <v/>
      </c>
      <c r="W266" s="174" t="str">
        <f t="shared" si="24"/>
        <v/>
      </c>
      <c r="X266" s="174" t="str">
        <f t="shared" si="24"/>
        <v/>
      </c>
      <c r="Y266" s="174" t="str">
        <f t="shared" si="24"/>
        <v/>
      </c>
      <c r="Z266" s="174" t="str">
        <f t="shared" si="24"/>
        <v/>
      </c>
      <c r="AA266" s="174" t="str">
        <f t="shared" si="24"/>
        <v/>
      </c>
      <c r="AB266" s="174" t="str">
        <f t="shared" si="24"/>
        <v/>
      </c>
      <c r="AC266" s="174" t="str">
        <f t="shared" si="24"/>
        <v/>
      </c>
      <c r="AD266" s="174" t="str">
        <f t="shared" si="24"/>
        <v/>
      </c>
      <c r="AE266" s="174" t="str">
        <f t="shared" si="24"/>
        <v/>
      </c>
      <c r="AF266" s="174" t="str">
        <f t="shared" si="24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5">IF(B234&lt;100,"",B234-1500)</f>
        <v/>
      </c>
      <c r="C267" s="174" t="str">
        <f t="shared" si="25"/>
        <v/>
      </c>
      <c r="D267" s="174" t="str">
        <f t="shared" si="25"/>
        <v/>
      </c>
      <c r="E267" s="174" t="str">
        <f t="shared" si="25"/>
        <v/>
      </c>
      <c r="F267" s="174" t="str">
        <f t="shared" si="25"/>
        <v/>
      </c>
      <c r="G267" s="174" t="str">
        <f t="shared" si="25"/>
        <v/>
      </c>
      <c r="H267" s="174" t="str">
        <f t="shared" si="25"/>
        <v/>
      </c>
      <c r="I267" s="174" t="str">
        <f t="shared" si="25"/>
        <v/>
      </c>
      <c r="J267" s="174" t="str">
        <f t="shared" si="25"/>
        <v/>
      </c>
      <c r="K267" s="174" t="str">
        <f t="shared" si="25"/>
        <v/>
      </c>
      <c r="L267" s="174" t="str">
        <f t="shared" si="25"/>
        <v/>
      </c>
      <c r="M267" s="174" t="str">
        <f t="shared" si="25"/>
        <v/>
      </c>
      <c r="N267" s="174" t="str">
        <f t="shared" si="25"/>
        <v/>
      </c>
      <c r="O267" s="174" t="str">
        <f t="shared" si="25"/>
        <v/>
      </c>
      <c r="P267" s="174" t="str">
        <f t="shared" si="25"/>
        <v/>
      </c>
      <c r="Q267" s="174" t="str">
        <f t="shared" si="25"/>
        <v/>
      </c>
      <c r="R267" s="174" t="str">
        <f t="shared" si="25"/>
        <v/>
      </c>
      <c r="S267" s="174" t="str">
        <f t="shared" si="25"/>
        <v/>
      </c>
      <c r="T267" s="174" t="str">
        <f t="shared" si="25"/>
        <v/>
      </c>
      <c r="U267" s="174" t="str">
        <f t="shared" si="25"/>
        <v/>
      </c>
      <c r="V267" s="174" t="str">
        <f t="shared" si="25"/>
        <v/>
      </c>
      <c r="W267" s="174" t="str">
        <f t="shared" si="25"/>
        <v/>
      </c>
      <c r="X267" s="174" t="str">
        <f t="shared" si="25"/>
        <v/>
      </c>
      <c r="Y267" s="174" t="str">
        <f t="shared" si="25"/>
        <v/>
      </c>
      <c r="Z267" s="174" t="str">
        <f t="shared" si="25"/>
        <v/>
      </c>
      <c r="AA267" s="174" t="str">
        <f t="shared" si="25"/>
        <v/>
      </c>
      <c r="AB267" s="174" t="str">
        <f t="shared" si="25"/>
        <v/>
      </c>
      <c r="AC267" s="174" t="str">
        <f t="shared" si="25"/>
        <v/>
      </c>
      <c r="AD267" s="174" t="str">
        <f t="shared" si="25"/>
        <v/>
      </c>
      <c r="AE267" s="174" t="str">
        <f t="shared" si="25"/>
        <v/>
      </c>
      <c r="AF267" s="174" t="str">
        <f t="shared" si="25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5:AF105 D107:AF112 Y11:AF41">
    <cfRule type="expression" dxfId="4022" priority="234">
      <formula>B$9&gt;=20/24</formula>
    </cfRule>
    <cfRule type="expression" dxfId="4021" priority="235">
      <formula>AND(B$9&gt;=14/24,B$9&lt;20/24)</formula>
    </cfRule>
    <cfRule type="expression" dxfId="4020" priority="236">
      <formula>AND(B$9&gt;=8/24,B$9&lt;14/24)</formula>
    </cfRule>
    <cfRule type="expression" dxfId="4019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G61 Y11:AF41">
    <cfRule type="expression" dxfId="4018" priority="232">
      <formula>Y11&gt;$AG11</formula>
    </cfRule>
  </conditionalFormatting>
  <conditionalFormatting sqref="A95:A105 A55:A82 A91:A93 A198:A228 A42:A53 A114:A185 A38:A39 A87:A89 A84:A85 A107:A109 A35:A36 A17:A18 A11:A15 A20:A33">
    <cfRule type="expression" dxfId="4017" priority="231">
      <formula>$AH11=0</formula>
    </cfRule>
  </conditionalFormatting>
  <conditionalFormatting sqref="A110">
    <cfRule type="expression" dxfId="4016" priority="230">
      <formula>$AH110=0</formula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4015" priority="228">
      <formula>$AH41=0</formula>
    </cfRule>
  </conditionalFormatting>
  <conditionalFormatting sqref="A94">
    <cfRule type="expression" dxfId="4014" priority="227">
      <formula>$AH94=0</formula>
    </cfRule>
  </conditionalFormatting>
  <conditionalFormatting sqref="A16">
    <cfRule type="expression" dxfId="4013" priority="226">
      <formula>$AH16=0</formula>
    </cfRule>
  </conditionalFormatting>
  <conditionalFormatting sqref="A192:A197">
    <cfRule type="expression" dxfId="4012" priority="225">
      <formula>$AH192=0</formula>
    </cfRule>
  </conditionalFormatting>
  <conditionalFormatting sqref="A186:A191">
    <cfRule type="expression" dxfId="4011" priority="224">
      <formula>$AH186=0</formula>
    </cfRule>
  </conditionalFormatting>
  <conditionalFormatting sqref="A54">
    <cfRule type="expression" dxfId="4010" priority="223">
      <formula>$AH54=0</formula>
    </cfRule>
  </conditionalFormatting>
  <conditionalFormatting sqref="A90">
    <cfRule type="expression" dxfId="4009" priority="222">
      <formula>$AH90=0</formula>
    </cfRule>
  </conditionalFormatting>
  <conditionalFormatting sqref="J95:X95 AD95:AF95">
    <cfRule type="expression" dxfId="4008" priority="218">
      <formula>J$9&gt;=20/24</formula>
    </cfRule>
    <cfRule type="expression" dxfId="4007" priority="219">
      <formula>AND(J$9&gt;=14/24,J$9&lt;20/24)</formula>
    </cfRule>
    <cfRule type="expression" dxfId="4006" priority="220">
      <formula>AND(J$9&gt;=8/24,J$9&lt;14/24)</formula>
    </cfRule>
    <cfRule type="expression" dxfId="4005" priority="221">
      <formula>J$9&lt;8/24</formula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004" priority="240">
      <formula>C$9&gt;=20/24</formula>
    </cfRule>
    <cfRule type="expression" dxfId="4003" priority="241">
      <formula>AND(C$9&gt;=14/24,C$9&lt;20/24)</formula>
    </cfRule>
    <cfRule type="expression" dxfId="4002" priority="242">
      <formula>AND(C$9&gt;=8/24,C$9&lt;14/24)</formula>
    </cfRule>
    <cfRule type="expression" dxfId="4001" priority="243">
      <formula>C$9&lt;8/24</formula>
    </cfRule>
  </conditionalFormatting>
  <conditionalFormatting sqref="A229">
    <cfRule type="expression" dxfId="4000" priority="244">
      <formula>$AH229=0</formula>
    </cfRule>
  </conditionalFormatting>
  <conditionalFormatting sqref="AG241">
    <cfRule type="expression" dxfId="3999" priority="245">
      <formula>B$9&gt;=20/24</formula>
    </cfRule>
    <cfRule type="expression" dxfId="3998" priority="246">
      <formula>AND(B$9&gt;=14/24,B$9&lt;20/24)</formula>
    </cfRule>
    <cfRule type="expression" dxfId="3997" priority="247">
      <formula>AND(B$9&gt;=8/24,B$9&lt;14/24)</formula>
    </cfRule>
    <cfRule type="expression" dxfId="3996" priority="248">
      <formula>B$9&lt;8/24</formula>
    </cfRule>
  </conditionalFormatting>
  <conditionalFormatting sqref="S8">
    <cfRule type="expression" dxfId="3995" priority="213">
      <formula>U$9&gt;=20/24</formula>
    </cfRule>
    <cfRule type="expression" dxfId="3994" priority="214">
      <formula>AND(U$9&gt;=14/24,U$9&lt;20/24)</formula>
    </cfRule>
    <cfRule type="expression" dxfId="3993" priority="215">
      <formula>AND(U$9&gt;=8/24,U$9&lt;14/24)</formula>
    </cfRule>
    <cfRule type="expression" dxfId="3992" priority="216">
      <formula>U$9&lt;8/24</formula>
    </cfRule>
  </conditionalFormatting>
  <conditionalFormatting sqref="AB8">
    <cfRule type="expression" dxfId="3991" priority="209">
      <formula>AD$9&gt;=20/24</formula>
    </cfRule>
    <cfRule type="expression" dxfId="3990" priority="210">
      <formula>AND(AD$9&gt;=14/24,AD$9&lt;20/24)</formula>
    </cfRule>
    <cfRule type="expression" dxfId="3989" priority="211">
      <formula>AND(AD$9&gt;=8/24,AD$9&lt;14/24)</formula>
    </cfRule>
    <cfRule type="expression" dxfId="3988" priority="212">
      <formula>AD$9&lt;8/24</formula>
    </cfRule>
  </conditionalFormatting>
  <conditionalFormatting sqref="AH241:AX241">
    <cfRule type="expression" dxfId="3987" priority="249">
      <formula>AG$9&gt;=20/24</formula>
    </cfRule>
    <cfRule type="expression" dxfId="3986" priority="250">
      <formula>AND(AG$9&gt;=14/24,AG$9&lt;20/24)</formula>
    </cfRule>
    <cfRule type="expression" dxfId="3985" priority="251">
      <formula>AND(AG$9&gt;=8/24,AG$9&lt;14/24)</formula>
    </cfRule>
    <cfRule type="expression" dxfId="3984" priority="252">
      <formula>AG$9&lt;8/24</formula>
    </cfRule>
  </conditionalFormatting>
  <conditionalFormatting sqref="T241">
    <cfRule type="expression" dxfId="3983" priority="253">
      <formula>AX$9&gt;=20/24</formula>
    </cfRule>
    <cfRule type="expression" dxfId="3982" priority="254">
      <formula>AND(AX$9&gt;=14/24,AX$9&lt;20/24)</formula>
    </cfRule>
    <cfRule type="expression" dxfId="3981" priority="255">
      <formula>AND(AX$9&gt;=8/24,AX$9&lt;14/24)</formula>
    </cfRule>
    <cfRule type="expression" dxfId="3980" priority="256">
      <formula>AX$9&lt;8/24</formula>
    </cfRule>
  </conditionalFormatting>
  <conditionalFormatting sqref="A111:A112">
    <cfRule type="expression" dxfId="3979" priority="208">
      <formula>$AH111=0</formula>
    </cfRule>
  </conditionalFormatting>
  <conditionalFormatting sqref="AB50:AE51 M50:Q54 R54:V54 J67:AF67 W52:AE53 AF50:AF53">
    <cfRule type="expression" dxfId="3978" priority="204">
      <formula>J$9&gt;=20/24</formula>
    </cfRule>
    <cfRule type="expression" dxfId="3977" priority="205">
      <formula>AND(J$9&gt;=14/24,J$9&lt;20/24)</formula>
    </cfRule>
    <cfRule type="expression" dxfId="3976" priority="206">
      <formula>AND(J$9&gt;=8/24,J$9&lt;14/24)</formula>
    </cfRule>
    <cfRule type="expression" dxfId="3975" priority="207">
      <formula>J$9&lt;8/24</formula>
    </cfRule>
  </conditionalFormatting>
  <conditionalFormatting sqref="M49:Q49 AB49:AF49">
    <cfRule type="expression" dxfId="3974" priority="200">
      <formula>M$9&gt;=20/24</formula>
    </cfRule>
    <cfRule type="expression" dxfId="3973" priority="201">
      <formula>AND(M$9&gt;=14/24,M$9&lt;20/24)</formula>
    </cfRule>
    <cfRule type="expression" dxfId="3972" priority="202">
      <formula>AND(M$9&gt;=8/24,M$9&lt;14/24)</formula>
    </cfRule>
    <cfRule type="expression" dxfId="3971" priority="203">
      <formula>M$9&lt;8/24</formula>
    </cfRule>
  </conditionalFormatting>
  <conditionalFormatting sqref="AB49:AE51 M49:Q54 R54:V54 W52:AE53 AF49:AF53">
    <cfRule type="expression" dxfId="3970" priority="199">
      <formula>M49&gt;$AG49</formula>
    </cfRule>
  </conditionalFormatting>
  <conditionalFormatting sqref="D82:AF82 X43:AF43 X92:AF92 AD96:AF102 M96:X102 J68:X69 Y68:AF70 X63:AF65">
    <cfRule type="expression" dxfId="3969" priority="195">
      <formula>D$9&gt;=20/24</formula>
    </cfRule>
    <cfRule type="expression" dxfId="3968" priority="196">
      <formula>AND(D$9&gt;=14/24,D$9&lt;20/24)</formula>
    </cfRule>
    <cfRule type="expression" dxfId="3967" priority="197">
      <formula>AND(D$9&gt;=8/24,D$9&lt;14/24)</formula>
    </cfRule>
    <cfRule type="expression" dxfId="3966" priority="198">
      <formula>D$9&lt;8/24</formula>
    </cfRule>
  </conditionalFormatting>
  <conditionalFormatting sqref="X43:AF43 X63:AF65">
    <cfRule type="expression" dxfId="3965" priority="194">
      <formula>X43&gt;$AG43</formula>
    </cfRule>
  </conditionalFormatting>
  <conditionalFormatting sqref="R49:V53 W49:AA51">
    <cfRule type="expression" dxfId="3964" priority="190">
      <formula>R$9&gt;=20/24</formula>
    </cfRule>
    <cfRule type="expression" dxfId="3963" priority="191">
      <formula>AND(R$9&gt;=14/24,R$9&lt;20/24)</formula>
    </cfRule>
    <cfRule type="expression" dxfId="3962" priority="192">
      <formula>AND(R$9&gt;=8/24,R$9&lt;14/24)</formula>
    </cfRule>
    <cfRule type="expression" dxfId="3961" priority="193">
      <formula>R$9&lt;8/24</formula>
    </cfRule>
  </conditionalFormatting>
  <conditionalFormatting sqref="R49:V53 W49:AA51">
    <cfRule type="expression" dxfId="3960" priority="189">
      <formula>R49&gt;$AG49</formula>
    </cfRule>
  </conditionalFormatting>
  <conditionalFormatting sqref="C93:AF93 C84:AF84">
    <cfRule type="expression" dxfId="3959" priority="185">
      <formula>C$9&gt;=20/24</formula>
    </cfRule>
    <cfRule type="expression" dxfId="3958" priority="186">
      <formula>AND(C$9&gt;=14/24,C$9&lt;20/24)</formula>
    </cfRule>
    <cfRule type="expression" dxfId="3957" priority="187">
      <formula>AND(C$9&gt;=8/24,C$9&lt;14/24)</formula>
    </cfRule>
    <cfRule type="expression" dxfId="3956" priority="188">
      <formula>C$9&lt;8/24</formula>
    </cfRule>
  </conditionalFormatting>
  <conditionalFormatting sqref="T43:W43">
    <cfRule type="expression" dxfId="3955" priority="181">
      <formula>T$9&gt;=20/24</formula>
    </cfRule>
    <cfRule type="expression" dxfId="3954" priority="182">
      <formula>AND(T$9&gt;=14/24,T$9&lt;20/24)</formula>
    </cfRule>
    <cfRule type="expression" dxfId="3953" priority="183">
      <formula>AND(T$9&gt;=8/24,T$9&lt;14/24)</formula>
    </cfRule>
    <cfRule type="expression" dxfId="3952" priority="184">
      <formula>T$9&lt;8/24</formula>
    </cfRule>
  </conditionalFormatting>
  <conditionalFormatting sqref="T43:W43">
    <cfRule type="expression" dxfId="3951" priority="180">
      <formula>T43&gt;$AG43</formula>
    </cfRule>
  </conditionalFormatting>
  <conditionalFormatting sqref="Y42:AF42">
    <cfRule type="expression" dxfId="3950" priority="176">
      <formula>Y$9&gt;=20/24</formula>
    </cfRule>
    <cfRule type="expression" dxfId="3949" priority="177">
      <formula>AND(Y$9&gt;=14/24,Y$9&lt;20/24)</formula>
    </cfRule>
    <cfRule type="expression" dxfId="3948" priority="178">
      <formula>AND(Y$9&gt;=8/24,Y$9&lt;14/24)</formula>
    </cfRule>
    <cfRule type="expression" dxfId="3947" priority="179">
      <formula>Y$9&lt;8/24</formula>
    </cfRule>
  </conditionalFormatting>
  <conditionalFormatting sqref="Y42:AF42">
    <cfRule type="expression" dxfId="3946" priority="171">
      <formula>Y42&gt;$AG42</formula>
    </cfRule>
  </conditionalFormatting>
  <conditionalFormatting sqref="AG66 AG83 J96:L102 Q63:W65">
    <cfRule type="expression" dxfId="3945" priority="167">
      <formula>J$9&gt;=20/24</formula>
    </cfRule>
    <cfRule type="expression" dxfId="3944" priority="168">
      <formula>AND(J$9&gt;=14/24,J$9&lt;20/24)</formula>
    </cfRule>
    <cfRule type="expression" dxfId="3943" priority="169">
      <formula>AND(J$9&gt;=8/24,J$9&lt;14/24)</formula>
    </cfRule>
    <cfRule type="expression" dxfId="3942" priority="170">
      <formula>J$9&lt;8/24</formula>
    </cfRule>
  </conditionalFormatting>
  <conditionalFormatting sqref="AG44 AG62 AG66 Q63:W65">
    <cfRule type="expression" dxfId="3941" priority="166">
      <formula>Q44&gt;$AG44</formula>
    </cfRule>
  </conditionalFormatting>
  <conditionalFormatting sqref="Y54:AF54">
    <cfRule type="expression" dxfId="3940" priority="162">
      <formula>Y$9&gt;=20/24</formula>
    </cfRule>
    <cfRule type="expression" dxfId="3939" priority="163">
      <formula>AND(Y$9&gt;=14/24,Y$9&lt;20/24)</formula>
    </cfRule>
    <cfRule type="expression" dxfId="3938" priority="164">
      <formula>AND(Y$9&gt;=8/24,Y$9&lt;14/24)</formula>
    </cfRule>
    <cfRule type="expression" dxfId="3937" priority="165">
      <formula>Y$9&lt;8/24</formula>
    </cfRule>
  </conditionalFormatting>
  <conditionalFormatting sqref="Y54:AF54">
    <cfRule type="expression" dxfId="3936" priority="161">
      <formula>Y54&gt;$AG54</formula>
    </cfRule>
  </conditionalFormatting>
  <conditionalFormatting sqref="A40">
    <cfRule type="expression" dxfId="3935" priority="160">
      <formula>$AH40=0</formula>
    </cfRule>
  </conditionalFormatting>
  <conditionalFormatting sqref="X87:AF91">
    <cfRule type="expression" dxfId="3934" priority="156">
      <formula>X$9&gt;=20/24</formula>
    </cfRule>
    <cfRule type="expression" dxfId="3933" priority="157">
      <formula>AND(X$9&gt;=14/24,X$9&lt;20/24)</formula>
    </cfRule>
    <cfRule type="expression" dxfId="3932" priority="158">
      <formula>AND(X$9&gt;=8/24,X$9&lt;14/24)</formula>
    </cfRule>
    <cfRule type="expression" dxfId="3931" priority="159">
      <formula>X$9&lt;8/24</formula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J45:L45 M45:AF47">
    <cfRule type="expression" dxfId="3930" priority="152">
      <formula>J$9&gt;=20/24</formula>
    </cfRule>
    <cfRule type="expression" dxfId="3929" priority="153">
      <formula>AND(J$9&gt;=14/24,J$9&lt;20/24)</formula>
    </cfRule>
    <cfRule type="expression" dxfId="3928" priority="154">
      <formula>AND(J$9&gt;=8/24,J$9&lt;14/24)</formula>
    </cfRule>
    <cfRule type="expression" dxfId="3927" priority="155">
      <formula>J$9&lt;8/24</formula>
    </cfRule>
  </conditionalFormatting>
  <conditionalFormatting sqref="J45:L45 M45:AF47">
    <cfRule type="expression" dxfId="3926" priority="151">
      <formula>J45&gt;$AG45</formula>
    </cfRule>
  </conditionalFormatting>
  <conditionalFormatting sqref="AG48">
    <cfRule type="expression" dxfId="3925" priority="147">
      <formula>AG$9&gt;=20/24</formula>
    </cfRule>
    <cfRule type="expression" dxfId="3924" priority="148">
      <formula>AND(AG$9&gt;=14/24,AG$9&lt;20/24)</formula>
    </cfRule>
    <cfRule type="expression" dxfId="3923" priority="149">
      <formula>AND(AG$9&gt;=8/24,AG$9&lt;14/24)</formula>
    </cfRule>
    <cfRule type="expression" dxfId="3922" priority="150">
      <formula>AG$9&lt;8/24</formula>
    </cfRule>
  </conditionalFormatting>
  <conditionalFormatting sqref="AG48">
    <cfRule type="expression" dxfId="3921" priority="146">
      <formula>AG48&gt;$AG48</formula>
    </cfRule>
  </conditionalFormatting>
  <conditionalFormatting sqref="C103:AF103">
    <cfRule type="expression" dxfId="3920" priority="142">
      <formula>C$9&gt;=20/24</formula>
    </cfRule>
    <cfRule type="expression" dxfId="3919" priority="143">
      <formula>AND(C$9&gt;=14/24,C$9&lt;20/24)</formula>
    </cfRule>
    <cfRule type="expression" dxfId="3918" priority="144">
      <formula>AND(C$9&gt;=8/24,C$9&lt;14/24)</formula>
    </cfRule>
    <cfRule type="expression" dxfId="3917" priority="145">
      <formula>C$9&lt;8/24</formula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3916" priority="140">
      <formula>$AH37=0</formula>
    </cfRule>
  </conditionalFormatting>
  <conditionalFormatting sqref="A86">
    <cfRule type="expression" dxfId="3915" priority="138">
      <formula>$AH86=0</formula>
    </cfRule>
  </conditionalFormatting>
  <conditionalFormatting sqref="A83">
    <cfRule type="expression" dxfId="3914" priority="139">
      <formula>$AH83=0</formula>
    </cfRule>
  </conditionalFormatting>
  <conditionalFormatting sqref="A113">
    <cfRule type="expression" dxfId="3913" priority="129">
      <formula>$AH113=0</formula>
    </cfRule>
  </conditionalFormatting>
  <conditionalFormatting sqref="D106:AF106">
    <cfRule type="expression" dxfId="3912" priority="125">
      <formula>D$9&gt;=20/24</formula>
    </cfRule>
    <cfRule type="expression" dxfId="3911" priority="126">
      <formula>AND(D$9&gt;=14/24,D$9&lt;20/24)</formula>
    </cfRule>
    <cfRule type="expression" dxfId="3910" priority="127">
      <formula>AND(D$9&gt;=8/24,D$9&lt;14/24)</formula>
    </cfRule>
    <cfRule type="expression" dxfId="3909" priority="128">
      <formula>D$9&lt;8/24</formula>
    </cfRule>
  </conditionalFormatting>
  <conditionalFormatting sqref="A106">
    <cfRule type="expression" dxfId="3908" priority="124">
      <formula>$AH106=0</formula>
    </cfRule>
  </conditionalFormatting>
  <conditionalFormatting sqref="A19">
    <cfRule type="expression" dxfId="3907" priority="122">
      <formula>$AH19=0</formula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906" priority="120">
      <formula>$AH34=0</formula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3905" priority="116">
      <formula>Y$9&gt;=20/24</formula>
    </cfRule>
    <cfRule type="expression" dxfId="3904" priority="117">
      <formula>AND(Y$9&gt;=14/24,Y$9&lt;20/24)</formula>
    </cfRule>
    <cfRule type="expression" dxfId="3903" priority="118">
      <formula>AND(Y$9&gt;=8/24,Y$9&lt;14/24)</formula>
    </cfRule>
    <cfRule type="expression" dxfId="3902" priority="119">
      <formula>Y$9&lt;8/24</formula>
    </cfRule>
  </conditionalFormatting>
  <conditionalFormatting sqref="Y96:AC102">
    <cfRule type="expression" dxfId="3901" priority="112">
      <formula>Y$9&gt;=20/24</formula>
    </cfRule>
    <cfRule type="expression" dxfId="3900" priority="113">
      <formula>AND(Y$9&gt;=14/24,Y$9&lt;20/24)</formula>
    </cfRule>
    <cfRule type="expression" dxfId="3899" priority="114">
      <formula>AND(Y$9&gt;=8/24,Y$9&lt;14/24)</formula>
    </cfRule>
    <cfRule type="expression" dxfId="3898" priority="115">
      <formula>Y$9&lt;8/24</formula>
    </cfRule>
  </conditionalFormatting>
  <conditionalFormatting sqref="B105:C105 B107:C112 B15:X40">
    <cfRule type="expression" dxfId="3897" priority="108">
      <formula>B$9&gt;=20/24</formula>
    </cfRule>
    <cfRule type="expression" dxfId="3896" priority="109">
      <formula>AND(B$9&gt;=14/24,B$9&lt;20/24)</formula>
    </cfRule>
    <cfRule type="expression" dxfId="3895" priority="110">
      <formula>AND(B$9&gt;=8/24,B$9&lt;14/24)</formula>
    </cfRule>
    <cfRule type="expression" dxfId="3894" priority="111">
      <formula>B$9&lt;8/24</formula>
    </cfRule>
  </conditionalFormatting>
  <conditionalFormatting sqref="B43:S43">
    <cfRule type="expression" dxfId="3893" priority="104">
      <formula>B$9&gt;=20/24</formula>
    </cfRule>
    <cfRule type="expression" dxfId="3892" priority="105">
      <formula>AND(B$9&gt;=14/24,B$9&lt;20/24)</formula>
    </cfRule>
    <cfRule type="expression" dxfId="3891" priority="106">
      <formula>AND(B$9&gt;=8/24,B$9&lt;14/24)</formula>
    </cfRule>
    <cfRule type="expression" dxfId="3890" priority="107">
      <formula>B$9&lt;8/24</formula>
    </cfRule>
  </conditionalFormatting>
  <conditionalFormatting sqref="B43:S43 B15:X40">
    <cfRule type="expression" dxfId="3889" priority="103">
      <formula>B15&gt;$AG15</formula>
    </cfRule>
  </conditionalFormatting>
  <conditionalFormatting sqref="B95:I95">
    <cfRule type="expression" dxfId="3888" priority="99">
      <formula>B$9&gt;=20/24</formula>
    </cfRule>
    <cfRule type="expression" dxfId="3887" priority="100">
      <formula>AND(B$9&gt;=14/24,B$9&lt;20/24)</formula>
    </cfRule>
    <cfRule type="expression" dxfId="3886" priority="101">
      <formula>AND(B$9&gt;=8/24,B$9&lt;14/24)</formula>
    </cfRule>
    <cfRule type="expression" dxfId="3885" priority="102">
      <formula>B$9&lt;8/24</formula>
    </cfRule>
  </conditionalFormatting>
  <conditionalFormatting sqref="B67:I67 B50:L51">
    <cfRule type="expression" dxfId="3884" priority="95">
      <formula>B$9&gt;=20/24</formula>
    </cfRule>
    <cfRule type="expression" dxfId="3883" priority="96">
      <formula>AND(B$9&gt;=14/24,B$9&lt;20/24)</formula>
    </cfRule>
    <cfRule type="expression" dxfId="3882" priority="97">
      <formula>AND(B$9&gt;=8/24,B$9&lt;14/24)</formula>
    </cfRule>
    <cfRule type="expression" dxfId="3881" priority="98">
      <formula>B$9&lt;8/24</formula>
    </cfRule>
  </conditionalFormatting>
  <conditionalFormatting sqref="B49:L49">
    <cfRule type="expression" dxfId="3880" priority="91">
      <formula>B$9&gt;=20/24</formula>
    </cfRule>
    <cfRule type="expression" dxfId="3879" priority="92">
      <formula>AND(B$9&gt;=14/24,B$9&lt;20/24)</formula>
    </cfRule>
    <cfRule type="expression" dxfId="3878" priority="93">
      <formula>AND(B$9&gt;=8/24,B$9&lt;14/24)</formula>
    </cfRule>
    <cfRule type="expression" dxfId="3877" priority="94">
      <formula>B$9&lt;8/24</formula>
    </cfRule>
  </conditionalFormatting>
  <conditionalFormatting sqref="B49:L51">
    <cfRule type="expression" dxfId="3876" priority="90">
      <formula>B49&gt;$AG49</formula>
    </cfRule>
  </conditionalFormatting>
  <conditionalFormatting sqref="B82:C82 B92:W92 B79:AF81 B68:I72 B96:I102 B63:P65 J70:X72 Y71:AF72">
    <cfRule type="expression" dxfId="3875" priority="86">
      <formula>B$9&gt;=20/24</formula>
    </cfRule>
    <cfRule type="expression" dxfId="3874" priority="87">
      <formula>AND(B$9&gt;=14/24,B$9&lt;20/24)</formula>
    </cfRule>
    <cfRule type="expression" dxfId="3873" priority="88">
      <formula>AND(B$9&gt;=8/24,B$9&lt;14/24)</formula>
    </cfRule>
    <cfRule type="expression" dxfId="3872" priority="89">
      <formula>B$9&lt;8/24</formula>
    </cfRule>
  </conditionalFormatting>
  <conditionalFormatting sqref="B63:P65 B52:L53">
    <cfRule type="expression" dxfId="3871" priority="85">
      <formula>B52&gt;$AG52</formula>
    </cfRule>
  </conditionalFormatting>
  <conditionalFormatting sqref="B54:L54 W54:X54">
    <cfRule type="expression" dxfId="3870" priority="81">
      <formula>B$9&gt;=20/24</formula>
    </cfRule>
    <cfRule type="expression" dxfId="3869" priority="82">
      <formula>AND(B$9&gt;=14/24,B$9&lt;20/24)</formula>
    </cfRule>
    <cfRule type="expression" dxfId="3868" priority="83">
      <formula>AND(B$9&gt;=8/24,B$9&lt;14/24)</formula>
    </cfRule>
    <cfRule type="expression" dxfId="3867" priority="84">
      <formula>B$9&lt;8/24</formula>
    </cfRule>
  </conditionalFormatting>
  <conditionalFormatting sqref="B54:L54 W54:X54">
    <cfRule type="expression" dxfId="3866" priority="80">
      <formula>B54&gt;$AG54</formula>
    </cfRule>
  </conditionalFormatting>
  <conditionalFormatting sqref="B84 B93">
    <cfRule type="expression" dxfId="3865" priority="76">
      <formula>B$9&gt;=20/24</formula>
    </cfRule>
    <cfRule type="expression" dxfId="3864" priority="77">
      <formula>AND(B$9&gt;=14/24,B$9&lt;20/24)</formula>
    </cfRule>
    <cfRule type="expression" dxfId="3863" priority="78">
      <formula>AND(B$9&gt;=8/24,B$9&lt;14/24)</formula>
    </cfRule>
    <cfRule type="expression" dxfId="3862" priority="79">
      <formula>B$9&lt;8/24</formula>
    </cfRule>
  </conditionalFormatting>
  <conditionalFormatting sqref="B42:X42">
    <cfRule type="expression" dxfId="3861" priority="72">
      <formula>B$9&gt;=20/24</formula>
    </cfRule>
    <cfRule type="expression" dxfId="3860" priority="73">
      <formula>AND(B$9&gt;=14/24,B$9&lt;20/24)</formula>
    </cfRule>
    <cfRule type="expression" dxfId="3859" priority="74">
      <formula>AND(B$9&gt;=8/24,B$9&lt;14/24)</formula>
    </cfRule>
    <cfRule type="expression" dxfId="3858" priority="75">
      <formula>B$9&lt;8/24</formula>
    </cfRule>
  </conditionalFormatting>
  <conditionalFormatting sqref="B42:X42">
    <cfRule type="expression" dxfId="3857" priority="71">
      <formula>B42&gt;$AG42</formula>
    </cfRule>
  </conditionalFormatting>
  <conditionalFormatting sqref="B66:AF66 B83:AF83 B85:AF85 B94:AF94">
    <cfRule type="expression" dxfId="3856" priority="67">
      <formula>B$9&gt;=20/24</formula>
    </cfRule>
    <cfRule type="expression" dxfId="3855" priority="68">
      <formula>AND(B$9&gt;=14/24,B$9&lt;20/24)</formula>
    </cfRule>
    <cfRule type="expression" dxfId="3854" priority="69">
      <formula>AND(B$9&gt;=8/24,B$9&lt;14/24)</formula>
    </cfRule>
    <cfRule type="expression" dxfId="3853" priority="70">
      <formula>B$9&lt;8/24</formula>
    </cfRule>
  </conditionalFormatting>
  <conditionalFormatting sqref="B44:AF44 B61:AF62 B66:AF66">
    <cfRule type="expression" dxfId="3852" priority="66">
      <formula>B44&gt;$AG44</formula>
    </cfRule>
  </conditionalFormatting>
  <conditionalFormatting sqref="B78:AF78">
    <cfRule type="expression" dxfId="3851" priority="62">
      <formula>B$9&gt;=20/24</formula>
    </cfRule>
    <cfRule type="expression" dxfId="3850" priority="63">
      <formula>AND(B$9&gt;=14/24,B$9&lt;20/24)</formula>
    </cfRule>
    <cfRule type="expression" dxfId="3849" priority="64">
      <formula>AND(B$9&gt;=8/24,B$9&lt;14/24)</formula>
    </cfRule>
    <cfRule type="expression" dxfId="3848" priority="65">
      <formula>B$9&lt;8/24</formula>
    </cfRule>
  </conditionalFormatting>
  <conditionalFormatting sqref="B87:W91">
    <cfRule type="expression" dxfId="3847" priority="58">
      <formula>B$9&gt;=20/24</formula>
    </cfRule>
    <cfRule type="expression" dxfId="3846" priority="59">
      <formula>AND(B$9&gt;=14/24,B$9&lt;20/24)</formula>
    </cfRule>
    <cfRule type="expression" dxfId="3845" priority="60">
      <formula>AND(B$9&gt;=8/24,B$9&lt;14/24)</formula>
    </cfRule>
    <cfRule type="expression" dxfId="3844" priority="61">
      <formula>B$9&lt;8/24</formula>
    </cfRule>
  </conditionalFormatting>
  <conditionalFormatting sqref="B45:I47 J46:L47">
    <cfRule type="expression" dxfId="3843" priority="54">
      <formula>B$9&gt;=20/24</formula>
    </cfRule>
    <cfRule type="expression" dxfId="3842" priority="55">
      <formula>AND(B$9&gt;=14/24,B$9&lt;20/24)</formula>
    </cfRule>
    <cfRule type="expression" dxfId="3841" priority="56">
      <formula>AND(B$9&gt;=8/24,B$9&lt;14/24)</formula>
    </cfRule>
    <cfRule type="expression" dxfId="3840" priority="57">
      <formula>B$9&lt;8/24</formula>
    </cfRule>
  </conditionalFormatting>
  <conditionalFormatting sqref="B45:I47 J46:L47">
    <cfRule type="expression" dxfId="3839" priority="53">
      <formula>B45&gt;$AG45</formula>
    </cfRule>
  </conditionalFormatting>
  <conditionalFormatting sqref="B48:AF48">
    <cfRule type="expression" dxfId="3838" priority="49">
      <formula>B$9&gt;=20/24</formula>
    </cfRule>
    <cfRule type="expression" dxfId="3837" priority="50">
      <formula>AND(B$9&gt;=14/24,B$9&lt;20/24)</formula>
    </cfRule>
    <cfRule type="expression" dxfId="3836" priority="51">
      <formula>AND(B$9&gt;=8/24,B$9&lt;14/24)</formula>
    </cfRule>
    <cfRule type="expression" dxfId="3835" priority="52">
      <formula>B$9&lt;8/24</formula>
    </cfRule>
  </conditionalFormatting>
  <conditionalFormatting sqref="B48:AF48">
    <cfRule type="expression" dxfId="3834" priority="48">
      <formula>B48&gt;$AG48</formula>
    </cfRule>
  </conditionalFormatting>
  <conditionalFormatting sqref="B103">
    <cfRule type="expression" dxfId="3833" priority="44">
      <formula>B$9&gt;=20/24</formula>
    </cfRule>
    <cfRule type="expression" dxfId="3832" priority="45">
      <formula>AND(B$9&gt;=14/24,B$9&lt;20/24)</formula>
    </cfRule>
    <cfRule type="expression" dxfId="3831" priority="46">
      <formula>AND(B$9&gt;=8/24,B$9&lt;14/24)</formula>
    </cfRule>
    <cfRule type="expression" dxfId="3830" priority="47">
      <formula>B$9&lt;8/24</formula>
    </cfRule>
  </conditionalFormatting>
  <conditionalFormatting sqref="B106:C106">
    <cfRule type="expression" dxfId="3829" priority="32">
      <formula>B$9&gt;=20/24</formula>
    </cfRule>
    <cfRule type="expression" dxfId="3828" priority="33">
      <formula>AND(B$9&gt;=14/24,B$9&lt;20/24)</formula>
    </cfRule>
    <cfRule type="expression" dxfId="3827" priority="34">
      <formula>AND(B$9&gt;=8/24,B$9&lt;14/24)</formula>
    </cfRule>
    <cfRule type="expression" dxfId="3826" priority="35">
      <formula>B$9&lt;8/24</formula>
    </cfRule>
  </conditionalFormatting>
  <conditionalFormatting sqref="B55:AF60">
    <cfRule type="expression" dxfId="3825" priority="28">
      <formula>B$9&gt;=20/24</formula>
    </cfRule>
    <cfRule type="expression" dxfId="3824" priority="29">
      <formula>AND(B$9&gt;=14/24,B$9&lt;20/24)</formula>
    </cfRule>
    <cfRule type="expression" dxfId="3823" priority="30">
      <formula>AND(B$9&gt;=8/24,B$9&lt;14/24)</formula>
    </cfRule>
    <cfRule type="expression" dxfId="3822" priority="31">
      <formula>B$9&lt;8/24</formula>
    </cfRule>
  </conditionalFormatting>
  <conditionalFormatting sqref="B55:AF60">
    <cfRule type="expression" dxfId="3821" priority="27">
      <formula>B55&gt;$AG55</formula>
    </cfRule>
  </conditionalFormatting>
  <conditionalFormatting sqref="B41:X41 B12:X14">
    <cfRule type="expression" dxfId="3820" priority="26">
      <formula>B12&gt;$AG12</formula>
    </cfRule>
  </conditionalFormatting>
  <conditionalFormatting sqref="B11:X11">
    <cfRule type="expression" dxfId="3819" priority="22">
      <formula>B$9&gt;=20/24</formula>
    </cfRule>
    <cfRule type="expression" dxfId="3818" priority="23">
      <formula>AND(B$9&gt;=14/24,B$9&lt;20/24)</formula>
    </cfRule>
    <cfRule type="expression" dxfId="3817" priority="24">
      <formula>AND(B$9&gt;=8/24,B$9&lt;14/24)</formula>
    </cfRule>
    <cfRule type="expression" dxfId="3816" priority="25">
      <formula>B$9&lt;8/24</formula>
    </cfRule>
  </conditionalFormatting>
  <conditionalFormatting sqref="B11:X11">
    <cfRule type="expression" dxfId="3815" priority="21">
      <formula>B11&gt;$AG11</formula>
    </cfRule>
  </conditionalFormatting>
  <conditionalFormatting sqref="B12:X14">
    <cfRule type="expression" dxfId="3814" priority="17">
      <formula>B$9&gt;=20/24</formula>
    </cfRule>
    <cfRule type="expression" dxfId="3813" priority="18">
      <formula>AND(B$9&gt;=14/24,B$9&lt;20/24)</formula>
    </cfRule>
    <cfRule type="expression" dxfId="3812" priority="19">
      <formula>AND(B$9&gt;=8/24,B$9&lt;14/24)</formula>
    </cfRule>
    <cfRule type="expression" dxfId="3811" priority="20">
      <formula>B$9&lt;8/24</formula>
    </cfRule>
  </conditionalFormatting>
  <conditionalFormatting sqref="B41:X41">
    <cfRule type="expression" dxfId="3810" priority="13">
      <formula>B$9&gt;=20/24</formula>
    </cfRule>
    <cfRule type="expression" dxfId="3809" priority="14">
      <formula>AND(B$9&gt;=14/24,B$9&lt;20/24)</formula>
    </cfRule>
    <cfRule type="expression" dxfId="3808" priority="15">
      <formula>AND(B$9&gt;=8/24,B$9&lt;14/24)</formula>
    </cfRule>
    <cfRule type="expression" dxfId="3807" priority="16">
      <formula>B$9&lt;8/24</formula>
    </cfRule>
  </conditionalFormatting>
  <conditionalFormatting sqref="B73:AF77">
    <cfRule type="expression" dxfId="3806" priority="9">
      <formula>B$9&gt;=20/24</formula>
    </cfRule>
    <cfRule type="expression" dxfId="3805" priority="10">
      <formula>AND(B$9&gt;=14/24,B$9&lt;20/24)</formula>
    </cfRule>
    <cfRule type="expression" dxfId="3804" priority="11">
      <formula>AND(B$9&gt;=8/24,B$9&lt;14/24)</formula>
    </cfRule>
    <cfRule type="expression" dxfId="3803" priority="12">
      <formula>B$9&lt;8/24</formula>
    </cfRule>
  </conditionalFormatting>
  <conditionalFormatting sqref="AL74:AN74 AL80:AN80 AN75:AN76">
    <cfRule type="expression" dxfId="3802" priority="5">
      <formula>AL$9&gt;=20/24</formula>
    </cfRule>
    <cfRule type="expression" dxfId="3801" priority="6">
      <formula>AND(AL$9&gt;=14/24,AL$9&lt;20/24)</formula>
    </cfRule>
    <cfRule type="expression" dxfId="3800" priority="7">
      <formula>AND(AL$9&gt;=8/24,AL$9&lt;14/24)</formula>
    </cfRule>
    <cfRule type="expression" dxfId="3799" priority="8">
      <formula>AL$9&lt;8/24</formula>
    </cfRule>
  </conditionalFormatting>
  <conditionalFormatting sqref="AN77:AN78">
    <cfRule type="expression" dxfId="3798" priority="1">
      <formula>AN$9&gt;=20/24</formula>
    </cfRule>
    <cfRule type="expression" dxfId="3797" priority="2">
      <formula>AND(AN$9&gt;=14/24,AN$9&lt;20/24)</formula>
    </cfRule>
    <cfRule type="expression" dxfId="3796" priority="3">
      <formula>AND(AN$9&gt;=8/24,AN$9&lt;14/24)</formula>
    </cfRule>
    <cfRule type="expression" dxfId="3795" priority="4">
      <formula>AN$9&lt;8/24</formula>
    </cfRule>
  </conditionalFormatting>
  <conditionalFormatting sqref="AL75:AM79">
    <cfRule type="expression" dxfId="3794" priority="258">
      <formula>AJ$9&gt;=20/24</formula>
    </cfRule>
    <cfRule type="expression" dxfId="3793" priority="259">
      <formula>AND(AJ$9&gt;=14/24,AJ$9&lt;20/24)</formula>
    </cfRule>
    <cfRule type="expression" dxfId="3792" priority="260">
      <formula>AND(AJ$9&gt;=8/24,AJ$9&lt;14/24)</formula>
    </cfRule>
    <cfRule type="expression" dxfId="3791" priority="261">
      <formula>AJ$9&lt;8/24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4" id="{D6FAD1DB-0C92-4D45-8F89-9B0376AE19C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41AD24E2-F9DC-49D7-811E-18D4BE4D97FE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7EE237EB-A5FB-4987-A59F-3BB862FB9B6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B2D7B85E-0070-4329-926A-0FF68A7D64E2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30" id="{48F254F0-7888-4B69-8E13-544AF53B0374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1A1D2D64-40A3-4CBD-8D07-082BD4CC34C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82063A1E-5311-4845-8BD8-FCB36056B915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952D1637-37BF-4AA9-9347-475C507FD6D5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40" id="{6780E7FE-FE8C-4A1C-A2B4-DF363CF03E7A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B2ED14D6-3684-4757-95A7-C379705B4E4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" id="{CA09C3D2-1977-4680-A6AF-4E04F3E4987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" id="{AE76C8B7-AA48-4F62-9FA8-7FA29F4172B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6" id="{75A20B17-F3CD-47F7-9B2A-1DB2D905B06F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8CDC0A56-AB50-42C0-986B-94040DEC86A9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B8834730-5873-4AF4-B85D-4EEE841C9B5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428B89EF-468A-4DF3-892C-CF523AFB926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J274"/>
  <sheetViews>
    <sheetView workbookViewId="0">
      <pane ySplit="10" topLeftCell="A43" activePane="bottomLeft" state="frozen"/>
      <selection activeCell="U80" sqref="U80"/>
      <selection pane="bottomLeft" activeCell="I49" sqref="I4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/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str">
        <f ca="1">"2079/"&amp;"09/"&amp;INT(MID(CELL("filename",D6),FIND("]",CELL("filename",D6))+1,200))</f>
        <v>2079/09/22</v>
      </c>
      <c r="C4" s="771"/>
      <c r="D4" s="771"/>
      <c r="E4" s="772" t="str">
        <f ca="1">"2079/"&amp;"09/"&amp;INT(MID(CELL("filename",G6),FIND("]",CELL("filename",G6))+1,200))</f>
        <v>2079/09/22</v>
      </c>
      <c r="F4" s="772"/>
      <c r="G4" s="772"/>
      <c r="H4" s="772" t="str">
        <f ca="1">TEXT(E4,"dddd")</f>
        <v>Friday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420.29999999999995</v>
      </c>
      <c r="C5" s="30">
        <f t="shared" si="0"/>
        <v>423.09999999999997</v>
      </c>
      <c r="D5" s="30">
        <f t="shared" si="0"/>
        <v>395.40000000000003</v>
      </c>
      <c r="E5" s="30">
        <f t="shared" si="0"/>
        <v>400.2</v>
      </c>
      <c r="F5" s="30">
        <f t="shared" si="0"/>
        <v>411.5</v>
      </c>
      <c r="G5" s="30">
        <f t="shared" si="0"/>
        <v>453.9</v>
      </c>
      <c r="H5" s="30">
        <f t="shared" si="0"/>
        <v>474</v>
      </c>
      <c r="I5" s="30">
        <f t="shared" si="0"/>
        <v>474.7</v>
      </c>
      <c r="J5" s="30">
        <f t="shared" si="0"/>
        <v>446.6</v>
      </c>
      <c r="K5" s="30">
        <f t="shared" si="0"/>
        <v>495.2</v>
      </c>
      <c r="L5" s="30">
        <f t="shared" si="0"/>
        <v>476.1</v>
      </c>
      <c r="M5" s="30">
        <f t="shared" si="0"/>
        <v>491.3</v>
      </c>
      <c r="N5" s="30">
        <f t="shared" si="0"/>
        <v>504.1</v>
      </c>
      <c r="O5" s="30">
        <f t="shared" si="0"/>
        <v>493.7</v>
      </c>
      <c r="P5" s="30">
        <f t="shared" si="0"/>
        <v>501</v>
      </c>
      <c r="Q5" s="30">
        <f t="shared" si="0"/>
        <v>483.40000000000003</v>
      </c>
      <c r="R5" s="30">
        <f t="shared" si="0"/>
        <v>513.1</v>
      </c>
      <c r="S5" s="30">
        <f t="shared" si="0"/>
        <v>505.3</v>
      </c>
      <c r="T5" s="30">
        <f t="shared" si="0"/>
        <v>497</v>
      </c>
      <c r="U5" s="30">
        <f t="shared" si="0"/>
        <v>478.9</v>
      </c>
      <c r="V5" s="30">
        <f t="shared" si="0"/>
        <v>470.8</v>
      </c>
      <c r="W5" s="30">
        <f t="shared" si="0"/>
        <v>500.4</v>
      </c>
      <c r="X5" s="30">
        <f t="shared" si="0"/>
        <v>451.4</v>
      </c>
      <c r="Y5" s="30">
        <f t="shared" si="0"/>
        <v>452.4</v>
      </c>
      <c r="Z5" s="30">
        <f t="shared" si="0"/>
        <v>450</v>
      </c>
      <c r="AA5" s="30">
        <f t="shared" si="0"/>
        <v>428.6</v>
      </c>
      <c r="AB5" s="30">
        <f t="shared" si="0"/>
        <v>438.9</v>
      </c>
      <c r="AC5" s="30">
        <f t="shared" si="0"/>
        <v>450.2</v>
      </c>
      <c r="AD5" s="30">
        <f t="shared" si="0"/>
        <v>449.4</v>
      </c>
      <c r="AE5" s="30">
        <f t="shared" si="0"/>
        <v>454</v>
      </c>
      <c r="AF5" s="30">
        <f>B78</f>
        <v>418.6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1560MW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Load=920</v>
      </c>
      <c r="B7" s="35">
        <f t="shared" ref="B7:AF7" si="1">B85</f>
        <v>981.64</v>
      </c>
      <c r="C7" s="35">
        <f t="shared" si="1"/>
        <v>949.24</v>
      </c>
      <c r="D7" s="35">
        <f t="shared" si="1"/>
        <v>947.24</v>
      </c>
      <c r="E7" s="35">
        <f t="shared" si="1"/>
        <v>919.54</v>
      </c>
      <c r="F7" s="35">
        <f t="shared" si="1"/>
        <v>944.33999999999992</v>
      </c>
      <c r="G7" s="35">
        <f t="shared" si="1"/>
        <v>1011.14</v>
      </c>
      <c r="H7" s="35">
        <f t="shared" si="1"/>
        <v>1062.44</v>
      </c>
      <c r="I7" s="35">
        <f t="shared" si="1"/>
        <v>1134.94</v>
      </c>
      <c r="J7" s="35">
        <f t="shared" si="1"/>
        <v>1226.5400000000002</v>
      </c>
      <c r="K7" s="35">
        <f t="shared" si="1"/>
        <v>1440.7400000000002</v>
      </c>
      <c r="L7" s="35">
        <f t="shared" si="1"/>
        <v>1409.74</v>
      </c>
      <c r="M7" s="35">
        <f t="shared" si="1"/>
        <v>1560.44</v>
      </c>
      <c r="N7" s="35">
        <f>N85</f>
        <v>1448.3400000000001</v>
      </c>
      <c r="O7" s="35">
        <f t="shared" si="1"/>
        <v>1334.64</v>
      </c>
      <c r="P7" s="35">
        <f t="shared" si="1"/>
        <v>1345.94</v>
      </c>
      <c r="Q7" s="35">
        <f t="shared" si="1"/>
        <v>1323.14</v>
      </c>
      <c r="R7" s="35">
        <f t="shared" si="1"/>
        <v>1273.1400000000001</v>
      </c>
      <c r="S7" s="35">
        <f t="shared" si="1"/>
        <v>1298.8400000000001</v>
      </c>
      <c r="T7" s="35">
        <f t="shared" si="1"/>
        <v>1302.24</v>
      </c>
      <c r="U7" s="35">
        <f t="shared" si="1"/>
        <v>1339.54</v>
      </c>
      <c r="V7" s="35">
        <f t="shared" si="1"/>
        <v>1357.44</v>
      </c>
      <c r="W7" s="35">
        <f t="shared" si="1"/>
        <v>1370.34</v>
      </c>
      <c r="X7" s="35">
        <f t="shared" si="1"/>
        <v>1442.3400000000001</v>
      </c>
      <c r="Y7" s="35">
        <f t="shared" si="1"/>
        <v>1597.3000000000002</v>
      </c>
      <c r="Z7" s="35">
        <f t="shared" si="1"/>
        <v>1582.6399999999999</v>
      </c>
      <c r="AA7" s="35">
        <f t="shared" si="1"/>
        <v>1509.1399999999999</v>
      </c>
      <c r="AB7" s="35">
        <f t="shared" si="1"/>
        <v>1404.1399999999999</v>
      </c>
      <c r="AC7" s="35">
        <f t="shared" si="1"/>
        <v>1230.6399999999999</v>
      </c>
      <c r="AD7" s="35">
        <f t="shared" si="1"/>
        <v>1269.94</v>
      </c>
      <c r="AE7" s="35">
        <f t="shared" si="1"/>
        <v>1145.94</v>
      </c>
      <c r="AF7" s="35">
        <f t="shared" si="1"/>
        <v>1083.1399999999999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17.8</v>
      </c>
      <c r="C11" s="45">
        <v>17.899999999999999</v>
      </c>
      <c r="D11" s="45">
        <v>17.899999999999999</v>
      </c>
      <c r="E11" s="45">
        <v>17.899999999999999</v>
      </c>
      <c r="F11" s="45">
        <v>17.899999999999999</v>
      </c>
      <c r="G11" s="45">
        <v>17.899999999999999</v>
      </c>
      <c r="H11" s="45">
        <v>17.899999999999999</v>
      </c>
      <c r="I11" s="45">
        <v>17.899999999999999</v>
      </c>
      <c r="J11" s="45">
        <v>17.899999999999999</v>
      </c>
      <c r="K11" s="45">
        <v>15.8</v>
      </c>
      <c r="L11" s="45">
        <v>16</v>
      </c>
      <c r="M11" s="45">
        <v>16.8</v>
      </c>
      <c r="N11" s="45">
        <v>16.8</v>
      </c>
      <c r="O11" s="45">
        <v>16.8</v>
      </c>
      <c r="P11" s="45">
        <v>16.8</v>
      </c>
      <c r="Q11" s="45">
        <v>17.2</v>
      </c>
      <c r="R11" s="45">
        <v>17.2</v>
      </c>
      <c r="S11" s="45">
        <v>17.2</v>
      </c>
      <c r="T11" s="45">
        <v>17.2</v>
      </c>
      <c r="U11" s="45">
        <v>17.2</v>
      </c>
      <c r="V11" s="45">
        <v>17.2</v>
      </c>
      <c r="W11" s="45">
        <v>17.2</v>
      </c>
      <c r="X11" s="45">
        <v>17.2</v>
      </c>
      <c r="Y11" s="45">
        <v>17.2</v>
      </c>
      <c r="Z11" s="45">
        <v>17.2</v>
      </c>
      <c r="AA11" s="45">
        <v>17.2</v>
      </c>
      <c r="AB11" s="45">
        <v>17.2</v>
      </c>
      <c r="AC11" s="45">
        <v>17.2</v>
      </c>
      <c r="AD11" s="45">
        <v>17.2</v>
      </c>
      <c r="AE11" s="45">
        <v>17.2</v>
      </c>
      <c r="AF11" s="45">
        <v>17.2</v>
      </c>
      <c r="AG11" s="46">
        <v>52.4</v>
      </c>
      <c r="AH11" s="47">
        <f t="shared" ref="AH11:AH74" si="2">MAX(B11:AF11)</f>
        <v>17.899999999999999</v>
      </c>
      <c r="AI11" s="48">
        <f t="shared" ref="AI11:AI74" si="3">MIN(B11:AF11)</f>
        <v>15.8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31.2</v>
      </c>
      <c r="C12" s="45">
        <v>31</v>
      </c>
      <c r="D12" s="45">
        <v>31</v>
      </c>
      <c r="E12" s="45">
        <v>31</v>
      </c>
      <c r="F12" s="45">
        <v>31</v>
      </c>
      <c r="G12" s="45">
        <v>31</v>
      </c>
      <c r="H12" s="45">
        <v>31</v>
      </c>
      <c r="I12" s="45">
        <v>31</v>
      </c>
      <c r="J12" s="45">
        <v>31</v>
      </c>
      <c r="K12" s="45">
        <v>32.4</v>
      </c>
      <c r="L12" s="45">
        <v>32.4</v>
      </c>
      <c r="M12" s="45">
        <v>33</v>
      </c>
      <c r="N12" s="45">
        <v>33</v>
      </c>
      <c r="O12" s="45">
        <v>33</v>
      </c>
      <c r="P12" s="45">
        <v>33</v>
      </c>
      <c r="Q12" s="45">
        <v>32.5</v>
      </c>
      <c r="R12" s="45">
        <v>32.5</v>
      </c>
      <c r="S12" s="45">
        <v>32.5</v>
      </c>
      <c r="T12" s="45">
        <v>32.5</v>
      </c>
      <c r="U12" s="45">
        <v>32.5</v>
      </c>
      <c r="V12" s="45">
        <v>32.5</v>
      </c>
      <c r="W12" s="45">
        <v>32.5</v>
      </c>
      <c r="X12" s="45">
        <v>32.5</v>
      </c>
      <c r="Y12" s="45">
        <v>32.5</v>
      </c>
      <c r="Z12" s="45">
        <v>32.5</v>
      </c>
      <c r="AA12" s="45">
        <v>32.5</v>
      </c>
      <c r="AB12" s="45">
        <v>32.5</v>
      </c>
      <c r="AC12" s="45">
        <v>32.5</v>
      </c>
      <c r="AD12" s="45">
        <v>32.5</v>
      </c>
      <c r="AE12" s="45">
        <v>32.5</v>
      </c>
      <c r="AF12" s="45">
        <v>32.5</v>
      </c>
      <c r="AG12" s="50">
        <v>50</v>
      </c>
      <c r="AH12" s="47">
        <f t="shared" si="2"/>
        <v>33</v>
      </c>
      <c r="AI12" s="48">
        <f t="shared" si="3"/>
        <v>31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19.5</v>
      </c>
      <c r="C13" s="45">
        <v>19.5</v>
      </c>
      <c r="D13" s="45">
        <v>19.5</v>
      </c>
      <c r="E13" s="45">
        <v>19.5</v>
      </c>
      <c r="F13" s="45">
        <v>19.5</v>
      </c>
      <c r="G13" s="45">
        <v>19.5</v>
      </c>
      <c r="H13" s="45">
        <v>19.5</v>
      </c>
      <c r="I13" s="45">
        <v>19.5</v>
      </c>
      <c r="J13" s="45">
        <v>19.5</v>
      </c>
      <c r="K13" s="45">
        <v>19.100000000000001</v>
      </c>
      <c r="L13" s="45">
        <v>19.100000000000001</v>
      </c>
      <c r="M13" s="45">
        <v>19</v>
      </c>
      <c r="N13" s="45">
        <v>19</v>
      </c>
      <c r="O13" s="45">
        <v>19</v>
      </c>
      <c r="P13" s="45">
        <v>19</v>
      </c>
      <c r="Q13" s="45">
        <v>19.100000000000001</v>
      </c>
      <c r="R13" s="45">
        <v>19.100000000000001</v>
      </c>
      <c r="S13" s="45">
        <v>19.100000000000001</v>
      </c>
      <c r="T13" s="45">
        <v>19.100000000000001</v>
      </c>
      <c r="U13" s="45">
        <v>19.100000000000001</v>
      </c>
      <c r="V13" s="45">
        <v>19.100000000000001</v>
      </c>
      <c r="W13" s="45">
        <v>19.100000000000001</v>
      </c>
      <c r="X13" s="45">
        <v>19.100000000000001</v>
      </c>
      <c r="Y13" s="45">
        <v>19.100000000000001</v>
      </c>
      <c r="Z13" s="45">
        <v>19.100000000000001</v>
      </c>
      <c r="AA13" s="45">
        <v>19.100000000000001</v>
      </c>
      <c r="AB13" s="45">
        <v>19.100000000000001</v>
      </c>
      <c r="AC13" s="45">
        <v>19.100000000000001</v>
      </c>
      <c r="AD13" s="45">
        <v>19.100000000000001</v>
      </c>
      <c r="AE13" s="45">
        <v>19.100000000000001</v>
      </c>
      <c r="AF13" s="45">
        <v>19.100000000000001</v>
      </c>
      <c r="AG13" s="50">
        <v>45</v>
      </c>
      <c r="AH13" s="47">
        <f t="shared" si="2"/>
        <v>19.5</v>
      </c>
      <c r="AI13" s="48">
        <f t="shared" si="3"/>
        <v>19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0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50">
        <v>42</v>
      </c>
      <c r="AH14" s="47">
        <f t="shared" si="2"/>
        <v>0</v>
      </c>
      <c r="AI14" s="48">
        <f t="shared" si="3"/>
        <v>0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13</v>
      </c>
      <c r="C15" s="45">
        <v>13</v>
      </c>
      <c r="D15" s="45">
        <v>13</v>
      </c>
      <c r="E15" s="45">
        <v>13</v>
      </c>
      <c r="F15" s="45">
        <v>13</v>
      </c>
      <c r="G15" s="45">
        <v>13</v>
      </c>
      <c r="H15" s="45">
        <v>13</v>
      </c>
      <c r="I15" s="45">
        <v>13</v>
      </c>
      <c r="J15" s="45">
        <v>13</v>
      </c>
      <c r="K15" s="45">
        <v>13</v>
      </c>
      <c r="L15" s="45">
        <v>13</v>
      </c>
      <c r="M15" s="45">
        <v>13</v>
      </c>
      <c r="N15" s="45">
        <v>13</v>
      </c>
      <c r="O15" s="45">
        <v>13</v>
      </c>
      <c r="P15" s="45">
        <v>13</v>
      </c>
      <c r="Q15" s="45">
        <v>13</v>
      </c>
      <c r="R15" s="45">
        <v>13</v>
      </c>
      <c r="S15" s="45">
        <v>13</v>
      </c>
      <c r="T15" s="45">
        <v>13</v>
      </c>
      <c r="U15" s="45">
        <v>13</v>
      </c>
      <c r="V15" s="45">
        <v>13</v>
      </c>
      <c r="W15" s="45">
        <v>13</v>
      </c>
      <c r="X15" s="45">
        <v>13</v>
      </c>
      <c r="Y15" s="45">
        <v>13</v>
      </c>
      <c r="Z15" s="45">
        <v>13</v>
      </c>
      <c r="AA15" s="45">
        <v>13</v>
      </c>
      <c r="AB15" s="45">
        <v>13</v>
      </c>
      <c r="AC15" s="45">
        <v>13</v>
      </c>
      <c r="AD15" s="45">
        <v>13</v>
      </c>
      <c r="AE15" s="45">
        <v>13</v>
      </c>
      <c r="AF15" s="45">
        <v>13</v>
      </c>
      <c r="AG15" s="50">
        <v>36</v>
      </c>
      <c r="AH15" s="47">
        <f t="shared" si="2"/>
        <v>13</v>
      </c>
      <c r="AI15" s="48">
        <f t="shared" si="3"/>
        <v>13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8.4</v>
      </c>
      <c r="C16" s="45">
        <v>8.4</v>
      </c>
      <c r="D16" s="45">
        <v>8.4</v>
      </c>
      <c r="E16" s="45">
        <v>8.4</v>
      </c>
      <c r="F16" s="45">
        <v>8.4</v>
      </c>
      <c r="G16" s="45">
        <v>8.4</v>
      </c>
      <c r="H16" s="45">
        <v>8.4</v>
      </c>
      <c r="I16" s="45">
        <v>8.4</v>
      </c>
      <c r="J16" s="45">
        <v>8.4</v>
      </c>
      <c r="K16" s="45">
        <v>8.4</v>
      </c>
      <c r="L16" s="45">
        <v>8.4</v>
      </c>
      <c r="M16" s="45">
        <v>8.4</v>
      </c>
      <c r="N16" s="45">
        <v>8.4</v>
      </c>
      <c r="O16" s="45">
        <v>8.4</v>
      </c>
      <c r="P16" s="45">
        <v>8.4</v>
      </c>
      <c r="Q16" s="45">
        <v>8.4</v>
      </c>
      <c r="R16" s="45">
        <v>8.4</v>
      </c>
      <c r="S16" s="45">
        <v>8.4</v>
      </c>
      <c r="T16" s="45">
        <v>8.4</v>
      </c>
      <c r="U16" s="45">
        <v>8.4</v>
      </c>
      <c r="V16" s="45">
        <v>8.4</v>
      </c>
      <c r="W16" s="45">
        <v>8.4</v>
      </c>
      <c r="X16" s="45">
        <v>8.4</v>
      </c>
      <c r="Y16" s="45">
        <v>8.4</v>
      </c>
      <c r="Z16" s="45">
        <v>8.4</v>
      </c>
      <c r="AA16" s="45">
        <v>8.4</v>
      </c>
      <c r="AB16" s="45">
        <v>8.4</v>
      </c>
      <c r="AC16" s="45">
        <v>8.4</v>
      </c>
      <c r="AD16" s="45">
        <v>8.4</v>
      </c>
      <c r="AE16" s="45">
        <v>8.4</v>
      </c>
      <c r="AF16" s="45">
        <v>8.4</v>
      </c>
      <c r="AG16" s="51">
        <v>30</v>
      </c>
      <c r="AH16" s="47">
        <f t="shared" si="2"/>
        <v>8.4</v>
      </c>
      <c r="AI16" s="48">
        <f t="shared" si="3"/>
        <v>8.4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7.9</v>
      </c>
      <c r="C17" s="45">
        <v>7.9</v>
      </c>
      <c r="D17" s="45">
        <v>7.9</v>
      </c>
      <c r="E17" s="45">
        <v>7.9</v>
      </c>
      <c r="F17" s="45">
        <v>7.9</v>
      </c>
      <c r="G17" s="45">
        <v>7.9</v>
      </c>
      <c r="H17" s="45">
        <v>7.9</v>
      </c>
      <c r="I17" s="45">
        <v>7.9</v>
      </c>
      <c r="J17" s="45">
        <v>7.9</v>
      </c>
      <c r="K17" s="45">
        <v>7.9</v>
      </c>
      <c r="L17" s="45">
        <v>7.9</v>
      </c>
      <c r="M17" s="45">
        <v>7.9</v>
      </c>
      <c r="N17" s="45">
        <v>7.9</v>
      </c>
      <c r="O17" s="45">
        <v>7.9</v>
      </c>
      <c r="P17" s="45">
        <v>7.9</v>
      </c>
      <c r="Q17" s="45">
        <v>7.9</v>
      </c>
      <c r="R17" s="45">
        <v>7.9</v>
      </c>
      <c r="S17" s="45">
        <v>7.9</v>
      </c>
      <c r="T17" s="45">
        <v>7.9</v>
      </c>
      <c r="U17" s="45">
        <v>7.9</v>
      </c>
      <c r="V17" s="45">
        <v>7.9</v>
      </c>
      <c r="W17" s="45">
        <v>7.9</v>
      </c>
      <c r="X17" s="45">
        <v>7.9</v>
      </c>
      <c r="Y17" s="45">
        <v>7.9</v>
      </c>
      <c r="Z17" s="45">
        <v>7.9</v>
      </c>
      <c r="AA17" s="45">
        <v>7.9</v>
      </c>
      <c r="AB17" s="45">
        <v>7.9</v>
      </c>
      <c r="AC17" s="45">
        <v>7.9</v>
      </c>
      <c r="AD17" s="45">
        <v>7.9</v>
      </c>
      <c r="AE17" s="45">
        <v>7.9</v>
      </c>
      <c r="AF17" s="45">
        <v>7.9</v>
      </c>
      <c r="AG17" s="50">
        <v>24.2</v>
      </c>
      <c r="AH17" s="47">
        <f t="shared" si="2"/>
        <v>7.9</v>
      </c>
      <c r="AI17" s="48">
        <f t="shared" si="3"/>
        <v>7.9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50">
        <v>28</v>
      </c>
      <c r="AH18" s="47">
        <f t="shared" si="2"/>
        <v>8</v>
      </c>
      <c r="AI18" s="48">
        <f t="shared" si="3"/>
        <v>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9.4</v>
      </c>
      <c r="C20" s="45">
        <v>9.4</v>
      </c>
      <c r="D20" s="45">
        <v>9.4</v>
      </c>
      <c r="E20" s="45">
        <v>9.4</v>
      </c>
      <c r="F20" s="45">
        <v>9.4</v>
      </c>
      <c r="G20" s="45">
        <v>9.4</v>
      </c>
      <c r="H20" s="45">
        <v>9.4</v>
      </c>
      <c r="I20" s="45">
        <v>9.4</v>
      </c>
      <c r="J20" s="45">
        <v>9.4</v>
      </c>
      <c r="K20" s="45">
        <v>9.4</v>
      </c>
      <c r="L20" s="45">
        <v>9.4</v>
      </c>
      <c r="M20" s="45">
        <v>9.4</v>
      </c>
      <c r="N20" s="45">
        <v>9.4</v>
      </c>
      <c r="O20" s="45">
        <v>9.4</v>
      </c>
      <c r="P20" s="45">
        <v>9.4</v>
      </c>
      <c r="Q20" s="45">
        <v>9.4</v>
      </c>
      <c r="R20" s="45">
        <v>9.4</v>
      </c>
      <c r="S20" s="45">
        <v>9.4</v>
      </c>
      <c r="T20" s="45">
        <v>9.4</v>
      </c>
      <c r="U20" s="45">
        <v>9.4</v>
      </c>
      <c r="V20" s="45">
        <v>9.4</v>
      </c>
      <c r="W20" s="45">
        <v>9.4</v>
      </c>
      <c r="X20" s="45">
        <v>9.4</v>
      </c>
      <c r="Y20" s="45">
        <v>9.4</v>
      </c>
      <c r="Z20" s="45">
        <v>9.4</v>
      </c>
      <c r="AA20" s="45">
        <v>9.4</v>
      </c>
      <c r="AB20" s="45">
        <v>9.4</v>
      </c>
      <c r="AC20" s="45">
        <v>9.4</v>
      </c>
      <c r="AD20" s="45">
        <v>9.4</v>
      </c>
      <c r="AE20" s="45">
        <v>9.4</v>
      </c>
      <c r="AF20" s="45">
        <v>9.4</v>
      </c>
      <c r="AG20" s="50">
        <v>25</v>
      </c>
      <c r="AH20" s="47">
        <f t="shared" si="2"/>
        <v>9.4</v>
      </c>
      <c r="AI20" s="48">
        <f t="shared" si="3"/>
        <v>9.4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0">
        <v>25</v>
      </c>
      <c r="AH22" s="47">
        <f t="shared" si="2"/>
        <v>11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7.9</v>
      </c>
      <c r="C24" s="45">
        <v>7.9</v>
      </c>
      <c r="D24" s="45">
        <v>7.9</v>
      </c>
      <c r="E24" s="45">
        <v>7.9</v>
      </c>
      <c r="F24" s="45">
        <v>7.9</v>
      </c>
      <c r="G24" s="45">
        <v>7.9</v>
      </c>
      <c r="H24" s="45">
        <v>7.9</v>
      </c>
      <c r="I24" s="45">
        <v>7.9</v>
      </c>
      <c r="J24" s="45">
        <v>7.9</v>
      </c>
      <c r="K24" s="45">
        <v>7.9</v>
      </c>
      <c r="L24" s="45">
        <v>7.9</v>
      </c>
      <c r="M24" s="45">
        <v>7.9</v>
      </c>
      <c r="N24" s="45">
        <v>7.9</v>
      </c>
      <c r="O24" s="45">
        <v>7.9</v>
      </c>
      <c r="P24" s="45">
        <v>7.9</v>
      </c>
      <c r="Q24" s="45">
        <v>7.9</v>
      </c>
      <c r="R24" s="45">
        <v>7.9</v>
      </c>
      <c r="S24" s="45">
        <v>7.9</v>
      </c>
      <c r="T24" s="45">
        <v>7.9</v>
      </c>
      <c r="U24" s="45">
        <v>7.9</v>
      </c>
      <c r="V24" s="45">
        <v>7.9</v>
      </c>
      <c r="W24" s="45">
        <v>7.9</v>
      </c>
      <c r="X24" s="45">
        <v>7.9</v>
      </c>
      <c r="Y24" s="45">
        <v>7.9</v>
      </c>
      <c r="Z24" s="45">
        <v>7.9</v>
      </c>
      <c r="AA24" s="45">
        <v>7.9</v>
      </c>
      <c r="AB24" s="45">
        <v>7.9</v>
      </c>
      <c r="AC24" s="45">
        <v>7.9</v>
      </c>
      <c r="AD24" s="45">
        <v>7.9</v>
      </c>
      <c r="AE24" s="45">
        <v>7.9</v>
      </c>
      <c r="AF24" s="45">
        <v>7.9</v>
      </c>
      <c r="AG24" s="50">
        <v>23.5</v>
      </c>
      <c r="AH24" s="47">
        <f t="shared" si="2"/>
        <v>7.9</v>
      </c>
      <c r="AI24" s="48">
        <f t="shared" si="3"/>
        <v>7.9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8</v>
      </c>
      <c r="C28" s="45">
        <v>8</v>
      </c>
      <c r="D28" s="45">
        <v>8</v>
      </c>
      <c r="E28" s="45">
        <v>8</v>
      </c>
      <c r="F28" s="45">
        <v>8</v>
      </c>
      <c r="G28" s="45">
        <v>8</v>
      </c>
      <c r="H28" s="45">
        <v>8</v>
      </c>
      <c r="I28" s="45">
        <v>8</v>
      </c>
      <c r="J28" s="45">
        <v>8</v>
      </c>
      <c r="K28" s="45">
        <v>8</v>
      </c>
      <c r="L28" s="45">
        <v>8</v>
      </c>
      <c r="M28" s="45">
        <v>8</v>
      </c>
      <c r="N28" s="45">
        <v>8</v>
      </c>
      <c r="O28" s="45">
        <v>8</v>
      </c>
      <c r="P28" s="45">
        <v>8</v>
      </c>
      <c r="Q28" s="45">
        <v>8</v>
      </c>
      <c r="R28" s="45">
        <v>8</v>
      </c>
      <c r="S28" s="45">
        <v>8</v>
      </c>
      <c r="T28" s="45">
        <v>8</v>
      </c>
      <c r="U28" s="45">
        <v>8</v>
      </c>
      <c r="V28" s="45">
        <v>8</v>
      </c>
      <c r="W28" s="45">
        <v>8</v>
      </c>
      <c r="X28" s="45">
        <v>8</v>
      </c>
      <c r="Y28" s="45">
        <v>8</v>
      </c>
      <c r="Z28" s="45">
        <v>8</v>
      </c>
      <c r="AA28" s="45">
        <v>8</v>
      </c>
      <c r="AB28" s="45">
        <v>8</v>
      </c>
      <c r="AC28" s="45">
        <v>8</v>
      </c>
      <c r="AD28" s="45">
        <v>8</v>
      </c>
      <c r="AE28" s="45">
        <v>8</v>
      </c>
      <c r="AF28" s="45">
        <v>8</v>
      </c>
      <c r="AG28" s="50">
        <v>22</v>
      </c>
      <c r="AH28" s="47">
        <f t="shared" si="2"/>
        <v>8</v>
      </c>
      <c r="AI28" s="48">
        <f t="shared" si="3"/>
        <v>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>
        <v>10</v>
      </c>
      <c r="L35" s="45">
        <v>10</v>
      </c>
      <c r="M35" s="45">
        <v>10</v>
      </c>
      <c r="N35" s="45">
        <v>10</v>
      </c>
      <c r="O35" s="45">
        <v>10</v>
      </c>
      <c r="P35" s="45">
        <v>10</v>
      </c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45">
        <v>10</v>
      </c>
      <c r="Z35" s="45">
        <v>10</v>
      </c>
      <c r="AA35" s="45">
        <v>10</v>
      </c>
      <c r="AB35" s="45">
        <v>10</v>
      </c>
      <c r="AC35" s="45">
        <v>10</v>
      </c>
      <c r="AD35" s="45">
        <v>10</v>
      </c>
      <c r="AE35" s="45">
        <v>10</v>
      </c>
      <c r="AF35" s="45">
        <v>10</v>
      </c>
      <c r="AG35" s="50">
        <v>12</v>
      </c>
      <c r="AH35" s="47">
        <f t="shared" si="2"/>
        <v>10</v>
      </c>
      <c r="AI35" s="48">
        <f t="shared" si="3"/>
        <v>10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1</v>
      </c>
      <c r="O41" s="45">
        <v>1</v>
      </c>
      <c r="P41" s="45">
        <v>1</v>
      </c>
      <c r="Q41" s="45">
        <v>1</v>
      </c>
      <c r="R41" s="45">
        <v>1</v>
      </c>
      <c r="S41" s="45">
        <v>1</v>
      </c>
      <c r="T41" s="45">
        <v>1</v>
      </c>
      <c r="U41" s="45">
        <v>1</v>
      </c>
      <c r="V41" s="45">
        <v>1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1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100</v>
      </c>
      <c r="C42" s="56">
        <v>100</v>
      </c>
      <c r="D42" s="56">
        <v>100</v>
      </c>
      <c r="E42" s="56">
        <v>100</v>
      </c>
      <c r="F42" s="56">
        <v>100</v>
      </c>
      <c r="G42" s="56">
        <v>100</v>
      </c>
      <c r="H42" s="56">
        <v>100</v>
      </c>
      <c r="I42" s="56">
        <v>100</v>
      </c>
      <c r="J42" s="56">
        <v>100</v>
      </c>
      <c r="K42" s="56">
        <v>100</v>
      </c>
      <c r="L42" s="56">
        <v>100</v>
      </c>
      <c r="M42" s="56">
        <v>100</v>
      </c>
      <c r="N42" s="56">
        <v>100</v>
      </c>
      <c r="O42" s="56">
        <v>100</v>
      </c>
      <c r="P42" s="56">
        <v>100</v>
      </c>
      <c r="Q42" s="56">
        <v>100</v>
      </c>
      <c r="R42" s="56">
        <v>100</v>
      </c>
      <c r="S42" s="56">
        <v>100</v>
      </c>
      <c r="T42" s="56">
        <v>100</v>
      </c>
      <c r="U42" s="56">
        <v>100</v>
      </c>
      <c r="V42" s="56">
        <v>100</v>
      </c>
      <c r="W42" s="56">
        <v>100</v>
      </c>
      <c r="X42" s="56">
        <v>100</v>
      </c>
      <c r="Y42" s="56">
        <v>100</v>
      </c>
      <c r="Z42" s="56">
        <v>100</v>
      </c>
      <c r="AA42" s="56">
        <v>100</v>
      </c>
      <c r="AB42" s="56">
        <v>100</v>
      </c>
      <c r="AC42" s="56">
        <v>100</v>
      </c>
      <c r="AD42" s="56">
        <v>100</v>
      </c>
      <c r="AE42" s="56">
        <v>100</v>
      </c>
      <c r="AF42" s="56">
        <v>100</v>
      </c>
      <c r="AG42" s="54">
        <v>85</v>
      </c>
      <c r="AH42" s="47">
        <f t="shared" si="2"/>
        <v>100</v>
      </c>
      <c r="AI42" s="48">
        <f t="shared" si="3"/>
        <v>100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" si="4">SUM(B11:B42)</f>
        <v>369.8</v>
      </c>
      <c r="C44" s="60">
        <f t="shared" ref="C44:AG44" si="5">SUM(C11:C42)</f>
        <v>369.70000000000005</v>
      </c>
      <c r="D44" s="60">
        <f t="shared" si="5"/>
        <v>369.70000000000005</v>
      </c>
      <c r="E44" s="60">
        <f t="shared" si="5"/>
        <v>369.70000000000005</v>
      </c>
      <c r="F44" s="60">
        <f t="shared" si="5"/>
        <v>369.70000000000005</v>
      </c>
      <c r="G44" s="60">
        <f t="shared" si="5"/>
        <v>369.70000000000005</v>
      </c>
      <c r="H44" s="60">
        <f t="shared" si="5"/>
        <v>369.70000000000005</v>
      </c>
      <c r="I44" s="60">
        <f t="shared" si="5"/>
        <v>369.70000000000005</v>
      </c>
      <c r="J44" s="60">
        <f t="shared" si="5"/>
        <v>369.70000000000005</v>
      </c>
      <c r="K44" s="60">
        <f t="shared" si="5"/>
        <v>368.6</v>
      </c>
      <c r="L44" s="60">
        <f t="shared" si="5"/>
        <v>368.8</v>
      </c>
      <c r="M44" s="60">
        <f t="shared" si="5"/>
        <v>370.1</v>
      </c>
      <c r="N44" s="60">
        <f t="shared" si="5"/>
        <v>371.1</v>
      </c>
      <c r="O44" s="60">
        <f t="shared" si="5"/>
        <v>371.1</v>
      </c>
      <c r="P44" s="60">
        <f t="shared" si="5"/>
        <v>371.1</v>
      </c>
      <c r="Q44" s="60">
        <f t="shared" si="5"/>
        <v>371.1</v>
      </c>
      <c r="R44" s="60">
        <f t="shared" si="5"/>
        <v>371.1</v>
      </c>
      <c r="S44" s="60">
        <f t="shared" si="5"/>
        <v>371.1</v>
      </c>
      <c r="T44" s="60">
        <f t="shared" si="5"/>
        <v>371.1</v>
      </c>
      <c r="U44" s="60">
        <f t="shared" si="5"/>
        <v>371.1</v>
      </c>
      <c r="V44" s="60">
        <f t="shared" si="5"/>
        <v>371.1</v>
      </c>
      <c r="W44" s="60">
        <f t="shared" si="5"/>
        <v>370.1</v>
      </c>
      <c r="X44" s="60">
        <f t="shared" si="5"/>
        <v>370.1</v>
      </c>
      <c r="Y44" s="60">
        <f t="shared" si="5"/>
        <v>370.1</v>
      </c>
      <c r="Z44" s="60">
        <f t="shared" si="5"/>
        <v>370.1</v>
      </c>
      <c r="AA44" s="60">
        <f t="shared" si="5"/>
        <v>370.1</v>
      </c>
      <c r="AB44" s="60">
        <f t="shared" si="5"/>
        <v>370.1</v>
      </c>
      <c r="AC44" s="60">
        <f t="shared" si="5"/>
        <v>370.1</v>
      </c>
      <c r="AD44" s="60">
        <f t="shared" si="5"/>
        <v>370.1</v>
      </c>
      <c r="AE44" s="60">
        <f t="shared" si="5"/>
        <v>370.1</v>
      </c>
      <c r="AF44" s="60">
        <f t="shared" si="5"/>
        <v>370.1</v>
      </c>
      <c r="AG44" s="61">
        <f t="shared" si="5"/>
        <v>814.78000000000009</v>
      </c>
      <c r="AH44" s="47">
        <f t="shared" si="2"/>
        <v>371.1</v>
      </c>
      <c r="AI44" s="48">
        <f t="shared" si="3"/>
        <v>368.6</v>
      </c>
      <c r="AK44" s="49"/>
    </row>
    <row r="45" spans="1:88" x14ac:dyDescent="0.25">
      <c r="A45" s="62" t="s">
        <v>53</v>
      </c>
      <c r="B45" s="45">
        <v>60</v>
      </c>
      <c r="C45" s="45">
        <v>30</v>
      </c>
      <c r="D45" s="45">
        <v>25</v>
      </c>
      <c r="E45" s="45">
        <v>25</v>
      </c>
      <c r="F45" s="45">
        <v>45</v>
      </c>
      <c r="G45" s="45">
        <v>65</v>
      </c>
      <c r="H45" s="45">
        <v>30</v>
      </c>
      <c r="I45" s="45">
        <v>50</v>
      </c>
      <c r="J45" s="45">
        <v>80</v>
      </c>
      <c r="K45" s="45">
        <v>140</v>
      </c>
      <c r="L45" s="45">
        <v>170</v>
      </c>
      <c r="M45" s="63">
        <v>165</v>
      </c>
      <c r="N45" s="63">
        <v>130</v>
      </c>
      <c r="O45" s="45">
        <v>70</v>
      </c>
      <c r="P45" s="45">
        <v>130</v>
      </c>
      <c r="Q45" s="45">
        <v>100</v>
      </c>
      <c r="R45" s="45">
        <v>90</v>
      </c>
      <c r="S45" s="45">
        <v>99.6</v>
      </c>
      <c r="T45" s="45">
        <v>93</v>
      </c>
      <c r="U45" s="45">
        <v>110</v>
      </c>
      <c r="V45" s="45">
        <v>37</v>
      </c>
      <c r="W45" s="45">
        <v>60</v>
      </c>
      <c r="X45" s="45">
        <v>77</v>
      </c>
      <c r="Y45" s="45">
        <v>140</v>
      </c>
      <c r="Z45" s="45">
        <v>140</v>
      </c>
      <c r="AA45" s="45">
        <v>127</v>
      </c>
      <c r="AB45" s="45">
        <v>110</v>
      </c>
      <c r="AC45" s="45">
        <v>80</v>
      </c>
      <c r="AD45" s="45">
        <v>120</v>
      </c>
      <c r="AE45" s="45">
        <v>70</v>
      </c>
      <c r="AF45" s="45">
        <v>30</v>
      </c>
      <c r="AG45" s="51">
        <v>456</v>
      </c>
      <c r="AH45" s="47">
        <f t="shared" si="2"/>
        <v>170</v>
      </c>
      <c r="AI45" s="48">
        <f t="shared" si="3"/>
        <v>25</v>
      </c>
      <c r="AK45" s="49"/>
    </row>
    <row r="46" spans="1:88" x14ac:dyDescent="0.25">
      <c r="A46" s="64" t="s">
        <v>54</v>
      </c>
      <c r="B46" s="65">
        <v>30</v>
      </c>
      <c r="C46" s="65">
        <v>30</v>
      </c>
      <c r="D46" s="65">
        <v>30</v>
      </c>
      <c r="E46" s="65">
        <v>30</v>
      </c>
      <c r="F46" s="65">
        <v>30</v>
      </c>
      <c r="G46" s="65">
        <v>30</v>
      </c>
      <c r="H46" s="65">
        <v>30</v>
      </c>
      <c r="I46" s="65">
        <v>30</v>
      </c>
      <c r="J46" s="65">
        <v>30</v>
      </c>
      <c r="K46" s="65">
        <v>30</v>
      </c>
      <c r="L46" s="65">
        <v>30</v>
      </c>
      <c r="M46" s="65">
        <v>30</v>
      </c>
      <c r="N46" s="65">
        <v>30</v>
      </c>
      <c r="O46" s="65">
        <v>30</v>
      </c>
      <c r="P46" s="65">
        <v>30</v>
      </c>
      <c r="Q46" s="65">
        <v>30</v>
      </c>
      <c r="R46" s="65">
        <v>30</v>
      </c>
      <c r="S46" s="65">
        <v>28</v>
      </c>
      <c r="T46" s="65">
        <v>28</v>
      </c>
      <c r="U46" s="65">
        <v>28</v>
      </c>
      <c r="V46" s="65">
        <v>28</v>
      </c>
      <c r="W46" s="65">
        <v>28</v>
      </c>
      <c r="X46" s="65">
        <v>28</v>
      </c>
      <c r="Y46" s="65">
        <v>28</v>
      </c>
      <c r="Z46" s="65">
        <v>28</v>
      </c>
      <c r="AA46" s="65">
        <v>28</v>
      </c>
      <c r="AB46" s="65">
        <v>28</v>
      </c>
      <c r="AC46" s="65">
        <v>28</v>
      </c>
      <c r="AD46" s="65">
        <v>28</v>
      </c>
      <c r="AE46" s="65">
        <v>28</v>
      </c>
      <c r="AF46" s="65">
        <v>28</v>
      </c>
      <c r="AG46" s="54">
        <v>60</v>
      </c>
      <c r="AH46" s="47">
        <f t="shared" si="2"/>
        <v>30</v>
      </c>
      <c r="AI46" s="48">
        <f t="shared" si="3"/>
        <v>28</v>
      </c>
      <c r="AK46" s="49"/>
    </row>
    <row r="47" spans="1:88" ht="15.75" thickBot="1" x14ac:dyDescent="0.3">
      <c r="A47" s="66" t="s">
        <v>55</v>
      </c>
      <c r="B47" s="67">
        <v>10.199999999999999</v>
      </c>
      <c r="C47" s="67">
        <v>10.199999999999999</v>
      </c>
      <c r="D47" s="67">
        <v>10.199999999999999</v>
      </c>
      <c r="E47" s="67">
        <v>10.199999999999999</v>
      </c>
      <c r="F47" s="67">
        <v>10.199999999999999</v>
      </c>
      <c r="G47" s="67">
        <v>10.199999999999999</v>
      </c>
      <c r="H47" s="67">
        <v>10.199999999999999</v>
      </c>
      <c r="I47" s="67">
        <v>10.199999999999999</v>
      </c>
      <c r="J47" s="67">
        <v>10.199999999999999</v>
      </c>
      <c r="K47" s="67">
        <v>10.3</v>
      </c>
      <c r="L47" s="67">
        <v>10.4</v>
      </c>
      <c r="M47" s="67">
        <v>10.4</v>
      </c>
      <c r="N47" s="67">
        <v>10.6</v>
      </c>
      <c r="O47" s="67">
        <v>10.5</v>
      </c>
      <c r="P47" s="67">
        <v>10.5</v>
      </c>
      <c r="Q47" s="67">
        <v>10.6</v>
      </c>
      <c r="R47" s="67">
        <v>10.6</v>
      </c>
      <c r="S47" s="67">
        <v>10.6</v>
      </c>
      <c r="T47" s="67">
        <v>10.6</v>
      </c>
      <c r="U47" s="67">
        <v>10.6</v>
      </c>
      <c r="V47" s="67">
        <v>10.6</v>
      </c>
      <c r="W47" s="67">
        <v>10.6</v>
      </c>
      <c r="X47" s="67">
        <v>10.6</v>
      </c>
      <c r="Y47" s="67">
        <v>10.6</v>
      </c>
      <c r="Z47" s="67">
        <v>17.100000000000001</v>
      </c>
      <c r="AA47" s="67">
        <v>17.100000000000001</v>
      </c>
      <c r="AB47" s="67">
        <v>17.100000000000001</v>
      </c>
      <c r="AC47" s="67">
        <v>17.100000000000001</v>
      </c>
      <c r="AD47" s="67">
        <v>9.9</v>
      </c>
      <c r="AE47" s="67">
        <v>10.199999999999999</v>
      </c>
      <c r="AF47" s="67">
        <v>10.199999999999999</v>
      </c>
      <c r="AG47" s="68">
        <v>22.1</v>
      </c>
      <c r="AH47" s="47">
        <f t="shared" si="2"/>
        <v>17.100000000000001</v>
      </c>
      <c r="AI47" s="48">
        <f t="shared" si="3"/>
        <v>9.9</v>
      </c>
      <c r="AK47" s="49"/>
    </row>
    <row r="48" spans="1:88" ht="15.75" thickBot="1" x14ac:dyDescent="0.3">
      <c r="A48" s="69" t="s">
        <v>56</v>
      </c>
      <c r="B48" s="60">
        <f t="shared" ref="B48" si="6">SUM(B45:B47)</f>
        <v>100.2</v>
      </c>
      <c r="C48" s="60">
        <f t="shared" ref="C48:AG48" si="7">SUM(C45:C47)</f>
        <v>70.2</v>
      </c>
      <c r="D48" s="60">
        <f t="shared" si="7"/>
        <v>65.2</v>
      </c>
      <c r="E48" s="60">
        <f t="shared" si="7"/>
        <v>65.2</v>
      </c>
      <c r="F48" s="60">
        <f t="shared" si="7"/>
        <v>85.2</v>
      </c>
      <c r="G48" s="60">
        <f t="shared" si="7"/>
        <v>105.2</v>
      </c>
      <c r="H48" s="60">
        <f t="shared" si="7"/>
        <v>70.2</v>
      </c>
      <c r="I48" s="60">
        <f t="shared" si="7"/>
        <v>90.2</v>
      </c>
      <c r="J48" s="60">
        <f t="shared" si="7"/>
        <v>120.2</v>
      </c>
      <c r="K48" s="60">
        <f t="shared" si="7"/>
        <v>180.3</v>
      </c>
      <c r="L48" s="60">
        <v>4</v>
      </c>
      <c r="M48" s="60">
        <f t="shared" si="7"/>
        <v>205.4</v>
      </c>
      <c r="N48" s="60">
        <f t="shared" si="7"/>
        <v>170.6</v>
      </c>
      <c r="O48" s="60">
        <f t="shared" si="7"/>
        <v>110.5</v>
      </c>
      <c r="P48" s="60">
        <f t="shared" si="7"/>
        <v>170.5</v>
      </c>
      <c r="Q48" s="60">
        <f t="shared" si="7"/>
        <v>140.6</v>
      </c>
      <c r="R48" s="60">
        <f t="shared" si="7"/>
        <v>130.6</v>
      </c>
      <c r="S48" s="60">
        <f t="shared" si="7"/>
        <v>138.19999999999999</v>
      </c>
      <c r="T48" s="60">
        <f t="shared" si="7"/>
        <v>131.6</v>
      </c>
      <c r="U48" s="60">
        <f t="shared" si="7"/>
        <v>148.6</v>
      </c>
      <c r="V48" s="60">
        <f t="shared" si="7"/>
        <v>75.599999999999994</v>
      </c>
      <c r="W48" s="60">
        <f t="shared" si="7"/>
        <v>98.6</v>
      </c>
      <c r="X48" s="60">
        <f t="shared" si="7"/>
        <v>115.6</v>
      </c>
      <c r="Y48" s="60">
        <f t="shared" si="7"/>
        <v>178.6</v>
      </c>
      <c r="Z48" s="60">
        <f t="shared" si="7"/>
        <v>185.1</v>
      </c>
      <c r="AA48" s="60">
        <f t="shared" si="7"/>
        <v>172.1</v>
      </c>
      <c r="AB48" s="60">
        <f t="shared" si="7"/>
        <v>155.1</v>
      </c>
      <c r="AC48" s="60">
        <f t="shared" si="7"/>
        <v>125.1</v>
      </c>
      <c r="AD48" s="60">
        <f t="shared" si="7"/>
        <v>157.9</v>
      </c>
      <c r="AE48" s="60">
        <f t="shared" si="7"/>
        <v>108.2</v>
      </c>
      <c r="AF48" s="60">
        <f t="shared" si="7"/>
        <v>68.2</v>
      </c>
      <c r="AG48" s="61">
        <f t="shared" si="7"/>
        <v>538.1</v>
      </c>
      <c r="AH48" s="47">
        <f t="shared" si="2"/>
        <v>205.4</v>
      </c>
      <c r="AI48" s="48">
        <f t="shared" si="3"/>
        <v>4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22.6</v>
      </c>
      <c r="I49" s="45">
        <v>40.299999999999997</v>
      </c>
      <c r="J49" s="45">
        <v>73.2</v>
      </c>
      <c r="K49" s="45">
        <v>91.6</v>
      </c>
      <c r="L49" s="45">
        <v>93</v>
      </c>
      <c r="M49" s="45">
        <v>81.2</v>
      </c>
      <c r="N49" s="45">
        <v>81.2</v>
      </c>
      <c r="O49" s="45">
        <v>73.3</v>
      </c>
      <c r="P49" s="45">
        <v>93.3</v>
      </c>
      <c r="Q49" s="45">
        <v>93.4</v>
      </c>
      <c r="R49" s="45">
        <v>93.2</v>
      </c>
      <c r="S49" s="45">
        <v>93.3</v>
      </c>
      <c r="T49" s="45">
        <v>72.5</v>
      </c>
      <c r="U49" s="45">
        <v>75</v>
      </c>
      <c r="V49" s="45">
        <v>65.599999999999994</v>
      </c>
      <c r="W49" s="45">
        <v>66</v>
      </c>
      <c r="X49" s="45">
        <v>66</v>
      </c>
      <c r="Y49" s="45">
        <v>127</v>
      </c>
      <c r="Z49" s="45">
        <v>124</v>
      </c>
      <c r="AA49" s="45">
        <v>90</v>
      </c>
      <c r="AB49" s="45">
        <v>66.8</v>
      </c>
      <c r="AC49" s="45">
        <v>66.3</v>
      </c>
      <c r="AD49" s="45">
        <v>71.599999999999994</v>
      </c>
      <c r="AE49" s="45">
        <v>53.1</v>
      </c>
      <c r="AF49" s="45">
        <v>52.4</v>
      </c>
      <c r="AG49" s="51">
        <v>144</v>
      </c>
      <c r="AH49" s="47">
        <f t="shared" si="2"/>
        <v>127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22</v>
      </c>
      <c r="J50" s="65">
        <v>26</v>
      </c>
      <c r="K50" s="65">
        <v>50</v>
      </c>
      <c r="L50" s="65">
        <v>60</v>
      </c>
      <c r="M50" s="65">
        <v>54.6</v>
      </c>
      <c r="N50" s="65">
        <v>49.4</v>
      </c>
      <c r="O50" s="65">
        <v>45.1</v>
      </c>
      <c r="P50" s="65">
        <v>55</v>
      </c>
      <c r="Q50" s="65">
        <v>50.4</v>
      </c>
      <c r="R50" s="65">
        <v>44.5</v>
      </c>
      <c r="S50" s="45">
        <v>32.4</v>
      </c>
      <c r="T50" s="45">
        <v>22.4</v>
      </c>
      <c r="U50" s="45">
        <v>23</v>
      </c>
      <c r="V50" s="45">
        <v>23.7</v>
      </c>
      <c r="W50" s="45">
        <v>22.2</v>
      </c>
      <c r="X50" s="45">
        <v>22.2</v>
      </c>
      <c r="Y50" s="45">
        <v>44</v>
      </c>
      <c r="Z50" s="45">
        <v>45.3</v>
      </c>
      <c r="AA50" s="45">
        <v>46</v>
      </c>
      <c r="AB50" s="65">
        <v>46</v>
      </c>
      <c r="AC50" s="65">
        <v>45.5</v>
      </c>
      <c r="AD50" s="65">
        <v>35.5</v>
      </c>
      <c r="AE50" s="65">
        <v>20.6</v>
      </c>
      <c r="AF50" s="65">
        <v>0</v>
      </c>
      <c r="AG50" s="54">
        <v>70</v>
      </c>
      <c r="AH50" s="47">
        <f t="shared" si="2"/>
        <v>60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0</v>
      </c>
      <c r="C51" s="65">
        <v>0</v>
      </c>
      <c r="D51" s="65">
        <v>0</v>
      </c>
      <c r="E51" s="65">
        <v>0</v>
      </c>
      <c r="F51" s="65">
        <v>0</v>
      </c>
      <c r="G51" s="65">
        <v>23.2</v>
      </c>
      <c r="H51" s="65">
        <v>40</v>
      </c>
      <c r="I51" s="65">
        <v>32.700000000000003</v>
      </c>
      <c r="J51" s="65">
        <v>60.7</v>
      </c>
      <c r="K51" s="65">
        <v>69.900000000000006</v>
      </c>
      <c r="L51" s="65">
        <v>70</v>
      </c>
      <c r="M51" s="65">
        <v>70.2</v>
      </c>
      <c r="N51" s="65">
        <v>55.4</v>
      </c>
      <c r="O51" s="65">
        <v>50.2</v>
      </c>
      <c r="P51" s="65">
        <v>50</v>
      </c>
      <c r="Q51" s="65">
        <v>50.1</v>
      </c>
      <c r="R51" s="65">
        <v>33.299999999999997</v>
      </c>
      <c r="S51" s="45">
        <v>46.6</v>
      </c>
      <c r="T51" s="45">
        <v>15.6</v>
      </c>
      <c r="U51" s="45">
        <v>23</v>
      </c>
      <c r="V51" s="45">
        <v>0</v>
      </c>
      <c r="W51" s="45">
        <v>0</v>
      </c>
      <c r="X51" s="45">
        <v>0</v>
      </c>
      <c r="Y51" s="45">
        <v>50.2</v>
      </c>
      <c r="Z51" s="45">
        <v>50.3</v>
      </c>
      <c r="AA51" s="45">
        <v>47</v>
      </c>
      <c r="AB51" s="65">
        <v>47.6</v>
      </c>
      <c r="AC51" s="65">
        <v>68.599999999999994</v>
      </c>
      <c r="AD51" s="65">
        <v>68.5</v>
      </c>
      <c r="AE51" s="65">
        <v>36.6</v>
      </c>
      <c r="AF51" s="65">
        <v>33.5</v>
      </c>
      <c r="AG51" s="54">
        <v>69</v>
      </c>
      <c r="AH51" s="47">
        <f t="shared" si="2"/>
        <v>70.2</v>
      </c>
      <c r="AI51" s="48">
        <f t="shared" si="3"/>
        <v>0</v>
      </c>
      <c r="AK51" s="49"/>
    </row>
    <row r="52" spans="1:41" x14ac:dyDescent="0.25">
      <c r="A52" s="53" t="s">
        <v>60</v>
      </c>
      <c r="B52" s="56">
        <v>48.1</v>
      </c>
      <c r="C52" s="56">
        <v>44.1</v>
      </c>
      <c r="D52" s="56">
        <v>44.3</v>
      </c>
      <c r="E52" s="56">
        <v>44.3</v>
      </c>
      <c r="F52" s="56">
        <v>44.3</v>
      </c>
      <c r="G52" s="56">
        <v>46.9</v>
      </c>
      <c r="H52" s="56">
        <v>46.1</v>
      </c>
      <c r="I52" s="56">
        <v>46.1</v>
      </c>
      <c r="J52" s="56">
        <v>44.1</v>
      </c>
      <c r="K52" s="56">
        <v>43.8</v>
      </c>
      <c r="L52" s="56">
        <v>43.8</v>
      </c>
      <c r="M52" s="65">
        <v>46.4</v>
      </c>
      <c r="N52" s="65">
        <v>46.4</v>
      </c>
      <c r="O52" s="65">
        <v>46.4</v>
      </c>
      <c r="P52" s="65">
        <v>46.4</v>
      </c>
      <c r="Q52" s="65">
        <v>44.3</v>
      </c>
      <c r="R52" s="65">
        <v>45.3</v>
      </c>
      <c r="S52" s="45">
        <v>45.3</v>
      </c>
      <c r="T52" s="45">
        <v>45.3</v>
      </c>
      <c r="U52" s="45">
        <v>45</v>
      </c>
      <c r="V52" s="45">
        <v>42.3</v>
      </c>
      <c r="W52" s="45">
        <v>42.3</v>
      </c>
      <c r="X52" s="45">
        <v>42.3</v>
      </c>
      <c r="Y52" s="65">
        <v>42.3</v>
      </c>
      <c r="Z52" s="65">
        <v>42.3</v>
      </c>
      <c r="AA52" s="65">
        <v>42.3</v>
      </c>
      <c r="AB52" s="65">
        <v>42.3</v>
      </c>
      <c r="AC52" s="65">
        <v>44.3</v>
      </c>
      <c r="AD52" s="65">
        <v>44.3</v>
      </c>
      <c r="AE52" s="65">
        <v>46.4</v>
      </c>
      <c r="AF52" s="65">
        <v>46.4</v>
      </c>
      <c r="AG52" s="54">
        <v>60</v>
      </c>
      <c r="AH52" s="47">
        <f t="shared" si="2"/>
        <v>48.1</v>
      </c>
      <c r="AI52" s="48">
        <f t="shared" si="3"/>
        <v>42.3</v>
      </c>
      <c r="AK52" s="49"/>
    </row>
    <row r="53" spans="1:41" x14ac:dyDescent="0.25">
      <c r="A53" s="53" t="s">
        <v>61</v>
      </c>
      <c r="B53" s="56">
        <v>0</v>
      </c>
      <c r="C53" s="56">
        <v>0</v>
      </c>
      <c r="D53" s="56">
        <v>0</v>
      </c>
      <c r="E53" s="56">
        <v>0</v>
      </c>
      <c r="F53" s="56">
        <v>0</v>
      </c>
      <c r="G53" s="56">
        <v>9.6999999999999993</v>
      </c>
      <c r="H53" s="56">
        <v>15</v>
      </c>
      <c r="I53" s="56">
        <v>15</v>
      </c>
      <c r="J53" s="56">
        <v>13</v>
      </c>
      <c r="K53" s="56">
        <v>15</v>
      </c>
      <c r="L53" s="56">
        <v>30</v>
      </c>
      <c r="M53" s="65">
        <v>29.5</v>
      </c>
      <c r="N53" s="65">
        <v>15</v>
      </c>
      <c r="O53" s="65">
        <v>15</v>
      </c>
      <c r="P53" s="65">
        <v>13</v>
      </c>
      <c r="Q53" s="65">
        <v>13.4</v>
      </c>
      <c r="R53" s="65">
        <v>12.9</v>
      </c>
      <c r="S53" s="65">
        <v>0</v>
      </c>
      <c r="T53" s="65">
        <v>0</v>
      </c>
      <c r="U53" s="45">
        <v>0</v>
      </c>
      <c r="V53" s="45">
        <v>0</v>
      </c>
      <c r="W53" s="45">
        <v>0</v>
      </c>
      <c r="X53" s="45">
        <v>0</v>
      </c>
      <c r="Y53" s="65">
        <v>20</v>
      </c>
      <c r="Z53" s="65">
        <v>20</v>
      </c>
      <c r="AA53" s="65">
        <v>20</v>
      </c>
      <c r="AB53" s="65">
        <v>25</v>
      </c>
      <c r="AC53" s="65">
        <v>25</v>
      </c>
      <c r="AD53" s="65">
        <v>25</v>
      </c>
      <c r="AE53" s="65">
        <v>15</v>
      </c>
      <c r="AF53" s="65">
        <v>12</v>
      </c>
      <c r="AG53" s="54">
        <v>30</v>
      </c>
      <c r="AH53" s="47">
        <f t="shared" si="2"/>
        <v>30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65">
        <v>2</v>
      </c>
      <c r="N54" s="65">
        <v>3</v>
      </c>
      <c r="O54" s="65">
        <v>4</v>
      </c>
      <c r="P54" s="65">
        <v>8</v>
      </c>
      <c r="Q54" s="65">
        <v>12</v>
      </c>
      <c r="R54" s="65">
        <v>12</v>
      </c>
      <c r="S54" s="65">
        <v>12</v>
      </c>
      <c r="T54" s="65">
        <v>12</v>
      </c>
      <c r="U54" s="45">
        <v>12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65">
        <v>0</v>
      </c>
      <c r="AF54" s="65">
        <v>0</v>
      </c>
      <c r="AG54" s="54">
        <v>25</v>
      </c>
      <c r="AH54" s="47">
        <f t="shared" si="2"/>
        <v>12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16</v>
      </c>
      <c r="C55" s="65">
        <v>16</v>
      </c>
      <c r="D55" s="65">
        <v>16</v>
      </c>
      <c r="E55" s="65">
        <v>16</v>
      </c>
      <c r="F55" s="65">
        <v>16</v>
      </c>
      <c r="G55" s="65">
        <v>16</v>
      </c>
      <c r="H55" s="65">
        <v>16</v>
      </c>
      <c r="I55" s="65">
        <v>16</v>
      </c>
      <c r="J55" s="65">
        <v>16</v>
      </c>
      <c r="K55" s="65">
        <v>16</v>
      </c>
      <c r="L55" s="65">
        <v>16</v>
      </c>
      <c r="M55" s="65">
        <v>16</v>
      </c>
      <c r="N55" s="65">
        <v>16</v>
      </c>
      <c r="O55" s="65">
        <v>16</v>
      </c>
      <c r="P55" s="65">
        <v>16</v>
      </c>
      <c r="Q55" s="65">
        <v>16</v>
      </c>
      <c r="R55" s="65">
        <v>16</v>
      </c>
      <c r="S55" s="65">
        <v>16</v>
      </c>
      <c r="T55" s="65">
        <v>16</v>
      </c>
      <c r="U55" s="65">
        <v>16</v>
      </c>
      <c r="V55" s="65">
        <v>16</v>
      </c>
      <c r="W55" s="65">
        <v>16</v>
      </c>
      <c r="X55" s="65">
        <v>16</v>
      </c>
      <c r="Y55" s="65">
        <v>16</v>
      </c>
      <c r="Z55" s="65">
        <v>16</v>
      </c>
      <c r="AA55" s="65">
        <v>16</v>
      </c>
      <c r="AB55" s="65">
        <v>16</v>
      </c>
      <c r="AC55" s="65">
        <v>16</v>
      </c>
      <c r="AD55" s="65">
        <v>16</v>
      </c>
      <c r="AE55" s="65">
        <v>16</v>
      </c>
      <c r="AF55" s="65">
        <v>16</v>
      </c>
      <c r="AG55" s="54">
        <v>24</v>
      </c>
      <c r="AH55" s="47">
        <f t="shared" si="2"/>
        <v>16</v>
      </c>
      <c r="AI55" s="48">
        <f t="shared" si="3"/>
        <v>16</v>
      </c>
      <c r="AK55" s="49"/>
    </row>
    <row r="56" spans="1:41" x14ac:dyDescent="0.25">
      <c r="A56" s="53" t="s">
        <v>64</v>
      </c>
      <c r="B56" s="65">
        <v>3.3</v>
      </c>
      <c r="C56" s="65">
        <v>3.3</v>
      </c>
      <c r="D56" s="65">
        <v>3.3</v>
      </c>
      <c r="E56" s="65">
        <v>3.3</v>
      </c>
      <c r="F56" s="65">
        <v>3.3</v>
      </c>
      <c r="G56" s="65">
        <v>3.3</v>
      </c>
      <c r="H56" s="65">
        <v>3.3</v>
      </c>
      <c r="I56" s="65">
        <v>3.3</v>
      </c>
      <c r="J56" s="65">
        <v>3.3</v>
      </c>
      <c r="K56" s="65">
        <v>3.3</v>
      </c>
      <c r="L56" s="65">
        <v>3.3</v>
      </c>
      <c r="M56" s="65">
        <v>3.3</v>
      </c>
      <c r="N56" s="65">
        <v>3.3</v>
      </c>
      <c r="O56" s="65">
        <v>3.3</v>
      </c>
      <c r="P56" s="65">
        <v>3.3</v>
      </c>
      <c r="Q56" s="65">
        <v>3.3</v>
      </c>
      <c r="R56" s="65">
        <v>3.3</v>
      </c>
      <c r="S56" s="65">
        <v>3.3</v>
      </c>
      <c r="T56" s="65">
        <v>3.3</v>
      </c>
      <c r="U56" s="65">
        <v>3.3</v>
      </c>
      <c r="V56" s="65">
        <v>3.3</v>
      </c>
      <c r="W56" s="65">
        <v>3.3</v>
      </c>
      <c r="X56" s="65">
        <v>3.3</v>
      </c>
      <c r="Y56" s="65">
        <v>3.3</v>
      </c>
      <c r="Z56" s="65">
        <v>3.3</v>
      </c>
      <c r="AA56" s="65">
        <v>3.3</v>
      </c>
      <c r="AB56" s="65">
        <v>3.3</v>
      </c>
      <c r="AC56" s="65">
        <v>3.3</v>
      </c>
      <c r="AD56" s="65">
        <v>3.3</v>
      </c>
      <c r="AE56" s="65">
        <v>3.3</v>
      </c>
      <c r="AF56" s="65">
        <v>3.3</v>
      </c>
      <c r="AG56" s="54">
        <v>15</v>
      </c>
      <c r="AH56" s="47">
        <f t="shared" si="2"/>
        <v>3.3</v>
      </c>
      <c r="AI56" s="48">
        <f t="shared" si="3"/>
        <v>3.3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10.6</v>
      </c>
      <c r="C57" s="65">
        <v>10.6</v>
      </c>
      <c r="D57" s="65">
        <v>10.6</v>
      </c>
      <c r="E57" s="65">
        <v>10.6</v>
      </c>
      <c r="F57" s="65">
        <v>10.6</v>
      </c>
      <c r="G57" s="65">
        <v>10.6</v>
      </c>
      <c r="H57" s="65">
        <v>10.6</v>
      </c>
      <c r="I57" s="65">
        <v>10.6</v>
      </c>
      <c r="J57" s="65">
        <v>10.6</v>
      </c>
      <c r="K57" s="65">
        <v>10.6</v>
      </c>
      <c r="L57" s="65">
        <v>10.6</v>
      </c>
      <c r="M57" s="65">
        <v>10.6</v>
      </c>
      <c r="N57" s="65">
        <v>10.6</v>
      </c>
      <c r="O57" s="65">
        <v>10.6</v>
      </c>
      <c r="P57" s="65">
        <v>10.6</v>
      </c>
      <c r="Q57" s="65">
        <v>10.9</v>
      </c>
      <c r="R57" s="65">
        <v>10.9</v>
      </c>
      <c r="S57" s="65">
        <v>10.9</v>
      </c>
      <c r="T57" s="65">
        <v>10.9</v>
      </c>
      <c r="U57" s="65">
        <v>10.9</v>
      </c>
      <c r="V57" s="65">
        <v>10.9</v>
      </c>
      <c r="W57" s="65">
        <v>10.9</v>
      </c>
      <c r="X57" s="65">
        <v>10.9</v>
      </c>
      <c r="Y57" s="65">
        <v>10.9</v>
      </c>
      <c r="Z57" s="65">
        <v>10.9</v>
      </c>
      <c r="AA57" s="65">
        <v>10.9</v>
      </c>
      <c r="AB57" s="65">
        <v>10.9</v>
      </c>
      <c r="AC57" s="65">
        <v>10.9</v>
      </c>
      <c r="AD57" s="65">
        <v>10.9</v>
      </c>
      <c r="AE57" s="65">
        <v>10.6</v>
      </c>
      <c r="AF57" s="65">
        <v>10.6</v>
      </c>
      <c r="AG57" s="54">
        <v>14.1</v>
      </c>
      <c r="AH57" s="47">
        <f t="shared" si="2"/>
        <v>10.9</v>
      </c>
      <c r="AI57" s="48">
        <f t="shared" si="3"/>
        <v>10.6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3</v>
      </c>
      <c r="C58" s="65">
        <v>3</v>
      </c>
      <c r="D58" s="65">
        <v>3</v>
      </c>
      <c r="E58" s="65">
        <v>3</v>
      </c>
      <c r="F58" s="65">
        <v>3</v>
      </c>
      <c r="G58" s="65">
        <v>3</v>
      </c>
      <c r="H58" s="65">
        <v>3</v>
      </c>
      <c r="I58" s="65">
        <v>3</v>
      </c>
      <c r="J58" s="65">
        <v>3</v>
      </c>
      <c r="K58" s="65">
        <v>3</v>
      </c>
      <c r="L58" s="65">
        <v>3</v>
      </c>
      <c r="M58" s="65">
        <v>3</v>
      </c>
      <c r="N58" s="65">
        <v>3</v>
      </c>
      <c r="O58" s="65">
        <v>3</v>
      </c>
      <c r="P58" s="65">
        <v>3</v>
      </c>
      <c r="Q58" s="65">
        <v>4.7</v>
      </c>
      <c r="R58" s="65">
        <v>4.7</v>
      </c>
      <c r="S58" s="65">
        <v>4.7</v>
      </c>
      <c r="T58" s="65">
        <v>4.7</v>
      </c>
      <c r="U58" s="65">
        <v>4.7</v>
      </c>
      <c r="V58" s="65">
        <v>4.7</v>
      </c>
      <c r="W58" s="65">
        <v>4.7</v>
      </c>
      <c r="X58" s="65">
        <v>4.7</v>
      </c>
      <c r="Y58" s="65">
        <v>4.7</v>
      </c>
      <c r="Z58" s="65">
        <v>4.7</v>
      </c>
      <c r="AA58" s="65">
        <v>4.7</v>
      </c>
      <c r="AB58" s="65">
        <v>4.7</v>
      </c>
      <c r="AC58" s="65">
        <v>4.7</v>
      </c>
      <c r="AD58" s="65">
        <v>4.7</v>
      </c>
      <c r="AE58" s="65">
        <v>4.7</v>
      </c>
      <c r="AF58" s="65">
        <v>4.7</v>
      </c>
      <c r="AG58" s="54">
        <v>14</v>
      </c>
      <c r="AH58" s="47">
        <f t="shared" si="2"/>
        <v>4.7</v>
      </c>
      <c r="AI58" s="48">
        <f t="shared" si="3"/>
        <v>3</v>
      </c>
      <c r="AK58" s="49"/>
    </row>
    <row r="59" spans="1:41" x14ac:dyDescent="0.25">
      <c r="A59" s="53" t="s">
        <v>67</v>
      </c>
      <c r="B59" s="65">
        <v>5.3</v>
      </c>
      <c r="C59" s="65">
        <v>5.3</v>
      </c>
      <c r="D59" s="65">
        <v>5.3</v>
      </c>
      <c r="E59" s="65">
        <v>5.3</v>
      </c>
      <c r="F59" s="65">
        <v>5.3</v>
      </c>
      <c r="G59" s="65">
        <v>5.3</v>
      </c>
      <c r="H59" s="65">
        <v>5.3</v>
      </c>
      <c r="I59" s="65">
        <v>5.3</v>
      </c>
      <c r="J59" s="65">
        <v>5.3</v>
      </c>
      <c r="K59" s="65">
        <v>5.3</v>
      </c>
      <c r="L59" s="65">
        <v>5.3</v>
      </c>
      <c r="M59" s="65">
        <v>5.3</v>
      </c>
      <c r="N59" s="65">
        <v>5.3</v>
      </c>
      <c r="O59" s="65">
        <v>5.3</v>
      </c>
      <c r="P59" s="65">
        <v>5.3</v>
      </c>
      <c r="Q59" s="65">
        <v>5.2</v>
      </c>
      <c r="R59" s="65">
        <v>5.2</v>
      </c>
      <c r="S59" s="65">
        <v>5.2</v>
      </c>
      <c r="T59" s="65">
        <v>5.2</v>
      </c>
      <c r="U59" s="65">
        <v>5.2</v>
      </c>
      <c r="V59" s="65">
        <v>5.2</v>
      </c>
      <c r="W59" s="65">
        <v>5.2</v>
      </c>
      <c r="X59" s="65">
        <v>5.2</v>
      </c>
      <c r="Y59" s="65">
        <v>5.2</v>
      </c>
      <c r="Z59" s="65">
        <v>5.2</v>
      </c>
      <c r="AA59" s="65">
        <v>5.2</v>
      </c>
      <c r="AB59" s="65">
        <v>5.2</v>
      </c>
      <c r="AC59" s="65">
        <v>5.2</v>
      </c>
      <c r="AD59" s="65">
        <v>5.2</v>
      </c>
      <c r="AE59" s="65">
        <v>5.2</v>
      </c>
      <c r="AF59" s="65">
        <v>5.2</v>
      </c>
      <c r="AG59" s="54">
        <v>10.050000000000001</v>
      </c>
      <c r="AH59" s="47">
        <f t="shared" si="2"/>
        <v>5.3</v>
      </c>
      <c r="AI59" s="48">
        <f t="shared" si="3"/>
        <v>5.2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</v>
      </c>
      <c r="AK61" s="49"/>
    </row>
    <row r="62" spans="1:41" ht="15.75" thickBot="1" x14ac:dyDescent="0.3">
      <c r="A62" s="74" t="s">
        <v>70</v>
      </c>
      <c r="B62" s="60">
        <f t="shared" ref="B62:AG62" si="8">SUM(B49:B61)</f>
        <v>93.039999999999992</v>
      </c>
      <c r="C62" s="60">
        <f t="shared" si="8"/>
        <v>89.04</v>
      </c>
      <c r="D62" s="60">
        <f t="shared" si="8"/>
        <v>89.24</v>
      </c>
      <c r="E62" s="60">
        <f t="shared" si="8"/>
        <v>89.24</v>
      </c>
      <c r="F62" s="60">
        <f t="shared" si="8"/>
        <v>89.24</v>
      </c>
      <c r="G62" s="60">
        <f t="shared" si="8"/>
        <v>124.74</v>
      </c>
      <c r="H62" s="60">
        <f t="shared" si="8"/>
        <v>168.64</v>
      </c>
      <c r="I62" s="60">
        <f t="shared" si="8"/>
        <v>201.04</v>
      </c>
      <c r="J62" s="60">
        <f t="shared" si="8"/>
        <v>261.94000000000005</v>
      </c>
      <c r="K62" s="60">
        <f t="shared" si="8"/>
        <v>315.24000000000007</v>
      </c>
      <c r="L62" s="60">
        <f t="shared" si="8"/>
        <v>341.74000000000007</v>
      </c>
      <c r="M62" s="60">
        <f t="shared" si="8"/>
        <v>328.84000000000003</v>
      </c>
      <c r="N62" s="60">
        <f t="shared" si="8"/>
        <v>295.34000000000003</v>
      </c>
      <c r="O62" s="60">
        <f t="shared" si="8"/>
        <v>278.94000000000005</v>
      </c>
      <c r="P62" s="60">
        <f t="shared" si="8"/>
        <v>310.6400000000001</v>
      </c>
      <c r="Q62" s="60">
        <f t="shared" si="8"/>
        <v>310.44</v>
      </c>
      <c r="R62" s="60">
        <f t="shared" si="8"/>
        <v>288.04000000000002</v>
      </c>
      <c r="S62" s="60">
        <f t="shared" si="8"/>
        <v>276.43999999999994</v>
      </c>
      <c r="T62" s="60">
        <f t="shared" si="8"/>
        <v>214.64</v>
      </c>
      <c r="U62" s="60">
        <f t="shared" si="8"/>
        <v>224.83999999999997</v>
      </c>
      <c r="V62" s="60">
        <f t="shared" si="8"/>
        <v>178.43999999999997</v>
      </c>
      <c r="W62" s="60">
        <f t="shared" si="8"/>
        <v>177.33999999999997</v>
      </c>
      <c r="X62" s="60">
        <f t="shared" si="8"/>
        <v>177.33999999999997</v>
      </c>
      <c r="Y62" s="60">
        <v>342.3</v>
      </c>
      <c r="Z62" s="60">
        <f t="shared" si="8"/>
        <v>328.74</v>
      </c>
      <c r="AA62" s="60">
        <f t="shared" si="8"/>
        <v>292.14</v>
      </c>
      <c r="AB62" s="60">
        <f t="shared" si="8"/>
        <v>274.53999999999996</v>
      </c>
      <c r="AC62" s="60">
        <f t="shared" si="8"/>
        <v>296.53999999999996</v>
      </c>
      <c r="AD62" s="60">
        <f t="shared" si="8"/>
        <v>291.73999999999995</v>
      </c>
      <c r="AE62" s="60">
        <f t="shared" si="8"/>
        <v>218.23999999999998</v>
      </c>
      <c r="AF62" s="60">
        <f t="shared" si="8"/>
        <v>190.83999999999997</v>
      </c>
      <c r="AG62" s="61">
        <f t="shared" si="8"/>
        <v>489.91</v>
      </c>
      <c r="AH62" s="47">
        <f t="shared" si="2"/>
        <v>342.3</v>
      </c>
      <c r="AI62" s="48">
        <f t="shared" si="3"/>
        <v>89.04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50.5</v>
      </c>
      <c r="U63" s="45">
        <v>60</v>
      </c>
      <c r="V63" s="45">
        <v>34.4</v>
      </c>
      <c r="W63" s="45">
        <v>34.4</v>
      </c>
      <c r="X63" s="45">
        <v>50.4</v>
      </c>
      <c r="Y63" s="45">
        <v>34.5</v>
      </c>
      <c r="Z63" s="45">
        <v>30</v>
      </c>
      <c r="AA63" s="45">
        <v>15</v>
      </c>
      <c r="AB63" s="45">
        <v>10.6</v>
      </c>
      <c r="AC63" s="45">
        <v>0</v>
      </c>
      <c r="AD63" s="45">
        <v>0</v>
      </c>
      <c r="AE63" s="45">
        <v>0</v>
      </c>
      <c r="AF63" s="45">
        <v>0</v>
      </c>
      <c r="AG63" s="51">
        <v>60</v>
      </c>
      <c r="AH63" s="47">
        <f t="shared" si="2"/>
        <v>60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45">
        <v>0</v>
      </c>
      <c r="R64" s="45">
        <v>0</v>
      </c>
      <c r="S64" s="45">
        <v>0</v>
      </c>
      <c r="T64" s="65">
        <v>21.3</v>
      </c>
      <c r="U64" s="65">
        <v>28</v>
      </c>
      <c r="V64" s="65">
        <v>13.9</v>
      </c>
      <c r="W64" s="65">
        <v>13.8</v>
      </c>
      <c r="X64" s="65">
        <v>20.9</v>
      </c>
      <c r="Y64" s="65">
        <v>15</v>
      </c>
      <c r="Z64" s="65">
        <v>12</v>
      </c>
      <c r="AA64" s="65">
        <v>7</v>
      </c>
      <c r="AB64" s="65">
        <v>3.8</v>
      </c>
      <c r="AC64" s="65">
        <v>0</v>
      </c>
      <c r="AD64" s="65">
        <v>0</v>
      </c>
      <c r="AE64" s="65">
        <v>0</v>
      </c>
      <c r="AF64" s="45">
        <v>0</v>
      </c>
      <c r="AG64" s="54">
        <v>32</v>
      </c>
      <c r="AH64" s="47">
        <f t="shared" si="2"/>
        <v>28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0</v>
      </c>
      <c r="N65" s="67">
        <v>0</v>
      </c>
      <c r="O65" s="67">
        <v>0</v>
      </c>
      <c r="P65" s="67">
        <v>0</v>
      </c>
      <c r="Q65" s="45">
        <v>0</v>
      </c>
      <c r="R65" s="45">
        <v>0</v>
      </c>
      <c r="S65" s="45">
        <v>0</v>
      </c>
      <c r="T65" s="67">
        <v>7.8</v>
      </c>
      <c r="U65" s="67">
        <v>10</v>
      </c>
      <c r="V65" s="67">
        <v>5.0999999999999996</v>
      </c>
      <c r="W65" s="67">
        <v>5.3</v>
      </c>
      <c r="X65" s="67">
        <v>7.6</v>
      </c>
      <c r="Y65" s="67">
        <v>5.4</v>
      </c>
      <c r="Z65" s="67">
        <v>4.3</v>
      </c>
      <c r="AA65" s="67">
        <v>2.8</v>
      </c>
      <c r="AB65" s="67">
        <v>1.4</v>
      </c>
      <c r="AC65" s="67">
        <v>0</v>
      </c>
      <c r="AD65" s="67">
        <v>0</v>
      </c>
      <c r="AE65" s="67">
        <v>0</v>
      </c>
      <c r="AF65" s="45">
        <v>0</v>
      </c>
      <c r="AG65" s="68">
        <v>14</v>
      </c>
      <c r="AH65" s="47">
        <f t="shared" si="2"/>
        <v>10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0</v>
      </c>
      <c r="M66" s="60">
        <f t="shared" ref="M66:AF66" si="9">M63+M64+M65</f>
        <v>0</v>
      </c>
      <c r="N66" s="60">
        <f t="shared" si="9"/>
        <v>0</v>
      </c>
      <c r="O66" s="60">
        <f t="shared" si="9"/>
        <v>0</v>
      </c>
      <c r="P66" s="60">
        <f t="shared" si="9"/>
        <v>0</v>
      </c>
      <c r="Q66" s="60">
        <f t="shared" si="9"/>
        <v>0</v>
      </c>
      <c r="R66" s="60">
        <f t="shared" si="9"/>
        <v>0</v>
      </c>
      <c r="S66" s="60">
        <f t="shared" si="9"/>
        <v>0</v>
      </c>
      <c r="T66" s="60">
        <f t="shared" si="9"/>
        <v>79.599999999999994</v>
      </c>
      <c r="U66" s="60">
        <f t="shared" si="9"/>
        <v>98</v>
      </c>
      <c r="V66" s="60">
        <f t="shared" si="9"/>
        <v>53.4</v>
      </c>
      <c r="W66" s="60">
        <f t="shared" si="9"/>
        <v>53.5</v>
      </c>
      <c r="X66" s="60">
        <f t="shared" si="9"/>
        <v>78.899999999999991</v>
      </c>
      <c r="Y66" s="60">
        <v>54.9</v>
      </c>
      <c r="Z66" s="60">
        <f t="shared" si="9"/>
        <v>46.3</v>
      </c>
      <c r="AA66" s="60">
        <f t="shared" si="9"/>
        <v>24.8</v>
      </c>
      <c r="AB66" s="60">
        <f t="shared" si="9"/>
        <v>15.799999999999999</v>
      </c>
      <c r="AC66" s="60">
        <f t="shared" si="9"/>
        <v>0</v>
      </c>
      <c r="AD66" s="60">
        <f t="shared" si="9"/>
        <v>0</v>
      </c>
      <c r="AE66" s="60">
        <f t="shared" si="9"/>
        <v>0</v>
      </c>
      <c r="AF66" s="60">
        <f t="shared" si="9"/>
        <v>0</v>
      </c>
      <c r="AG66" s="61">
        <f>SUM(AG63:AG65)</f>
        <v>106</v>
      </c>
      <c r="AH66" s="47">
        <f t="shared" si="2"/>
        <v>98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55.5</v>
      </c>
      <c r="C67" s="45">
        <v>54.4</v>
      </c>
      <c r="D67" s="45">
        <v>59.5</v>
      </c>
      <c r="E67" s="45">
        <v>49.8</v>
      </c>
      <c r="F67" s="45">
        <v>50.9</v>
      </c>
      <c r="G67" s="45">
        <v>49</v>
      </c>
      <c r="H67" s="45">
        <v>52</v>
      </c>
      <c r="I67" s="45">
        <v>69.8</v>
      </c>
      <c r="J67" s="45">
        <v>68.400000000000006</v>
      </c>
      <c r="K67" s="45">
        <v>66.599999999999994</v>
      </c>
      <c r="L67" s="45">
        <v>72.900000000000006</v>
      </c>
      <c r="M67" s="45">
        <v>66.8</v>
      </c>
      <c r="N67" s="45">
        <v>68.3</v>
      </c>
      <c r="O67" s="45">
        <v>65.2</v>
      </c>
      <c r="P67" s="45">
        <v>72.400000000000006</v>
      </c>
      <c r="Q67" s="45">
        <v>70.7</v>
      </c>
      <c r="R67" s="45">
        <v>57.8</v>
      </c>
      <c r="S67" s="45">
        <v>72.3</v>
      </c>
      <c r="T67" s="45">
        <v>69.5</v>
      </c>
      <c r="U67" s="45">
        <v>63</v>
      </c>
      <c r="V67" s="45">
        <v>60</v>
      </c>
      <c r="W67" s="45">
        <v>60</v>
      </c>
      <c r="X67" s="45">
        <v>60</v>
      </c>
      <c r="Y67" s="45">
        <v>60</v>
      </c>
      <c r="Z67" s="45">
        <v>65</v>
      </c>
      <c r="AA67" s="45">
        <v>67</v>
      </c>
      <c r="AB67" s="45">
        <v>63</v>
      </c>
      <c r="AC67" s="45">
        <v>64</v>
      </c>
      <c r="AD67" s="45">
        <v>65</v>
      </c>
      <c r="AE67" s="45">
        <v>60</v>
      </c>
      <c r="AF67" s="45">
        <v>62</v>
      </c>
      <c r="AG67" s="51"/>
      <c r="AH67" s="47">
        <f t="shared" si="2"/>
        <v>72.900000000000006</v>
      </c>
      <c r="AI67" s="48">
        <f t="shared" si="3"/>
        <v>49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282.60000000000002</v>
      </c>
      <c r="C69" s="65">
        <v>283</v>
      </c>
      <c r="D69" s="65">
        <v>280.39999999999998</v>
      </c>
      <c r="E69" s="65">
        <v>268</v>
      </c>
      <c r="F69" s="65">
        <v>270.7</v>
      </c>
      <c r="G69" s="65">
        <v>281</v>
      </c>
      <c r="H69" s="65">
        <v>320</v>
      </c>
      <c r="I69" s="65">
        <v>318</v>
      </c>
      <c r="J69" s="65">
        <v>315</v>
      </c>
      <c r="K69" s="65">
        <v>298</v>
      </c>
      <c r="L69" s="65">
        <v>289</v>
      </c>
      <c r="M69" s="65">
        <v>279</v>
      </c>
      <c r="N69" s="65">
        <v>282</v>
      </c>
      <c r="O69" s="65">
        <v>302</v>
      </c>
      <c r="P69" s="65">
        <v>323.60000000000002</v>
      </c>
      <c r="Q69" s="65">
        <v>350</v>
      </c>
      <c r="R69" s="65">
        <v>335.1</v>
      </c>
      <c r="S69" s="65">
        <v>348</v>
      </c>
      <c r="T69" s="65">
        <v>343</v>
      </c>
      <c r="U69" s="65">
        <v>338</v>
      </c>
      <c r="V69" s="65">
        <v>327</v>
      </c>
      <c r="W69" s="65">
        <v>315</v>
      </c>
      <c r="X69" s="65">
        <v>341</v>
      </c>
      <c r="Y69" s="65">
        <v>292</v>
      </c>
      <c r="Z69" s="65">
        <v>288</v>
      </c>
      <c r="AA69" s="65">
        <v>291</v>
      </c>
      <c r="AB69" s="65">
        <v>275.10000000000002</v>
      </c>
      <c r="AC69" s="65">
        <v>306.2</v>
      </c>
      <c r="AD69" s="65">
        <v>311.7</v>
      </c>
      <c r="AE69" s="65">
        <v>316.5</v>
      </c>
      <c r="AF69" s="65">
        <v>320</v>
      </c>
      <c r="AG69" s="75"/>
      <c r="AH69" s="47">
        <f t="shared" si="2"/>
        <v>350</v>
      </c>
      <c r="AI69" s="48">
        <f t="shared" si="3"/>
        <v>268</v>
      </c>
      <c r="AK69" s="49"/>
    </row>
    <row r="70" spans="1:40" x14ac:dyDescent="0.25">
      <c r="A70" s="53" t="s">
        <v>78</v>
      </c>
      <c r="B70" s="76">
        <v>49.5</v>
      </c>
      <c r="C70" s="76">
        <v>53.9</v>
      </c>
      <c r="D70" s="76">
        <v>54.2</v>
      </c>
      <c r="E70" s="76">
        <v>48.6</v>
      </c>
      <c r="F70" s="76">
        <v>49.6</v>
      </c>
      <c r="G70" s="76">
        <v>55.5</v>
      </c>
      <c r="H70" s="76">
        <v>55.9</v>
      </c>
      <c r="I70" s="76">
        <v>59.2</v>
      </c>
      <c r="J70" s="76">
        <v>64.3</v>
      </c>
      <c r="K70" s="76">
        <v>58</v>
      </c>
      <c r="L70" s="76">
        <v>61.3</v>
      </c>
      <c r="M70" s="76">
        <v>60.3</v>
      </c>
      <c r="N70" s="76">
        <v>66</v>
      </c>
      <c r="O70" s="76">
        <v>66.900000000000006</v>
      </c>
      <c r="P70" s="76">
        <v>67.7</v>
      </c>
      <c r="Q70" s="76">
        <v>52.3</v>
      </c>
      <c r="R70" s="76">
        <v>62.5</v>
      </c>
      <c r="S70" s="76">
        <v>64.8</v>
      </c>
      <c r="T70" s="76">
        <v>64.8</v>
      </c>
      <c r="U70" s="76">
        <v>62</v>
      </c>
      <c r="V70" s="76">
        <v>57.9</v>
      </c>
      <c r="W70" s="76">
        <v>46.8</v>
      </c>
      <c r="X70" s="65">
        <v>50.4</v>
      </c>
      <c r="Y70" s="65">
        <v>50.4</v>
      </c>
      <c r="Z70" s="65">
        <v>50.4</v>
      </c>
      <c r="AA70" s="65">
        <v>50</v>
      </c>
      <c r="AB70" s="65">
        <v>50.5</v>
      </c>
      <c r="AC70" s="65">
        <v>48.7</v>
      </c>
      <c r="AD70" s="65">
        <v>48.5</v>
      </c>
      <c r="AE70" s="65">
        <v>47.9</v>
      </c>
      <c r="AF70" s="65">
        <v>48</v>
      </c>
      <c r="AG70" s="75"/>
      <c r="AH70" s="47">
        <f t="shared" si="2"/>
        <v>67.7</v>
      </c>
      <c r="AI70" s="48">
        <f t="shared" si="3"/>
        <v>46.8</v>
      </c>
      <c r="AK70" s="49"/>
    </row>
    <row r="71" spans="1:40" x14ac:dyDescent="0.25">
      <c r="A71" s="53" t="s">
        <v>79</v>
      </c>
      <c r="B71" s="45">
        <v>26</v>
      </c>
      <c r="C71" s="45">
        <v>24</v>
      </c>
      <c r="D71" s="45">
        <v>24</v>
      </c>
      <c r="E71" s="45">
        <v>24</v>
      </c>
      <c r="F71" s="45">
        <v>24</v>
      </c>
      <c r="G71" s="45">
        <v>26</v>
      </c>
      <c r="H71" s="45">
        <v>26</v>
      </c>
      <c r="I71" s="45">
        <v>27</v>
      </c>
      <c r="J71" s="45">
        <v>27</v>
      </c>
      <c r="K71" s="45">
        <v>24</v>
      </c>
      <c r="L71" s="45">
        <v>72</v>
      </c>
      <c r="M71" s="45">
        <v>70</v>
      </c>
      <c r="N71" s="45">
        <v>70</v>
      </c>
      <c r="O71" s="45">
        <v>65</v>
      </c>
      <c r="P71" s="45">
        <v>25</v>
      </c>
      <c r="Q71" s="45">
        <v>23</v>
      </c>
      <c r="R71" s="45">
        <v>23</v>
      </c>
      <c r="S71" s="45">
        <v>23</v>
      </c>
      <c r="T71" s="45">
        <v>23</v>
      </c>
      <c r="U71" s="45">
        <v>29</v>
      </c>
      <c r="V71" s="45">
        <v>29</v>
      </c>
      <c r="W71" s="45">
        <v>44</v>
      </c>
      <c r="X71" s="45">
        <v>44</v>
      </c>
      <c r="Y71" s="45">
        <v>44</v>
      </c>
      <c r="Z71" s="45">
        <v>44</v>
      </c>
      <c r="AA71" s="45">
        <v>42</v>
      </c>
      <c r="AB71" s="45">
        <v>40</v>
      </c>
      <c r="AC71" s="45">
        <v>20</v>
      </c>
      <c r="AD71" s="45">
        <v>25</v>
      </c>
      <c r="AE71" s="45">
        <v>25</v>
      </c>
      <c r="AF71" s="45">
        <v>24</v>
      </c>
      <c r="AG71" s="75"/>
      <c r="AH71" s="47">
        <f t="shared" si="2"/>
        <v>72</v>
      </c>
      <c r="AI71" s="48">
        <f t="shared" si="3"/>
        <v>20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0</v>
      </c>
      <c r="AB72" s="77">
        <v>0</v>
      </c>
      <c r="AC72" s="77">
        <v>0</v>
      </c>
      <c r="AD72" s="77">
        <v>0</v>
      </c>
      <c r="AE72" s="77">
        <v>0</v>
      </c>
      <c r="AF72" s="77">
        <v>0</v>
      </c>
      <c r="AG72" s="75"/>
      <c r="AH72" s="47">
        <f t="shared" si="2"/>
        <v>5</v>
      </c>
      <c r="AI72" s="48">
        <f t="shared" si="3"/>
        <v>0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10">MAX(B75:AF75)</f>
        <v>0</v>
      </c>
      <c r="AI75" s="48">
        <f t="shared" ref="AI75:AI113" si="11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10"/>
        <v>0</v>
      </c>
      <c r="AI76" s="48">
        <f t="shared" si="11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10"/>
        <v>0</v>
      </c>
      <c r="AI77" s="48">
        <f t="shared" si="11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F78" si="12">SUMIF(B67:B77,"&gt;0")</f>
        <v>418.6</v>
      </c>
      <c r="C78" s="60">
        <f t="shared" si="12"/>
        <v>420.29999999999995</v>
      </c>
      <c r="D78" s="60">
        <f t="shared" si="12"/>
        <v>423.09999999999997</v>
      </c>
      <c r="E78" s="60">
        <f t="shared" si="12"/>
        <v>395.40000000000003</v>
      </c>
      <c r="F78" s="60">
        <f t="shared" si="12"/>
        <v>400.2</v>
      </c>
      <c r="G78" s="60">
        <f t="shared" si="12"/>
        <v>411.5</v>
      </c>
      <c r="H78" s="60">
        <f t="shared" si="12"/>
        <v>453.9</v>
      </c>
      <c r="I78" s="60">
        <f t="shared" si="12"/>
        <v>474</v>
      </c>
      <c r="J78" s="60">
        <f t="shared" si="12"/>
        <v>474.7</v>
      </c>
      <c r="K78" s="60">
        <f t="shared" si="12"/>
        <v>446.6</v>
      </c>
      <c r="L78" s="60">
        <f t="shared" si="12"/>
        <v>495.2</v>
      </c>
      <c r="M78" s="60">
        <f t="shared" si="12"/>
        <v>476.1</v>
      </c>
      <c r="N78" s="60">
        <f t="shared" si="12"/>
        <v>491.3</v>
      </c>
      <c r="O78" s="60">
        <f t="shared" si="12"/>
        <v>504.1</v>
      </c>
      <c r="P78" s="60">
        <f t="shared" si="12"/>
        <v>493.7</v>
      </c>
      <c r="Q78" s="60">
        <f t="shared" si="12"/>
        <v>501</v>
      </c>
      <c r="R78" s="60">
        <f t="shared" si="12"/>
        <v>483.40000000000003</v>
      </c>
      <c r="S78" s="60">
        <f t="shared" si="12"/>
        <v>513.1</v>
      </c>
      <c r="T78" s="60">
        <f t="shared" si="12"/>
        <v>505.3</v>
      </c>
      <c r="U78" s="60">
        <f t="shared" si="12"/>
        <v>497</v>
      </c>
      <c r="V78" s="60">
        <f t="shared" si="12"/>
        <v>478.9</v>
      </c>
      <c r="W78" s="60">
        <f t="shared" si="12"/>
        <v>470.8</v>
      </c>
      <c r="X78" s="60">
        <f t="shared" si="12"/>
        <v>500.4</v>
      </c>
      <c r="Y78" s="60">
        <f t="shared" si="12"/>
        <v>451.4</v>
      </c>
      <c r="Z78" s="60">
        <f t="shared" si="12"/>
        <v>452.4</v>
      </c>
      <c r="AA78" s="60">
        <f t="shared" si="12"/>
        <v>450</v>
      </c>
      <c r="AB78" s="60">
        <f t="shared" si="12"/>
        <v>428.6</v>
      </c>
      <c r="AC78" s="60">
        <f t="shared" si="12"/>
        <v>438.9</v>
      </c>
      <c r="AD78" s="60">
        <f t="shared" si="12"/>
        <v>450.2</v>
      </c>
      <c r="AE78" s="60">
        <f t="shared" si="12"/>
        <v>449.4</v>
      </c>
      <c r="AF78" s="60">
        <f t="shared" si="12"/>
        <v>454</v>
      </c>
      <c r="AG78" s="88">
        <f>SUM(AG67:AG77)</f>
        <v>0</v>
      </c>
      <c r="AH78" s="47">
        <f t="shared" si="10"/>
        <v>513.1</v>
      </c>
      <c r="AI78" s="48">
        <f t="shared" si="11"/>
        <v>395.40000000000003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10"/>
        <v>0</v>
      </c>
      <c r="AI79" s="48">
        <f t="shared" si="11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10"/>
        <v>0</v>
      </c>
      <c r="AI80" s="48">
        <f t="shared" si="11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10"/>
        <v>0</v>
      </c>
      <c r="AI81" s="48">
        <f t="shared" si="11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/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10"/>
        <v>0</v>
      </c>
      <c r="AI82" s="48">
        <f t="shared" si="11"/>
        <v>0</v>
      </c>
    </row>
    <row r="83" spans="1:37" ht="15.75" thickBot="1" x14ac:dyDescent="0.3">
      <c r="A83" s="74" t="s">
        <v>94</v>
      </c>
      <c r="B83" s="95">
        <f>B44+B48+B66+B62+B78+B82</f>
        <v>981.64</v>
      </c>
      <c r="C83" s="95">
        <f t="shared" ref="C83:AG83" si="13">C44+C48+C66+C62+C78+C82</f>
        <v>949.24</v>
      </c>
      <c r="D83" s="95">
        <f t="shared" si="13"/>
        <v>947.24</v>
      </c>
      <c r="E83" s="95">
        <f t="shared" si="13"/>
        <v>919.54</v>
      </c>
      <c r="F83" s="95">
        <f t="shared" si="13"/>
        <v>944.33999999999992</v>
      </c>
      <c r="G83" s="95">
        <f t="shared" si="13"/>
        <v>1011.14</v>
      </c>
      <c r="H83" s="95">
        <f t="shared" si="13"/>
        <v>1062.44</v>
      </c>
      <c r="I83" s="95">
        <f t="shared" si="13"/>
        <v>1134.94</v>
      </c>
      <c r="J83" s="95">
        <f t="shared" si="13"/>
        <v>1226.5400000000002</v>
      </c>
      <c r="K83" s="95">
        <f t="shared" si="13"/>
        <v>1310.7400000000002</v>
      </c>
      <c r="L83" s="95">
        <f t="shared" si="13"/>
        <v>1209.74</v>
      </c>
      <c r="M83" s="95">
        <f t="shared" si="13"/>
        <v>1380.44</v>
      </c>
      <c r="N83" s="95">
        <f t="shared" si="13"/>
        <v>1328.3400000000001</v>
      </c>
      <c r="O83" s="95">
        <f t="shared" si="13"/>
        <v>1264.6400000000001</v>
      </c>
      <c r="P83" s="95">
        <f t="shared" si="13"/>
        <v>1345.94</v>
      </c>
      <c r="Q83" s="95">
        <f t="shared" si="13"/>
        <v>1323.14</v>
      </c>
      <c r="R83" s="95">
        <f t="shared" si="13"/>
        <v>1273.1400000000001</v>
      </c>
      <c r="S83" s="95">
        <f t="shared" si="13"/>
        <v>1298.8400000000001</v>
      </c>
      <c r="T83" s="95">
        <f t="shared" si="13"/>
        <v>1302.24</v>
      </c>
      <c r="U83" s="95">
        <f t="shared" si="13"/>
        <v>1339.54</v>
      </c>
      <c r="V83" s="95">
        <f t="shared" si="13"/>
        <v>1157.44</v>
      </c>
      <c r="W83" s="95">
        <f t="shared" si="13"/>
        <v>1170.3399999999999</v>
      </c>
      <c r="X83" s="95">
        <f t="shared" si="13"/>
        <v>1242.3400000000001</v>
      </c>
      <c r="Y83" s="95">
        <f t="shared" si="13"/>
        <v>1397.3000000000002</v>
      </c>
      <c r="Z83" s="95">
        <f t="shared" si="13"/>
        <v>1382.6399999999999</v>
      </c>
      <c r="AA83" s="95">
        <f t="shared" si="13"/>
        <v>1309.1399999999999</v>
      </c>
      <c r="AB83" s="95">
        <f t="shared" si="13"/>
        <v>1244.1399999999999</v>
      </c>
      <c r="AC83" s="95">
        <f t="shared" si="13"/>
        <v>1230.6399999999999</v>
      </c>
      <c r="AD83" s="95">
        <f t="shared" si="13"/>
        <v>1269.94</v>
      </c>
      <c r="AE83" s="95">
        <f t="shared" si="13"/>
        <v>1145.94</v>
      </c>
      <c r="AF83" s="95">
        <f t="shared" si="13"/>
        <v>1083.1399999999999</v>
      </c>
      <c r="AG83" s="61">
        <f t="shared" si="13"/>
        <v>2004.1900000000003</v>
      </c>
      <c r="AH83" s="47">
        <f>MAX(B83:AF83)</f>
        <v>1397.3000000000002</v>
      </c>
      <c r="AI83" s="48">
        <f>MIN(B83:AF83)</f>
        <v>919.54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>
        <v>130</v>
      </c>
      <c r="L84" s="97">
        <v>200</v>
      </c>
      <c r="M84" s="97">
        <v>180</v>
      </c>
      <c r="N84" s="97">
        <v>120</v>
      </c>
      <c r="O84" s="97">
        <v>70</v>
      </c>
      <c r="P84" s="97"/>
      <c r="Q84" s="97"/>
      <c r="R84" s="97"/>
      <c r="S84" s="97"/>
      <c r="T84" s="97"/>
      <c r="U84" s="97"/>
      <c r="V84" s="97">
        <v>200</v>
      </c>
      <c r="W84" s="97">
        <v>200</v>
      </c>
      <c r="X84" s="97">
        <v>200</v>
      </c>
      <c r="Y84" s="97">
        <v>200</v>
      </c>
      <c r="Z84" s="97">
        <v>200</v>
      </c>
      <c r="AA84" s="97">
        <v>200</v>
      </c>
      <c r="AB84" s="97">
        <v>160</v>
      </c>
      <c r="AC84" s="97"/>
      <c r="AD84" s="97"/>
      <c r="AE84" s="97"/>
      <c r="AF84" s="97"/>
      <c r="AG84" s="88"/>
      <c r="AH84" s="47">
        <f t="shared" si="10"/>
        <v>200</v>
      </c>
      <c r="AI84" s="48">
        <f t="shared" si="11"/>
        <v>70</v>
      </c>
    </row>
    <row r="85" spans="1:37" ht="15.75" thickBot="1" x14ac:dyDescent="0.3">
      <c r="A85" s="74" t="s">
        <v>96</v>
      </c>
      <c r="B85" s="95">
        <f>B83+B84</f>
        <v>981.64</v>
      </c>
      <c r="C85" s="95">
        <f t="shared" ref="C85:AF85" si="14">C83+C84</f>
        <v>949.24</v>
      </c>
      <c r="D85" s="95">
        <f t="shared" si="14"/>
        <v>947.24</v>
      </c>
      <c r="E85" s="95">
        <f t="shared" si="14"/>
        <v>919.54</v>
      </c>
      <c r="F85" s="95">
        <f t="shared" si="14"/>
        <v>944.33999999999992</v>
      </c>
      <c r="G85" s="95">
        <f t="shared" si="14"/>
        <v>1011.14</v>
      </c>
      <c r="H85" s="95">
        <f t="shared" si="14"/>
        <v>1062.44</v>
      </c>
      <c r="I85" s="95">
        <f t="shared" si="14"/>
        <v>1134.94</v>
      </c>
      <c r="J85" s="95">
        <f t="shared" si="14"/>
        <v>1226.5400000000002</v>
      </c>
      <c r="K85" s="95">
        <f t="shared" si="14"/>
        <v>1440.7400000000002</v>
      </c>
      <c r="L85" s="95">
        <f t="shared" si="14"/>
        <v>1409.74</v>
      </c>
      <c r="M85" s="95">
        <f t="shared" si="14"/>
        <v>1560.44</v>
      </c>
      <c r="N85" s="95">
        <f>N83+N84</f>
        <v>1448.3400000000001</v>
      </c>
      <c r="O85" s="95">
        <f t="shared" si="14"/>
        <v>1334.64</v>
      </c>
      <c r="P85" s="95">
        <f t="shared" si="14"/>
        <v>1345.94</v>
      </c>
      <c r="Q85" s="95">
        <f t="shared" si="14"/>
        <v>1323.14</v>
      </c>
      <c r="R85" s="95">
        <f t="shared" si="14"/>
        <v>1273.1400000000001</v>
      </c>
      <c r="S85" s="95">
        <f t="shared" si="14"/>
        <v>1298.8400000000001</v>
      </c>
      <c r="T85" s="95">
        <f t="shared" si="14"/>
        <v>1302.24</v>
      </c>
      <c r="U85" s="95">
        <f t="shared" si="14"/>
        <v>1339.54</v>
      </c>
      <c r="V85" s="95">
        <f t="shared" si="14"/>
        <v>1357.44</v>
      </c>
      <c r="W85" s="95">
        <f t="shared" si="14"/>
        <v>1370.34</v>
      </c>
      <c r="X85" s="95">
        <f t="shared" si="14"/>
        <v>1442.3400000000001</v>
      </c>
      <c r="Y85" s="95">
        <f t="shared" si="14"/>
        <v>1597.3000000000002</v>
      </c>
      <c r="Z85" s="95">
        <f t="shared" si="14"/>
        <v>1582.6399999999999</v>
      </c>
      <c r="AA85" s="95">
        <f t="shared" si="14"/>
        <v>1509.1399999999999</v>
      </c>
      <c r="AB85" s="95">
        <f t="shared" si="14"/>
        <v>1404.1399999999999</v>
      </c>
      <c r="AC85" s="95">
        <f t="shared" si="14"/>
        <v>1230.6399999999999</v>
      </c>
      <c r="AD85" s="95">
        <f t="shared" si="14"/>
        <v>1269.94</v>
      </c>
      <c r="AE85" s="95">
        <f t="shared" si="14"/>
        <v>1145.94</v>
      </c>
      <c r="AF85" s="95">
        <f t="shared" si="14"/>
        <v>1083.1399999999999</v>
      </c>
      <c r="AG85" s="88">
        <f>AG82+AG78+AG66+AG62+AG44+AG84</f>
        <v>1466.0900000000001</v>
      </c>
      <c r="AH85" s="47">
        <f t="shared" si="10"/>
        <v>1597.3000000000002</v>
      </c>
      <c r="AI85" s="48">
        <f t="shared" si="11"/>
        <v>919.54</v>
      </c>
    </row>
    <row r="86" spans="1:37" ht="15.75" thickBot="1" x14ac:dyDescent="0.3">
      <c r="A86" s="74" t="s">
        <v>97</v>
      </c>
      <c r="B86" s="95">
        <f t="shared" ref="B86:AF86" si="15">B85-B93</f>
        <v>981.64</v>
      </c>
      <c r="C86" s="95">
        <f t="shared" si="15"/>
        <v>949.24</v>
      </c>
      <c r="D86" s="95">
        <f t="shared" si="15"/>
        <v>947.24</v>
      </c>
      <c r="E86" s="95">
        <f t="shared" si="15"/>
        <v>919.54</v>
      </c>
      <c r="F86" s="95">
        <f t="shared" si="15"/>
        <v>944.33999999999992</v>
      </c>
      <c r="G86" s="95">
        <f t="shared" si="15"/>
        <v>1011.14</v>
      </c>
      <c r="H86" s="95">
        <f t="shared" si="15"/>
        <v>1062.44</v>
      </c>
      <c r="I86" s="95">
        <f t="shared" si="15"/>
        <v>1134.94</v>
      </c>
      <c r="J86" s="95">
        <f t="shared" si="15"/>
        <v>1226.5400000000002</v>
      </c>
      <c r="K86" s="95">
        <f t="shared" si="15"/>
        <v>1440.7400000000002</v>
      </c>
      <c r="L86" s="95">
        <f t="shared" si="15"/>
        <v>1409.74</v>
      </c>
      <c r="M86" s="95">
        <f t="shared" si="15"/>
        <v>1560.44</v>
      </c>
      <c r="N86" s="95">
        <f t="shared" si="15"/>
        <v>1448.3400000000001</v>
      </c>
      <c r="O86" s="95">
        <f t="shared" si="15"/>
        <v>1334.64</v>
      </c>
      <c r="P86" s="95">
        <f t="shared" si="15"/>
        <v>1345.94</v>
      </c>
      <c r="Q86" s="95">
        <f t="shared" si="15"/>
        <v>1323.14</v>
      </c>
      <c r="R86" s="95">
        <f t="shared" si="15"/>
        <v>1273.1400000000001</v>
      </c>
      <c r="S86" s="95">
        <f t="shared" si="15"/>
        <v>1298.8400000000001</v>
      </c>
      <c r="T86" s="95">
        <f t="shared" si="15"/>
        <v>1302.24</v>
      </c>
      <c r="U86" s="95">
        <f t="shared" si="15"/>
        <v>1339.54</v>
      </c>
      <c r="V86" s="95">
        <f t="shared" si="15"/>
        <v>1357.44</v>
      </c>
      <c r="W86" s="95">
        <f t="shared" si="15"/>
        <v>1370.34</v>
      </c>
      <c r="X86" s="95">
        <f t="shared" si="15"/>
        <v>1442.3400000000001</v>
      </c>
      <c r="Y86" s="95">
        <f t="shared" si="15"/>
        <v>1597.3000000000002</v>
      </c>
      <c r="Z86" s="95">
        <f t="shared" si="15"/>
        <v>1582.6399999999999</v>
      </c>
      <c r="AA86" s="95">
        <f t="shared" si="15"/>
        <v>1509.1399999999999</v>
      </c>
      <c r="AB86" s="95">
        <f t="shared" si="15"/>
        <v>1404.1399999999999</v>
      </c>
      <c r="AC86" s="95">
        <f t="shared" si="15"/>
        <v>1230.6399999999999</v>
      </c>
      <c r="AD86" s="95">
        <f t="shared" si="15"/>
        <v>1269.94</v>
      </c>
      <c r="AE86" s="95">
        <f t="shared" si="15"/>
        <v>1145.94</v>
      </c>
      <c r="AF86" s="95">
        <f t="shared" si="15"/>
        <v>1083.1399999999999</v>
      </c>
      <c r="AG86" s="88"/>
      <c r="AH86" s="47">
        <f t="shared" si="10"/>
        <v>1597.3000000000002</v>
      </c>
      <c r="AI86" s="48">
        <f t="shared" si="11"/>
        <v>919.54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10"/>
        <v>0</v>
      </c>
      <c r="AI87" s="48">
        <f t="shared" si="11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10"/>
        <v>0</v>
      </c>
      <c r="AI88" s="48">
        <f t="shared" si="11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10"/>
        <v>0</v>
      </c>
      <c r="AI89" s="48">
        <f t="shared" si="11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10"/>
        <v>0</v>
      </c>
      <c r="AI90" s="48">
        <f t="shared" si="11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10"/>
        <v>0</v>
      </c>
      <c r="AI91" s="48">
        <f t="shared" si="11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10"/>
        <v>0</v>
      </c>
      <c r="AI92" s="48">
        <f t="shared" si="11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88"/>
      <c r="AH93" s="47">
        <f t="shared" si="10"/>
        <v>0</v>
      </c>
      <c r="AI93" s="48">
        <f t="shared" si="11"/>
        <v>0</v>
      </c>
      <c r="AK93" s="49"/>
    </row>
    <row r="94" spans="1:37" ht="15.75" thickBot="1" x14ac:dyDescent="0.3">
      <c r="A94" s="74" t="s">
        <v>102</v>
      </c>
      <c r="B94" s="60">
        <f t="shared" ref="B94:AF94" si="16">B78-B93</f>
        <v>418.6</v>
      </c>
      <c r="C94" s="60">
        <f t="shared" si="16"/>
        <v>420.29999999999995</v>
      </c>
      <c r="D94" s="60">
        <f t="shared" si="16"/>
        <v>423.09999999999997</v>
      </c>
      <c r="E94" s="60">
        <f t="shared" si="16"/>
        <v>395.40000000000003</v>
      </c>
      <c r="F94" s="60">
        <f t="shared" si="16"/>
        <v>400.2</v>
      </c>
      <c r="G94" s="60">
        <f t="shared" si="16"/>
        <v>411.5</v>
      </c>
      <c r="H94" s="60">
        <f t="shared" si="16"/>
        <v>453.9</v>
      </c>
      <c r="I94" s="60">
        <f t="shared" si="16"/>
        <v>474</v>
      </c>
      <c r="J94" s="60">
        <f t="shared" si="16"/>
        <v>474.7</v>
      </c>
      <c r="K94" s="60">
        <f t="shared" si="16"/>
        <v>446.6</v>
      </c>
      <c r="L94" s="60">
        <f t="shared" si="16"/>
        <v>495.2</v>
      </c>
      <c r="M94" s="60">
        <f t="shared" si="16"/>
        <v>476.1</v>
      </c>
      <c r="N94" s="60">
        <f t="shared" si="16"/>
        <v>491.3</v>
      </c>
      <c r="O94" s="60">
        <f t="shared" si="16"/>
        <v>504.1</v>
      </c>
      <c r="P94" s="60">
        <f t="shared" si="16"/>
        <v>493.7</v>
      </c>
      <c r="Q94" s="60">
        <f t="shared" si="16"/>
        <v>501</v>
      </c>
      <c r="R94" s="60">
        <f t="shared" si="16"/>
        <v>483.40000000000003</v>
      </c>
      <c r="S94" s="60">
        <f t="shared" si="16"/>
        <v>513.1</v>
      </c>
      <c r="T94" s="60">
        <f t="shared" si="16"/>
        <v>505.3</v>
      </c>
      <c r="U94" s="60">
        <f t="shared" si="16"/>
        <v>497</v>
      </c>
      <c r="V94" s="60">
        <f t="shared" si="16"/>
        <v>478.9</v>
      </c>
      <c r="W94" s="60">
        <f t="shared" si="16"/>
        <v>470.8</v>
      </c>
      <c r="X94" s="60">
        <f t="shared" si="16"/>
        <v>500.4</v>
      </c>
      <c r="Y94" s="60">
        <f t="shared" si="16"/>
        <v>451.4</v>
      </c>
      <c r="Z94" s="60">
        <f t="shared" si="16"/>
        <v>452.4</v>
      </c>
      <c r="AA94" s="60">
        <f t="shared" si="16"/>
        <v>450</v>
      </c>
      <c r="AB94" s="60">
        <f t="shared" si="16"/>
        <v>428.6</v>
      </c>
      <c r="AC94" s="60">
        <f t="shared" si="16"/>
        <v>438.9</v>
      </c>
      <c r="AD94" s="60">
        <f t="shared" si="16"/>
        <v>450.2</v>
      </c>
      <c r="AE94" s="60">
        <f t="shared" si="16"/>
        <v>449.4</v>
      </c>
      <c r="AF94" s="60">
        <f t="shared" si="16"/>
        <v>454</v>
      </c>
      <c r="AG94" s="88"/>
      <c r="AH94" s="47">
        <f t="shared" si="10"/>
        <v>513.1</v>
      </c>
      <c r="AI94" s="48">
        <f t="shared" si="11"/>
        <v>395.40000000000003</v>
      </c>
    </row>
    <row r="95" spans="1:37" x14ac:dyDescent="0.25">
      <c r="A95" s="100" t="s">
        <v>103</v>
      </c>
      <c r="B95" s="101">
        <v>49.843000000000004</v>
      </c>
      <c r="C95" s="101">
        <v>49.999000000000002</v>
      </c>
      <c r="D95" s="101">
        <v>50.037999999999997</v>
      </c>
      <c r="E95" s="101">
        <v>49.957000000000001</v>
      </c>
      <c r="F95" s="101">
        <v>50</v>
      </c>
      <c r="G95" s="101">
        <v>50</v>
      </c>
      <c r="H95" s="101">
        <v>49.945</v>
      </c>
      <c r="I95" s="101">
        <v>50</v>
      </c>
      <c r="J95" s="101">
        <v>50.113999999999997</v>
      </c>
      <c r="K95" s="101">
        <v>49.959000000000003</v>
      </c>
      <c r="L95" s="101">
        <v>50.103000000000002</v>
      </c>
      <c r="M95" s="101">
        <v>49.956000000000003</v>
      </c>
      <c r="N95" s="101">
        <v>50.021999999999998</v>
      </c>
      <c r="O95" s="101">
        <v>49.960999999999999</v>
      </c>
      <c r="P95" s="101">
        <v>49.953000000000003</v>
      </c>
      <c r="Q95" s="101">
        <v>49.991999999999997</v>
      </c>
      <c r="R95" s="101">
        <v>50.101999999999997</v>
      </c>
      <c r="S95" s="101">
        <v>50.273000000000003</v>
      </c>
      <c r="T95" s="101">
        <v>50.042999999999999</v>
      </c>
      <c r="U95" s="101">
        <v>49.98</v>
      </c>
      <c r="V95" s="101">
        <v>50.031999999999996</v>
      </c>
      <c r="W95" s="101">
        <v>50.073</v>
      </c>
      <c r="X95" s="101">
        <v>49.991999999999997</v>
      </c>
      <c r="Y95" s="101">
        <v>50.07</v>
      </c>
      <c r="Z95" s="101">
        <v>50.003999999999998</v>
      </c>
      <c r="AA95" s="101">
        <v>49.872</v>
      </c>
      <c r="AB95" s="101">
        <v>49.895000000000003</v>
      </c>
      <c r="AC95" s="101">
        <v>50.029000000000003</v>
      </c>
      <c r="AD95" s="101">
        <v>50.006</v>
      </c>
      <c r="AE95" s="101">
        <v>50.055</v>
      </c>
      <c r="AF95" s="101">
        <v>49.935000000000002</v>
      </c>
      <c r="AG95" s="102"/>
      <c r="AH95" s="47">
        <f t="shared" si="10"/>
        <v>50.273000000000003</v>
      </c>
      <c r="AI95" s="48">
        <f t="shared" si="11"/>
        <v>49.843000000000004</v>
      </c>
    </row>
    <row r="96" spans="1:37" x14ac:dyDescent="0.25">
      <c r="A96" s="103" t="s">
        <v>104</v>
      </c>
      <c r="B96" s="65">
        <v>129.30000000000001</v>
      </c>
      <c r="C96" s="65">
        <v>130.4</v>
      </c>
      <c r="D96" s="65">
        <v>130.4</v>
      </c>
      <c r="E96" s="65">
        <v>130.4</v>
      </c>
      <c r="F96" s="65">
        <v>130.4</v>
      </c>
      <c r="G96" s="65">
        <v>130.4</v>
      </c>
      <c r="H96" s="65">
        <v>130</v>
      </c>
      <c r="I96" s="65">
        <v>128</v>
      </c>
      <c r="J96" s="65">
        <v>128</v>
      </c>
      <c r="K96" s="65">
        <v>126.1</v>
      </c>
      <c r="L96" s="65">
        <v>127.1</v>
      </c>
      <c r="M96" s="65">
        <v>125.5</v>
      </c>
      <c r="N96" s="65">
        <v>128</v>
      </c>
      <c r="O96" s="65">
        <v>128</v>
      </c>
      <c r="P96" s="65">
        <v>124</v>
      </c>
      <c r="Q96" s="65">
        <v>124.5</v>
      </c>
      <c r="R96" s="65">
        <v>125.3</v>
      </c>
      <c r="S96" s="65">
        <v>124.4</v>
      </c>
      <c r="T96" s="65">
        <v>127.3</v>
      </c>
      <c r="U96" s="65">
        <v>127.5</v>
      </c>
      <c r="V96" s="65">
        <v>130.30000000000001</v>
      </c>
      <c r="W96" s="65">
        <v>130.19999999999999</v>
      </c>
      <c r="X96" s="65">
        <v>129.80000000000001</v>
      </c>
      <c r="Y96" s="65">
        <v>128.80000000000001</v>
      </c>
      <c r="Z96" s="65">
        <v>128.19999999999999</v>
      </c>
      <c r="AA96" s="65">
        <v>128.19999999999999</v>
      </c>
      <c r="AB96" s="65">
        <v>129</v>
      </c>
      <c r="AC96" s="65">
        <v>126.6</v>
      </c>
      <c r="AD96" s="65">
        <v>125.4</v>
      </c>
      <c r="AE96" s="65">
        <v>126.8</v>
      </c>
      <c r="AF96" s="65">
        <v>126.3</v>
      </c>
      <c r="AG96" s="104"/>
      <c r="AH96" s="47">
        <f t="shared" si="10"/>
        <v>130.4</v>
      </c>
      <c r="AI96" s="48">
        <f t="shared" si="11"/>
        <v>124</v>
      </c>
    </row>
    <row r="97" spans="1:35" x14ac:dyDescent="0.25">
      <c r="A97" s="103" t="s">
        <v>105</v>
      </c>
      <c r="B97" s="65">
        <v>132.9</v>
      </c>
      <c r="C97" s="65">
        <v>133.80000000000001</v>
      </c>
      <c r="D97" s="65">
        <v>133.80000000000001</v>
      </c>
      <c r="E97" s="65">
        <v>133.80000000000001</v>
      </c>
      <c r="F97" s="65">
        <v>133.80000000000001</v>
      </c>
      <c r="G97" s="65">
        <v>133.80000000000001</v>
      </c>
      <c r="H97" s="65">
        <v>132.69999999999999</v>
      </c>
      <c r="I97" s="65">
        <v>131.6</v>
      </c>
      <c r="J97" s="65">
        <v>130</v>
      </c>
      <c r="K97" s="65">
        <v>128</v>
      </c>
      <c r="L97" s="65">
        <v>128.4</v>
      </c>
      <c r="M97" s="65">
        <v>126.39</v>
      </c>
      <c r="N97" s="65">
        <v>129.6</v>
      </c>
      <c r="O97" s="65">
        <v>129.6</v>
      </c>
      <c r="P97" s="65">
        <v>127.2</v>
      </c>
      <c r="Q97" s="65">
        <v>127.8</v>
      </c>
      <c r="R97" s="65">
        <v>128.6</v>
      </c>
      <c r="S97" s="65">
        <v>127.9</v>
      </c>
      <c r="T97" s="65">
        <v>129.80000000000001</v>
      </c>
      <c r="U97" s="65">
        <v>130</v>
      </c>
      <c r="V97" s="65">
        <v>131.69999999999999</v>
      </c>
      <c r="W97" s="65">
        <v>131.6</v>
      </c>
      <c r="X97" s="65">
        <v>131.6</v>
      </c>
      <c r="Y97" s="65">
        <v>130.5</v>
      </c>
      <c r="Z97" s="65">
        <v>130</v>
      </c>
      <c r="AA97" s="65">
        <v>130.1</v>
      </c>
      <c r="AB97" s="65">
        <v>130.80000000000001</v>
      </c>
      <c r="AC97" s="65">
        <v>129.5</v>
      </c>
      <c r="AD97" s="65">
        <v>129</v>
      </c>
      <c r="AE97" s="65">
        <v>130.9</v>
      </c>
      <c r="AF97" s="65">
        <v>131.1</v>
      </c>
      <c r="AG97" s="104"/>
      <c r="AH97" s="47">
        <f t="shared" si="10"/>
        <v>133.80000000000001</v>
      </c>
      <c r="AI97" s="48">
        <f t="shared" si="11"/>
        <v>126.39</v>
      </c>
    </row>
    <row r="98" spans="1:35" x14ac:dyDescent="0.25">
      <c r="A98" s="103" t="s">
        <v>106</v>
      </c>
      <c r="B98" s="65">
        <v>131.69999999999999</v>
      </c>
      <c r="C98" s="65">
        <v>130.69999999999999</v>
      </c>
      <c r="D98" s="65">
        <v>130.69999999999999</v>
      </c>
      <c r="E98" s="65">
        <v>130.69999999999999</v>
      </c>
      <c r="F98" s="65">
        <v>130.69999999999999</v>
      </c>
      <c r="G98" s="65">
        <v>130.69999999999999</v>
      </c>
      <c r="H98" s="65">
        <v>128</v>
      </c>
      <c r="I98" s="65">
        <v>126</v>
      </c>
      <c r="J98" s="65">
        <v>127.5</v>
      </c>
      <c r="K98" s="65">
        <v>127.1</v>
      </c>
      <c r="L98" s="65">
        <v>125.5</v>
      </c>
      <c r="M98" s="65">
        <v>124.3</v>
      </c>
      <c r="N98" s="65">
        <v>127.1</v>
      </c>
      <c r="O98" s="65">
        <v>127.1</v>
      </c>
      <c r="P98" s="65">
        <v>128</v>
      </c>
      <c r="Q98" s="65">
        <v>129.80000000000001</v>
      </c>
      <c r="R98" s="65">
        <v>129.69999999999999</v>
      </c>
      <c r="S98" s="65">
        <v>129</v>
      </c>
      <c r="T98" s="65">
        <v>127.9</v>
      </c>
      <c r="U98" s="65">
        <v>127.4</v>
      </c>
      <c r="V98" s="65">
        <v>130</v>
      </c>
      <c r="W98" s="65">
        <v>129.9</v>
      </c>
      <c r="X98" s="65">
        <v>126.7</v>
      </c>
      <c r="Y98" s="65">
        <v>129.6</v>
      </c>
      <c r="Z98" s="65">
        <v>127.5</v>
      </c>
      <c r="AA98" s="65">
        <v>128.9</v>
      </c>
      <c r="AB98" s="65">
        <v>130.9</v>
      </c>
      <c r="AC98" s="65">
        <v>129.4</v>
      </c>
      <c r="AD98" s="65">
        <v>129</v>
      </c>
      <c r="AE98" s="65">
        <v>129.9</v>
      </c>
      <c r="AF98" s="65">
        <v>129.9</v>
      </c>
      <c r="AG98" s="104"/>
      <c r="AH98" s="47">
        <f t="shared" si="10"/>
        <v>131.69999999999999</v>
      </c>
      <c r="AI98" s="48">
        <f t="shared" si="11"/>
        <v>124.3</v>
      </c>
    </row>
    <row r="99" spans="1:35" x14ac:dyDescent="0.25">
      <c r="A99" s="105" t="s">
        <v>107</v>
      </c>
      <c r="B99" s="65">
        <v>132.80000000000001</v>
      </c>
      <c r="C99" s="65">
        <v>132</v>
      </c>
      <c r="D99" s="65">
        <v>132</v>
      </c>
      <c r="E99" s="65">
        <v>132</v>
      </c>
      <c r="F99" s="65">
        <v>132</v>
      </c>
      <c r="G99" s="65">
        <v>132</v>
      </c>
      <c r="H99" s="65">
        <v>130</v>
      </c>
      <c r="I99" s="65">
        <v>128</v>
      </c>
      <c r="J99" s="65">
        <v>131.6</v>
      </c>
      <c r="K99" s="65">
        <v>131.4</v>
      </c>
      <c r="L99" s="65">
        <v>129.1</v>
      </c>
      <c r="M99" s="65">
        <v>127.7</v>
      </c>
      <c r="N99" s="65">
        <v>129.69999999999999</v>
      </c>
      <c r="O99" s="65">
        <v>129.69999999999999</v>
      </c>
      <c r="P99" s="65">
        <v>131.30000000000001</v>
      </c>
      <c r="Q99" s="65">
        <v>132.1</v>
      </c>
      <c r="R99" s="65">
        <v>132.80000000000001</v>
      </c>
      <c r="S99" s="65">
        <v>131.6</v>
      </c>
      <c r="T99" s="65">
        <v>130.30000000000001</v>
      </c>
      <c r="U99" s="65">
        <v>130.9</v>
      </c>
      <c r="V99" s="65">
        <v>132.1</v>
      </c>
      <c r="W99" s="65">
        <v>131.69999999999999</v>
      </c>
      <c r="X99" s="65">
        <v>130.19999999999999</v>
      </c>
      <c r="Y99" s="65">
        <v>132.4</v>
      </c>
      <c r="Z99" s="65">
        <v>130</v>
      </c>
      <c r="AA99" s="65">
        <v>131.9</v>
      </c>
      <c r="AB99" s="65">
        <v>134.1</v>
      </c>
      <c r="AC99" s="65">
        <v>133.4</v>
      </c>
      <c r="AD99" s="65">
        <v>133.5</v>
      </c>
      <c r="AE99" s="65">
        <v>133.30000000000001</v>
      </c>
      <c r="AF99" s="65">
        <v>132.9</v>
      </c>
      <c r="AG99" s="104"/>
      <c r="AH99" s="47">
        <f t="shared" si="10"/>
        <v>134.1</v>
      </c>
      <c r="AI99" s="48">
        <f t="shared" si="11"/>
        <v>127.7</v>
      </c>
    </row>
    <row r="100" spans="1:35" x14ac:dyDescent="0.25">
      <c r="A100" s="105" t="s">
        <v>108</v>
      </c>
      <c r="B100" s="106">
        <v>133</v>
      </c>
      <c r="C100" s="106">
        <v>135</v>
      </c>
      <c r="D100" s="106">
        <v>135</v>
      </c>
      <c r="E100" s="106">
        <v>135</v>
      </c>
      <c r="F100" s="106">
        <v>135</v>
      </c>
      <c r="G100" s="106">
        <v>135</v>
      </c>
      <c r="H100" s="106">
        <v>136</v>
      </c>
      <c r="I100" s="106">
        <v>137</v>
      </c>
      <c r="J100" s="106">
        <v>135</v>
      </c>
      <c r="K100" s="106">
        <v>134</v>
      </c>
      <c r="L100" s="106">
        <v>133.1</v>
      </c>
      <c r="M100" s="106">
        <v>130.80000000000001</v>
      </c>
      <c r="N100" s="106">
        <v>132.19999999999999</v>
      </c>
      <c r="O100" s="106">
        <v>132.19999999999999</v>
      </c>
      <c r="P100" s="106">
        <v>131.6</v>
      </c>
      <c r="Q100" s="106">
        <v>133</v>
      </c>
      <c r="R100" s="106">
        <v>133.69999999999999</v>
      </c>
      <c r="S100" s="106">
        <v>132.4</v>
      </c>
      <c r="T100" s="106">
        <v>133.30000000000001</v>
      </c>
      <c r="U100" s="106">
        <v>133.44999999999999</v>
      </c>
      <c r="V100" s="106">
        <v>135.1</v>
      </c>
      <c r="W100" s="106">
        <v>135.69999999999999</v>
      </c>
      <c r="X100" s="106">
        <v>136.30000000000001</v>
      </c>
      <c r="Y100" s="106">
        <v>133.1</v>
      </c>
      <c r="Z100" s="106">
        <v>134.4</v>
      </c>
      <c r="AA100" s="106">
        <v>134.69999999999999</v>
      </c>
      <c r="AB100" s="106">
        <v>136.9</v>
      </c>
      <c r="AC100" s="106">
        <v>132.4</v>
      </c>
      <c r="AD100" s="106">
        <v>132.19999999999999</v>
      </c>
      <c r="AE100" s="106">
        <v>132.4</v>
      </c>
      <c r="AF100" s="106">
        <v>132.9</v>
      </c>
      <c r="AG100" s="107"/>
      <c r="AH100" s="47">
        <f t="shared" si="10"/>
        <v>137</v>
      </c>
      <c r="AI100" s="48">
        <f t="shared" si="11"/>
        <v>130.80000000000001</v>
      </c>
    </row>
    <row r="101" spans="1:35" x14ac:dyDescent="0.25">
      <c r="A101" s="103" t="s">
        <v>109</v>
      </c>
      <c r="B101" s="65">
        <v>134.80000000000001</v>
      </c>
      <c r="C101" s="65">
        <v>136</v>
      </c>
      <c r="D101" s="65">
        <v>134</v>
      </c>
      <c r="E101" s="65">
        <v>134</v>
      </c>
      <c r="F101" s="65">
        <v>134</v>
      </c>
      <c r="G101" s="65">
        <v>134</v>
      </c>
      <c r="H101" s="65">
        <v>127.6</v>
      </c>
      <c r="I101" s="65">
        <v>129</v>
      </c>
      <c r="J101" s="65">
        <v>133</v>
      </c>
      <c r="K101" s="65">
        <v>128</v>
      </c>
      <c r="L101" s="65">
        <v>127</v>
      </c>
      <c r="M101" s="65">
        <v>126.9</v>
      </c>
      <c r="N101" s="65">
        <v>132</v>
      </c>
      <c r="O101" s="65">
        <v>132</v>
      </c>
      <c r="P101" s="65">
        <v>127.5</v>
      </c>
      <c r="Q101" s="65">
        <v>127.8</v>
      </c>
      <c r="R101" s="65">
        <v>131.9</v>
      </c>
      <c r="S101" s="65">
        <v>127.4</v>
      </c>
      <c r="T101" s="65">
        <v>130.19999999999999</v>
      </c>
      <c r="U101" s="65">
        <v>130.69999999999999</v>
      </c>
      <c r="V101" s="65">
        <v>132.5</v>
      </c>
      <c r="W101" s="65">
        <v>134.5</v>
      </c>
      <c r="X101" s="65">
        <v>133.4</v>
      </c>
      <c r="Y101" s="65">
        <v>131.4</v>
      </c>
      <c r="Z101" s="65">
        <v>129.9</v>
      </c>
      <c r="AA101" s="65">
        <v>127</v>
      </c>
      <c r="AB101" s="65">
        <v>125.4</v>
      </c>
      <c r="AC101" s="65"/>
      <c r="AD101" s="65"/>
      <c r="AE101" s="65"/>
      <c r="AF101" s="65"/>
      <c r="AG101" s="104"/>
      <c r="AH101" s="47">
        <f t="shared" si="10"/>
        <v>136</v>
      </c>
      <c r="AI101" s="48">
        <f t="shared" si="11"/>
        <v>125.4</v>
      </c>
    </row>
    <row r="102" spans="1:35" ht="15.75" thickBot="1" x14ac:dyDescent="0.3">
      <c r="A102" s="103" t="s">
        <v>110</v>
      </c>
      <c r="B102" s="92">
        <v>67.099999999999994</v>
      </c>
      <c r="C102" s="92">
        <v>67.599999999999994</v>
      </c>
      <c r="D102" s="92">
        <v>67.599999999999994</v>
      </c>
      <c r="E102" s="92">
        <v>67.599999999999994</v>
      </c>
      <c r="F102" s="92">
        <v>67.599999999999994</v>
      </c>
      <c r="G102" s="92">
        <v>67.599999999999994</v>
      </c>
      <c r="H102" s="92">
        <v>66.8</v>
      </c>
      <c r="I102" s="92">
        <v>66</v>
      </c>
      <c r="J102" s="92">
        <v>65.5</v>
      </c>
      <c r="K102" s="92">
        <v>64.099999999999994</v>
      </c>
      <c r="L102" s="92">
        <v>64.3</v>
      </c>
      <c r="M102" s="92">
        <v>63.4</v>
      </c>
      <c r="N102" s="92">
        <v>65.099999999999994</v>
      </c>
      <c r="O102" s="92">
        <v>65.099999999999994</v>
      </c>
      <c r="P102" s="92">
        <v>63.5</v>
      </c>
      <c r="Q102" s="92">
        <v>64.2</v>
      </c>
      <c r="R102" s="92">
        <v>64.599999999999994</v>
      </c>
      <c r="S102" s="92">
        <v>64.3</v>
      </c>
      <c r="T102" s="92">
        <v>65.3</v>
      </c>
      <c r="U102" s="92">
        <v>65.400000000000006</v>
      </c>
      <c r="V102" s="92">
        <v>66.2</v>
      </c>
      <c r="W102" s="92">
        <v>66.2</v>
      </c>
      <c r="X102" s="92">
        <v>66.2</v>
      </c>
      <c r="Y102" s="92">
        <v>65.7</v>
      </c>
      <c r="Z102" s="92">
        <v>65.400000000000006</v>
      </c>
      <c r="AA102" s="92">
        <v>65.5</v>
      </c>
      <c r="AB102" s="92">
        <v>65.8</v>
      </c>
      <c r="AC102" s="92">
        <v>65.099999999999994</v>
      </c>
      <c r="AD102" s="92">
        <v>65</v>
      </c>
      <c r="AE102" s="92">
        <v>66.099999999999994</v>
      </c>
      <c r="AF102" s="92">
        <v>66.2</v>
      </c>
      <c r="AG102" s="108"/>
      <c r="AH102" s="47">
        <f t="shared" si="10"/>
        <v>67.599999999999994</v>
      </c>
      <c r="AI102" s="48">
        <f t="shared" si="11"/>
        <v>63.4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10"/>
        <v>0</v>
      </c>
      <c r="AI103" s="48">
        <f t="shared" si="11"/>
        <v>0</v>
      </c>
    </row>
    <row r="104" spans="1:35" ht="15.75" thickBot="1" x14ac:dyDescent="0.3">
      <c r="A104" s="110" t="s">
        <v>112</v>
      </c>
      <c r="B104" s="111">
        <f t="shared" ref="B104:AF104" si="17">SUM(B16,B22,B25:B26,B52,B54:B55,B57,B59,B105:B109,B131,B137,B143,B152,B154,B166,B173,B176:B177,B184,B186,B188,B192:B194,B196:B198,B203,B209:B210,B212:B214,B222,B227)</f>
        <v>145.19999999999999</v>
      </c>
      <c r="C104" s="111">
        <f t="shared" si="17"/>
        <v>135.54</v>
      </c>
      <c r="D104" s="111">
        <f t="shared" si="17"/>
        <v>126.23999999999998</v>
      </c>
      <c r="E104" s="111">
        <f t="shared" si="17"/>
        <v>125.33999999999997</v>
      </c>
      <c r="F104" s="111">
        <f t="shared" si="17"/>
        <v>127.43999999999997</v>
      </c>
      <c r="G104" s="111">
        <f t="shared" si="17"/>
        <v>162.94</v>
      </c>
      <c r="H104" s="111">
        <f t="shared" si="17"/>
        <v>197.83999999999997</v>
      </c>
      <c r="I104" s="111">
        <f t="shared" si="17"/>
        <v>228.74</v>
      </c>
      <c r="J104" s="111">
        <f t="shared" si="17"/>
        <v>276.54000000000002</v>
      </c>
      <c r="K104" s="111">
        <f t="shared" si="17"/>
        <v>341.63999999999993</v>
      </c>
      <c r="L104" s="111">
        <f t="shared" si="17"/>
        <v>386.53999999999991</v>
      </c>
      <c r="M104" s="111">
        <f t="shared" si="17"/>
        <v>385.14</v>
      </c>
      <c r="N104" s="111">
        <f t="shared" si="17"/>
        <v>347.84</v>
      </c>
      <c r="O104" s="111">
        <f t="shared" si="17"/>
        <v>332.73999999999995</v>
      </c>
      <c r="P104" s="111">
        <v>42</v>
      </c>
      <c r="Q104" s="111">
        <f t="shared" si="17"/>
        <v>301.3</v>
      </c>
      <c r="R104" s="111">
        <f t="shared" si="17"/>
        <v>291.60000000000002</v>
      </c>
      <c r="S104" s="111">
        <f t="shared" si="17"/>
        <v>290.5</v>
      </c>
      <c r="T104" s="111">
        <f t="shared" si="17"/>
        <v>289.10000000000002</v>
      </c>
      <c r="U104" s="111">
        <f t="shared" si="17"/>
        <v>257.5</v>
      </c>
      <c r="V104" s="111">
        <f t="shared" si="17"/>
        <v>312.10000000000002</v>
      </c>
      <c r="W104" s="111">
        <f t="shared" si="17"/>
        <v>333.7</v>
      </c>
      <c r="X104" s="111">
        <f t="shared" si="17"/>
        <v>390.09999999999997</v>
      </c>
      <c r="Y104" s="111">
        <f t="shared" si="17"/>
        <v>418.8</v>
      </c>
      <c r="Z104" s="111">
        <f t="shared" si="17"/>
        <v>398.29999999999995</v>
      </c>
      <c r="AA104" s="111">
        <f t="shared" si="17"/>
        <v>381.84000000000003</v>
      </c>
      <c r="AB104" s="111">
        <f t="shared" si="17"/>
        <v>403.70000000000005</v>
      </c>
      <c r="AC104" s="111">
        <f t="shared" si="17"/>
        <v>325.39999999999998</v>
      </c>
      <c r="AD104" s="111">
        <f t="shared" si="17"/>
        <v>308.10000000000002</v>
      </c>
      <c r="AE104" s="111">
        <f t="shared" si="17"/>
        <v>231.39999999999998</v>
      </c>
      <c r="AF104" s="111">
        <f t="shared" si="17"/>
        <v>174.2</v>
      </c>
      <c r="AG104" s="112"/>
      <c r="AH104" s="47">
        <f t="shared" si="10"/>
        <v>418.8</v>
      </c>
      <c r="AI104" s="48">
        <f t="shared" si="11"/>
        <v>42</v>
      </c>
    </row>
    <row r="105" spans="1:35" x14ac:dyDescent="0.25">
      <c r="A105" s="100" t="s">
        <v>113</v>
      </c>
      <c r="B105" s="113">
        <v>-9.8000000000000007</v>
      </c>
      <c r="C105" s="113">
        <v>-9</v>
      </c>
      <c r="D105" s="113">
        <v>-9.3000000000000007</v>
      </c>
      <c r="E105" s="113">
        <v>-8.8000000000000007</v>
      </c>
      <c r="F105" s="113">
        <v>-11.8</v>
      </c>
      <c r="G105" s="113">
        <v>-6</v>
      </c>
      <c r="H105" s="113">
        <v>0.8</v>
      </c>
      <c r="I105" s="113">
        <v>9.1999999999999993</v>
      </c>
      <c r="J105" s="113">
        <v>18</v>
      </c>
      <c r="K105" s="113">
        <v>37.700000000000003</v>
      </c>
      <c r="L105" s="113">
        <v>34.4</v>
      </c>
      <c r="M105" s="113">
        <v>32.299999999999997</v>
      </c>
      <c r="N105" s="113">
        <v>32.5</v>
      </c>
      <c r="O105" s="113">
        <v>34.200000000000003</v>
      </c>
      <c r="P105" s="113">
        <v>29</v>
      </c>
      <c r="Q105" s="113">
        <v>28.3</v>
      </c>
      <c r="R105" s="113">
        <v>26.5</v>
      </c>
      <c r="S105" s="113">
        <v>21.7</v>
      </c>
      <c r="T105" s="113">
        <v>4.5999999999999996</v>
      </c>
      <c r="U105" s="113">
        <v>7</v>
      </c>
      <c r="V105" s="113">
        <v>0</v>
      </c>
      <c r="W105" s="113">
        <v>3.1</v>
      </c>
      <c r="X105" s="113">
        <v>21.9</v>
      </c>
      <c r="Y105" s="113">
        <v>33.5</v>
      </c>
      <c r="Z105" s="113">
        <v>33.5</v>
      </c>
      <c r="AA105" s="113">
        <v>35.1</v>
      </c>
      <c r="AB105" s="113">
        <v>31.7</v>
      </c>
      <c r="AC105" s="113">
        <v>43.3</v>
      </c>
      <c r="AD105" s="113">
        <v>43.5</v>
      </c>
      <c r="AE105" s="113">
        <v>21.6</v>
      </c>
      <c r="AF105" s="113">
        <v>14</v>
      </c>
      <c r="AG105" s="114">
        <v>75</v>
      </c>
      <c r="AH105" s="47">
        <f t="shared" si="10"/>
        <v>43.5</v>
      </c>
      <c r="AI105" s="48">
        <f t="shared" si="11"/>
        <v>-11.8</v>
      </c>
    </row>
    <row r="106" spans="1:35" x14ac:dyDescent="0.25">
      <c r="A106" s="103" t="s">
        <v>114</v>
      </c>
      <c r="B106" s="115">
        <v>-11.9</v>
      </c>
      <c r="C106" s="115">
        <v>-6.4</v>
      </c>
      <c r="D106" s="115">
        <v>-5.9</v>
      </c>
      <c r="E106" s="115">
        <v>-5.9</v>
      </c>
      <c r="F106" s="115">
        <v>-9.9</v>
      </c>
      <c r="G106" s="115">
        <v>-4</v>
      </c>
      <c r="H106" s="115">
        <v>2.7</v>
      </c>
      <c r="I106" s="115">
        <v>14.8</v>
      </c>
      <c r="J106" s="115">
        <v>26.8</v>
      </c>
      <c r="K106" s="115">
        <v>45.1</v>
      </c>
      <c r="L106" s="115">
        <v>40.799999999999997</v>
      </c>
      <c r="M106" s="115">
        <v>37.6</v>
      </c>
      <c r="N106" s="115">
        <v>40</v>
      </c>
      <c r="O106" s="115">
        <v>42.9</v>
      </c>
      <c r="P106" s="115">
        <v>43.2</v>
      </c>
      <c r="Q106" s="115">
        <v>43.1</v>
      </c>
      <c r="R106" s="115">
        <v>39.799999999999997</v>
      </c>
      <c r="S106" s="115">
        <v>34.200000000000003</v>
      </c>
      <c r="T106" s="115">
        <v>11.5</v>
      </c>
      <c r="U106" s="115">
        <v>14</v>
      </c>
      <c r="V106" s="115">
        <v>4.2</v>
      </c>
      <c r="W106" s="115">
        <v>3.4</v>
      </c>
      <c r="X106" s="115">
        <v>20.7</v>
      </c>
      <c r="Y106" s="115">
        <v>38.5</v>
      </c>
      <c r="Z106" s="115">
        <v>39.200000000000003</v>
      </c>
      <c r="AA106" s="115">
        <v>41.54</v>
      </c>
      <c r="AB106" s="115">
        <v>37.4</v>
      </c>
      <c r="AC106" s="115">
        <v>53.1</v>
      </c>
      <c r="AD106" s="115">
        <v>55.1</v>
      </c>
      <c r="AE106" s="115">
        <v>29</v>
      </c>
      <c r="AF106" s="115">
        <v>19.600000000000001</v>
      </c>
      <c r="AG106" s="114">
        <v>240</v>
      </c>
      <c r="AH106" s="47">
        <f t="shared" si="10"/>
        <v>55.1</v>
      </c>
      <c r="AI106" s="48">
        <f t="shared" si="11"/>
        <v>-11.9</v>
      </c>
    </row>
    <row r="107" spans="1:35" x14ac:dyDescent="0.25">
      <c r="A107" s="103" t="s">
        <v>115</v>
      </c>
      <c r="B107" s="115">
        <v>-31.3</v>
      </c>
      <c r="C107" s="115">
        <v>-36</v>
      </c>
      <c r="D107" s="115">
        <v>-40</v>
      </c>
      <c r="E107" s="115">
        <v>-40</v>
      </c>
      <c r="F107" s="115">
        <v>-38</v>
      </c>
      <c r="G107" s="115">
        <v>-31</v>
      </c>
      <c r="H107" s="115">
        <v>-16</v>
      </c>
      <c r="I107" s="115">
        <v>-10</v>
      </c>
      <c r="J107" s="115">
        <v>7.5</v>
      </c>
      <c r="K107" s="115">
        <v>20.100000000000001</v>
      </c>
      <c r="L107" s="115">
        <v>55.4</v>
      </c>
      <c r="M107" s="115">
        <v>54.6</v>
      </c>
      <c r="N107" s="115">
        <v>52</v>
      </c>
      <c r="O107" s="115">
        <v>53</v>
      </c>
      <c r="P107" s="115">
        <v>6.8</v>
      </c>
      <c r="Q107" s="115">
        <v>-4.5</v>
      </c>
      <c r="R107" s="115">
        <v>-8</v>
      </c>
      <c r="S107" s="115">
        <v>-4.5999999999999996</v>
      </c>
      <c r="T107" s="115">
        <v>12</v>
      </c>
      <c r="U107" s="115">
        <v>-28</v>
      </c>
      <c r="V107" s="115">
        <v>61</v>
      </c>
      <c r="W107" s="115">
        <f>33.8+32</f>
        <v>65.8</v>
      </c>
      <c r="X107" s="115">
        <f>45+44</f>
        <v>89</v>
      </c>
      <c r="Y107" s="115">
        <v>81</v>
      </c>
      <c r="Z107" s="115">
        <f>35.7+35</f>
        <v>70.7</v>
      </c>
      <c r="AA107" s="115">
        <f>33+35</f>
        <v>68</v>
      </c>
      <c r="AB107" s="115">
        <v>61</v>
      </c>
      <c r="AC107" s="115">
        <v>2.9</v>
      </c>
      <c r="AD107" s="115">
        <v>-16.899999999999999</v>
      </c>
      <c r="AE107" s="115">
        <v>-27</v>
      </c>
      <c r="AF107" s="115">
        <v>-45</v>
      </c>
      <c r="AG107" s="114">
        <v>240</v>
      </c>
      <c r="AH107" s="47">
        <f t="shared" si="10"/>
        <v>89</v>
      </c>
      <c r="AI107" s="48">
        <f t="shared" si="11"/>
        <v>-45</v>
      </c>
    </row>
    <row r="108" spans="1:35" x14ac:dyDescent="0.25">
      <c r="A108" s="103" t="s">
        <v>116</v>
      </c>
      <c r="B108" s="115">
        <v>-1.1000000000000001</v>
      </c>
      <c r="C108" s="115">
        <v>-3.4</v>
      </c>
      <c r="D108" s="115">
        <v>-6.3</v>
      </c>
      <c r="E108" s="115">
        <v>-5.2</v>
      </c>
      <c r="F108" s="115">
        <v>-4.9000000000000004</v>
      </c>
      <c r="G108" s="115">
        <v>-1.9</v>
      </c>
      <c r="H108" s="115">
        <v>2.7</v>
      </c>
      <c r="I108" s="115">
        <v>4.4000000000000004</v>
      </c>
      <c r="J108" s="115">
        <v>10.9</v>
      </c>
      <c r="K108" s="115">
        <v>16.2</v>
      </c>
      <c r="L108" s="115">
        <v>23.3</v>
      </c>
      <c r="M108" s="115">
        <v>21.7</v>
      </c>
      <c r="N108" s="115">
        <v>23.8</v>
      </c>
      <c r="O108" s="115">
        <v>18.5</v>
      </c>
      <c r="P108" s="115">
        <v>10.4</v>
      </c>
      <c r="Q108" s="115">
        <v>9.8000000000000007</v>
      </c>
      <c r="R108" s="115">
        <v>8.6999999999999993</v>
      </c>
      <c r="S108" s="115">
        <v>8.6</v>
      </c>
      <c r="T108" s="115">
        <v>38.299999999999997</v>
      </c>
      <c r="U108" s="115">
        <v>45</v>
      </c>
      <c r="V108" s="115">
        <v>42</v>
      </c>
      <c r="W108" s="115">
        <v>45.6</v>
      </c>
      <c r="X108" s="115">
        <v>59.7</v>
      </c>
      <c r="Y108" s="115">
        <v>51.8</v>
      </c>
      <c r="Z108" s="115">
        <v>47.2</v>
      </c>
      <c r="AA108" s="115">
        <v>36.1</v>
      </c>
      <c r="AB108" s="115">
        <v>82.9</v>
      </c>
      <c r="AC108" s="115">
        <v>17</v>
      </c>
      <c r="AD108" s="115">
        <v>10.6</v>
      </c>
      <c r="AE108" s="115">
        <v>3.6</v>
      </c>
      <c r="AF108" s="115">
        <v>-6.1</v>
      </c>
      <c r="AG108" s="114">
        <v>60</v>
      </c>
      <c r="AH108" s="47">
        <f t="shared" si="10"/>
        <v>82.9</v>
      </c>
      <c r="AI108" s="48">
        <f t="shared" si="11"/>
        <v>-6.3</v>
      </c>
    </row>
    <row r="109" spans="1:35" x14ac:dyDescent="0.25">
      <c r="A109" s="116" t="s">
        <v>117</v>
      </c>
      <c r="B109" s="117">
        <v>85.9</v>
      </c>
      <c r="C109" s="117">
        <v>80</v>
      </c>
      <c r="D109" s="117">
        <v>77.2</v>
      </c>
      <c r="E109" s="117">
        <v>74.7</v>
      </c>
      <c r="F109" s="117">
        <v>81.5</v>
      </c>
      <c r="G109" s="117">
        <v>92.7</v>
      </c>
      <c r="H109" s="117">
        <v>95.3</v>
      </c>
      <c r="I109" s="117">
        <v>98</v>
      </c>
      <c r="J109" s="117">
        <v>103</v>
      </c>
      <c r="K109" s="117">
        <v>112.5</v>
      </c>
      <c r="L109" s="117">
        <v>122.6</v>
      </c>
      <c r="M109" s="117">
        <v>124.3</v>
      </c>
      <c r="N109" s="117">
        <v>83.9</v>
      </c>
      <c r="O109" s="117">
        <v>67.5</v>
      </c>
      <c r="P109" s="117">
        <v>116.2</v>
      </c>
      <c r="Q109" s="117">
        <v>102.8</v>
      </c>
      <c r="R109" s="117">
        <v>101.8</v>
      </c>
      <c r="S109" s="117">
        <v>107.8</v>
      </c>
      <c r="T109" s="117">
        <v>99.9</v>
      </c>
      <c r="U109" s="117">
        <v>97</v>
      </c>
      <c r="V109" s="117">
        <v>97.1</v>
      </c>
      <c r="W109" s="117">
        <v>108</v>
      </c>
      <c r="X109" s="117">
        <v>91</v>
      </c>
      <c r="Y109" s="117">
        <v>106.2</v>
      </c>
      <c r="Z109" s="117">
        <v>99.9</v>
      </c>
      <c r="AA109" s="117">
        <v>93.3</v>
      </c>
      <c r="AB109" s="117">
        <v>82.9</v>
      </c>
      <c r="AC109" s="117">
        <v>99.3</v>
      </c>
      <c r="AD109" s="117">
        <v>106</v>
      </c>
      <c r="AE109" s="117">
        <v>92.6</v>
      </c>
      <c r="AF109" s="117">
        <v>80.099999999999994</v>
      </c>
      <c r="AG109" s="118">
        <v>120</v>
      </c>
      <c r="AH109" s="47">
        <f t="shared" si="10"/>
        <v>124.3</v>
      </c>
      <c r="AI109" s="48">
        <f t="shared" si="11"/>
        <v>67.5</v>
      </c>
    </row>
    <row r="110" spans="1:35" x14ac:dyDescent="0.25">
      <c r="A110" s="116" t="s">
        <v>118</v>
      </c>
      <c r="B110" s="117">
        <v>93</v>
      </c>
      <c r="C110" s="117">
        <v>90</v>
      </c>
      <c r="D110" s="117">
        <v>85.1</v>
      </c>
      <c r="E110" s="117">
        <v>82</v>
      </c>
      <c r="F110" s="117">
        <v>85.5</v>
      </c>
      <c r="G110" s="117">
        <v>91.3</v>
      </c>
      <c r="H110" s="117">
        <v>90</v>
      </c>
      <c r="I110" s="117">
        <v>86.8</v>
      </c>
      <c r="J110" s="117">
        <v>86</v>
      </c>
      <c r="K110" s="117">
        <v>88</v>
      </c>
      <c r="L110" s="117">
        <v>85</v>
      </c>
      <c r="M110" s="117">
        <v>77.900000000000006</v>
      </c>
      <c r="N110" s="117">
        <v>75.2</v>
      </c>
      <c r="O110" s="117">
        <v>74.599999999999994</v>
      </c>
      <c r="P110" s="117">
        <v>105</v>
      </c>
      <c r="Q110" s="117">
        <v>97</v>
      </c>
      <c r="R110" s="117">
        <v>94</v>
      </c>
      <c r="S110" s="117">
        <v>101</v>
      </c>
      <c r="T110" s="117">
        <v>95.4</v>
      </c>
      <c r="U110" s="117">
        <v>92</v>
      </c>
      <c r="V110" s="117">
        <v>71.5</v>
      </c>
      <c r="W110" s="117">
        <v>77</v>
      </c>
      <c r="X110" s="117">
        <v>80.5</v>
      </c>
      <c r="Y110" s="117">
        <v>82.7</v>
      </c>
      <c r="Z110" s="117">
        <v>77</v>
      </c>
      <c r="AA110" s="117">
        <v>82.1</v>
      </c>
      <c r="AB110" s="117">
        <v>81.599999999999994</v>
      </c>
      <c r="AC110" s="117">
        <v>75.099999999999994</v>
      </c>
      <c r="AD110" s="117">
        <v>90.2</v>
      </c>
      <c r="AE110" s="117">
        <v>90</v>
      </c>
      <c r="AF110" s="117">
        <v>85.4</v>
      </c>
      <c r="AG110" s="118"/>
      <c r="AH110" s="47">
        <f t="shared" si="10"/>
        <v>105</v>
      </c>
      <c r="AI110" s="48">
        <f t="shared" si="11"/>
        <v>71.5</v>
      </c>
    </row>
    <row r="111" spans="1:35" x14ac:dyDescent="0.25">
      <c r="A111" s="116" t="s">
        <v>119</v>
      </c>
      <c r="B111" s="117">
        <v>25.6</v>
      </c>
      <c r="C111" s="117">
        <v>23.6</v>
      </c>
      <c r="D111" s="117">
        <v>24.1</v>
      </c>
      <c r="E111" s="117">
        <v>23.2</v>
      </c>
      <c r="F111" s="117">
        <v>25.6</v>
      </c>
      <c r="G111" s="117">
        <v>26.1</v>
      </c>
      <c r="H111" s="117">
        <v>22.1</v>
      </c>
      <c r="I111" s="117">
        <v>15.8</v>
      </c>
      <c r="J111" s="117">
        <v>13.4</v>
      </c>
      <c r="K111" s="117">
        <v>5.3</v>
      </c>
      <c r="L111" s="117">
        <v>12.2</v>
      </c>
      <c r="M111" s="117">
        <v>15.8</v>
      </c>
      <c r="N111" s="117">
        <v>11.1</v>
      </c>
      <c r="O111" s="117">
        <v>10.1</v>
      </c>
      <c r="P111" s="117">
        <v>13.2</v>
      </c>
      <c r="Q111" s="117">
        <v>10</v>
      </c>
      <c r="R111" s="117">
        <v>7.2</v>
      </c>
      <c r="S111" s="117">
        <v>9</v>
      </c>
      <c r="T111" s="117">
        <v>15.2</v>
      </c>
      <c r="U111" s="117">
        <v>15</v>
      </c>
      <c r="V111" s="117">
        <v>15</v>
      </c>
      <c r="W111" s="117">
        <v>15.2</v>
      </c>
      <c r="X111" s="117">
        <v>31.4</v>
      </c>
      <c r="Y111" s="117"/>
      <c r="Z111" s="117"/>
      <c r="AA111" s="117"/>
      <c r="AB111" s="117"/>
      <c r="AC111" s="117">
        <v>28.4</v>
      </c>
      <c r="AD111" s="117">
        <v>27</v>
      </c>
      <c r="AE111" s="117"/>
      <c r="AF111" s="117"/>
      <c r="AG111" s="119"/>
      <c r="AH111" s="47">
        <f t="shared" si="10"/>
        <v>31.4</v>
      </c>
      <c r="AI111" s="48">
        <f t="shared" si="11"/>
        <v>5.3</v>
      </c>
    </row>
    <row r="112" spans="1:35" x14ac:dyDescent="0.25">
      <c r="A112" s="120" t="s">
        <v>120</v>
      </c>
      <c r="B112" s="106">
        <v>12.4</v>
      </c>
      <c r="C112" s="106">
        <v>14</v>
      </c>
      <c r="D112" s="106">
        <v>17.399999999999999</v>
      </c>
      <c r="E112" s="106">
        <v>21.9</v>
      </c>
      <c r="F112" s="106">
        <v>22</v>
      </c>
      <c r="G112" s="106">
        <v>21.4</v>
      </c>
      <c r="H112" s="106">
        <v>12.4</v>
      </c>
      <c r="I112" s="106">
        <v>0</v>
      </c>
      <c r="J112" s="106">
        <v>-19.2</v>
      </c>
      <c r="K112" s="106">
        <v>-36.799999999999997</v>
      </c>
      <c r="L112" s="106">
        <v>-50</v>
      </c>
      <c r="M112" s="106">
        <v>-55.6</v>
      </c>
      <c r="N112" s="106">
        <v>-45.2</v>
      </c>
      <c r="O112" s="106">
        <v>-24.5</v>
      </c>
      <c r="P112" s="106">
        <v>-26.5</v>
      </c>
      <c r="Q112" s="106">
        <v>-6</v>
      </c>
      <c r="R112" s="106">
        <v>-0.9</v>
      </c>
      <c r="S112" s="106">
        <v>-11.6</v>
      </c>
      <c r="T112" s="106">
        <v>-14.1</v>
      </c>
      <c r="U112" s="106">
        <v>19</v>
      </c>
      <c r="V112" s="106">
        <v>-27.9</v>
      </c>
      <c r="W112" s="106">
        <v>-39.299999999999997</v>
      </c>
      <c r="X112" s="106">
        <v>-67</v>
      </c>
      <c r="Y112" s="106">
        <v>83.6</v>
      </c>
      <c r="Z112" s="106">
        <v>-50.2</v>
      </c>
      <c r="AA112" s="106">
        <v>-42.4</v>
      </c>
      <c r="AB112" s="106">
        <v>-31.5</v>
      </c>
      <c r="AC112" s="106">
        <v>-18.399999999999999</v>
      </c>
      <c r="AD112" s="106">
        <v>-6.9</v>
      </c>
      <c r="AE112" s="106">
        <v>8.1999999999999993</v>
      </c>
      <c r="AF112" s="106">
        <v>15.1</v>
      </c>
      <c r="AG112" s="119"/>
      <c r="AH112" s="47">
        <f t="shared" si="10"/>
        <v>83.6</v>
      </c>
      <c r="AI112" s="48">
        <f t="shared" si="11"/>
        <v>-67</v>
      </c>
    </row>
    <row r="113" spans="1:37" ht="15.75" thickBot="1" x14ac:dyDescent="0.3">
      <c r="A113" s="120" t="s">
        <v>121</v>
      </c>
      <c r="B113" s="106">
        <v>12</v>
      </c>
      <c r="C113" s="106">
        <v>14.3</v>
      </c>
      <c r="D113" s="106">
        <v>18</v>
      </c>
      <c r="E113" s="106">
        <v>15.9</v>
      </c>
      <c r="F113" s="106">
        <v>13.6</v>
      </c>
      <c r="G113" s="106">
        <v>11.3</v>
      </c>
      <c r="H113" s="106">
        <v>3.5</v>
      </c>
      <c r="I113" s="106">
        <v>2</v>
      </c>
      <c r="J113" s="106">
        <v>-3.7</v>
      </c>
      <c r="K113" s="106">
        <v>-15.4</v>
      </c>
      <c r="L113" s="106">
        <v>-41.3</v>
      </c>
      <c r="M113" s="106">
        <v>-41.2</v>
      </c>
      <c r="N113" s="106">
        <v>-39.5</v>
      </c>
      <c r="O113" s="106">
        <v>-38.299999999999997</v>
      </c>
      <c r="P113" s="106">
        <v>-4.2</v>
      </c>
      <c r="Q113" s="106">
        <v>5.3</v>
      </c>
      <c r="R113" s="106">
        <v>4.5</v>
      </c>
      <c r="S113" s="106">
        <v>3.4</v>
      </c>
      <c r="T113" s="106">
        <v>4.2</v>
      </c>
      <c r="U113" s="106">
        <v>15</v>
      </c>
      <c r="V113" s="106">
        <v>-38.700000000000003</v>
      </c>
      <c r="W113" s="106">
        <v>-42.4</v>
      </c>
      <c r="X113" s="106">
        <v>-42</v>
      </c>
      <c r="Y113" s="106"/>
      <c r="Z113" s="106">
        <v>-39.700000000000003</v>
      </c>
      <c r="AA113" s="106">
        <v>-44.3</v>
      </c>
      <c r="AB113" s="106">
        <v>-46.6</v>
      </c>
      <c r="AC113" s="106">
        <v>-14.1</v>
      </c>
      <c r="AD113" s="106">
        <v>-3.6</v>
      </c>
      <c r="AE113" s="106">
        <v>5.6</v>
      </c>
      <c r="AF113" s="106">
        <v>18.7</v>
      </c>
      <c r="AG113" s="119"/>
      <c r="AH113" s="47">
        <f t="shared" si="10"/>
        <v>18.7</v>
      </c>
      <c r="AI113" s="48">
        <f t="shared" si="11"/>
        <v>-46.6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665" t="s">
        <v>713</v>
      </c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8">SUM(B115:B219)</f>
        <v>0</v>
      </c>
      <c r="C220" s="136">
        <f t="shared" si="18"/>
        <v>0</v>
      </c>
      <c r="D220" s="136">
        <f t="shared" si="18"/>
        <v>0</v>
      </c>
      <c r="E220" s="136">
        <f t="shared" si="18"/>
        <v>0</v>
      </c>
      <c r="F220" s="136">
        <f t="shared" si="18"/>
        <v>0</v>
      </c>
      <c r="G220" s="136">
        <f t="shared" si="18"/>
        <v>0</v>
      </c>
      <c r="H220" s="136">
        <f t="shared" si="18"/>
        <v>0</v>
      </c>
      <c r="I220" s="136">
        <f t="shared" si="18"/>
        <v>0</v>
      </c>
      <c r="J220" s="136">
        <f t="shared" si="18"/>
        <v>0</v>
      </c>
      <c r="K220" s="136">
        <f t="shared" si="18"/>
        <v>0</v>
      </c>
      <c r="L220" s="136">
        <f t="shared" si="18"/>
        <v>0</v>
      </c>
      <c r="M220" s="136">
        <f t="shared" si="18"/>
        <v>0</v>
      </c>
      <c r="N220" s="136">
        <f t="shared" si="18"/>
        <v>0</v>
      </c>
      <c r="O220" s="136">
        <f t="shared" si="18"/>
        <v>0</v>
      </c>
      <c r="P220" s="136">
        <f t="shared" si="18"/>
        <v>0</v>
      </c>
      <c r="Q220" s="136">
        <f t="shared" si="18"/>
        <v>0</v>
      </c>
      <c r="R220" s="136">
        <f t="shared" si="18"/>
        <v>0</v>
      </c>
      <c r="S220" s="136">
        <f t="shared" si="18"/>
        <v>0</v>
      </c>
      <c r="T220" s="136">
        <f t="shared" si="18"/>
        <v>0</v>
      </c>
      <c r="U220" s="136">
        <f t="shared" si="18"/>
        <v>0</v>
      </c>
      <c r="V220" s="136">
        <f t="shared" si="18"/>
        <v>0</v>
      </c>
      <c r="W220" s="136">
        <f t="shared" si="18"/>
        <v>0</v>
      </c>
      <c r="X220" s="136">
        <f t="shared" si="18"/>
        <v>0</v>
      </c>
      <c r="Y220" s="136">
        <f t="shared" si="18"/>
        <v>0</v>
      </c>
      <c r="Z220" s="136">
        <f t="shared" si="18"/>
        <v>0</v>
      </c>
      <c r="AA220" s="136">
        <f t="shared" si="18"/>
        <v>0</v>
      </c>
      <c r="AB220" s="136">
        <f t="shared" si="18"/>
        <v>0</v>
      </c>
      <c r="AC220" s="136">
        <f t="shared" si="18"/>
        <v>0</v>
      </c>
      <c r="AD220" s="136">
        <f t="shared" si="18"/>
        <v>0</v>
      </c>
      <c r="AE220" s="136">
        <f t="shared" si="18"/>
        <v>0</v>
      </c>
      <c r="AF220" s="137">
        <f t="shared" si="18"/>
        <v>0</v>
      </c>
      <c r="AG220" s="138">
        <f t="shared" si="18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9">AF222</f>
        <v>0</v>
      </c>
      <c r="C222" s="140">
        <v>0.3</v>
      </c>
      <c r="D222" s="140">
        <f t="shared" ref="D222:P227" si="20">C222</f>
        <v>0.3</v>
      </c>
      <c r="E222" s="140">
        <f t="shared" si="20"/>
        <v>0.3</v>
      </c>
      <c r="F222" s="140">
        <f t="shared" si="20"/>
        <v>0.3</v>
      </c>
      <c r="G222" s="140">
        <f t="shared" si="20"/>
        <v>0.3</v>
      </c>
      <c r="H222" s="140">
        <f t="shared" si="20"/>
        <v>0.3</v>
      </c>
      <c r="I222" s="140">
        <f t="shared" si="20"/>
        <v>0.3</v>
      </c>
      <c r="J222" s="140">
        <f t="shared" si="20"/>
        <v>0.3</v>
      </c>
      <c r="K222" s="140">
        <f t="shared" si="20"/>
        <v>0.3</v>
      </c>
      <c r="L222" s="140">
        <f t="shared" si="20"/>
        <v>0.3</v>
      </c>
      <c r="M222" s="140">
        <f t="shared" si="20"/>
        <v>0.3</v>
      </c>
      <c r="N222" s="140">
        <f t="shared" si="20"/>
        <v>0.3</v>
      </c>
      <c r="O222" s="140">
        <f t="shared" si="20"/>
        <v>0.3</v>
      </c>
      <c r="P222" s="140">
        <f t="shared" si="20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9"/>
        <v>0</v>
      </c>
      <c r="C223" s="128">
        <v>0.4</v>
      </c>
      <c r="D223" s="128">
        <f t="shared" si="20"/>
        <v>0.4</v>
      </c>
      <c r="E223" s="128">
        <f t="shared" si="20"/>
        <v>0.4</v>
      </c>
      <c r="F223" s="128">
        <f t="shared" si="20"/>
        <v>0.4</v>
      </c>
      <c r="G223" s="128">
        <f t="shared" si="20"/>
        <v>0.4</v>
      </c>
      <c r="H223" s="128">
        <f t="shared" si="20"/>
        <v>0.4</v>
      </c>
      <c r="I223" s="128">
        <f t="shared" si="20"/>
        <v>0.4</v>
      </c>
      <c r="J223" s="128">
        <f t="shared" si="20"/>
        <v>0.4</v>
      </c>
      <c r="K223" s="128">
        <f t="shared" si="20"/>
        <v>0.4</v>
      </c>
      <c r="L223" s="128">
        <f t="shared" si="20"/>
        <v>0.4</v>
      </c>
      <c r="M223" s="128">
        <f t="shared" si="20"/>
        <v>0.4</v>
      </c>
      <c r="N223" s="128">
        <f t="shared" si="20"/>
        <v>0.4</v>
      </c>
      <c r="O223" s="128">
        <f t="shared" si="20"/>
        <v>0.4</v>
      </c>
      <c r="P223" s="128">
        <f t="shared" si="20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9"/>
        <v>0</v>
      </c>
      <c r="C224" s="128">
        <v>1.5</v>
      </c>
      <c r="D224" s="128">
        <f t="shared" si="20"/>
        <v>1.5</v>
      </c>
      <c r="E224" s="128">
        <f t="shared" si="20"/>
        <v>1.5</v>
      </c>
      <c r="F224" s="128">
        <f t="shared" si="20"/>
        <v>1.5</v>
      </c>
      <c r="G224" s="128">
        <f t="shared" si="20"/>
        <v>1.5</v>
      </c>
      <c r="H224" s="128">
        <f t="shared" si="20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20"/>
        <v>1.5</v>
      </c>
      <c r="K224" s="128">
        <f t="shared" ca="1" si="20"/>
        <v>1.5</v>
      </c>
      <c r="L224" s="128">
        <f t="shared" ca="1" si="20"/>
        <v>1.5</v>
      </c>
      <c r="M224" s="128">
        <f t="shared" ca="1" si="20"/>
        <v>1.5</v>
      </c>
      <c r="N224" s="128">
        <f t="shared" ca="1" si="20"/>
        <v>1.5</v>
      </c>
      <c r="O224" s="128">
        <f t="shared" ca="1" si="20"/>
        <v>1.5</v>
      </c>
      <c r="P224" s="128">
        <f t="shared" ca="1" si="20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9"/>
        <v>0</v>
      </c>
      <c r="C225" s="128">
        <v>0.3</v>
      </c>
      <c r="D225" s="128">
        <f t="shared" si="20"/>
        <v>0.3</v>
      </c>
      <c r="E225" s="128">
        <f t="shared" si="20"/>
        <v>0.3</v>
      </c>
      <c r="F225" s="128">
        <f t="shared" si="20"/>
        <v>0.3</v>
      </c>
      <c r="G225" s="128">
        <f t="shared" si="20"/>
        <v>0.3</v>
      </c>
      <c r="H225" s="128">
        <f t="shared" si="20"/>
        <v>0.3</v>
      </c>
      <c r="I225" s="128">
        <f t="shared" si="20"/>
        <v>0.3</v>
      </c>
      <c r="J225" s="128">
        <f t="shared" si="20"/>
        <v>0.3</v>
      </c>
      <c r="K225" s="128">
        <f t="shared" si="20"/>
        <v>0.3</v>
      </c>
      <c r="L225" s="128">
        <f t="shared" si="20"/>
        <v>0.3</v>
      </c>
      <c r="M225" s="128">
        <f t="shared" si="20"/>
        <v>0.3</v>
      </c>
      <c r="N225" s="128">
        <f t="shared" si="20"/>
        <v>0.3</v>
      </c>
      <c r="O225" s="128">
        <f t="shared" si="20"/>
        <v>0.3</v>
      </c>
      <c r="P225" s="128">
        <f t="shared" si="20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9"/>
        <v>0</v>
      </c>
      <c r="C226" s="128">
        <v>0.4</v>
      </c>
      <c r="D226" s="128">
        <f t="shared" si="20"/>
        <v>0.4</v>
      </c>
      <c r="E226" s="128">
        <f t="shared" si="20"/>
        <v>0.4</v>
      </c>
      <c r="F226" s="128">
        <f t="shared" si="20"/>
        <v>0.4</v>
      </c>
      <c r="G226" s="128">
        <f t="shared" si="20"/>
        <v>0.4</v>
      </c>
      <c r="H226" s="128">
        <f t="shared" si="20"/>
        <v>0.4</v>
      </c>
      <c r="I226" s="128">
        <f t="shared" si="20"/>
        <v>0.4</v>
      </c>
      <c r="J226" s="128">
        <f t="shared" si="20"/>
        <v>0.4</v>
      </c>
      <c r="K226" s="128">
        <f t="shared" si="20"/>
        <v>0.4</v>
      </c>
      <c r="L226" s="128">
        <f t="shared" si="20"/>
        <v>0.4</v>
      </c>
      <c r="M226" s="128">
        <f t="shared" si="20"/>
        <v>0.4</v>
      </c>
      <c r="N226" s="128">
        <f t="shared" si="20"/>
        <v>0.4</v>
      </c>
      <c r="O226" s="128">
        <f t="shared" si="20"/>
        <v>0.4</v>
      </c>
      <c r="P226" s="128">
        <f t="shared" si="20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9"/>
        <v>0</v>
      </c>
      <c r="C227" s="132">
        <v>0.64</v>
      </c>
      <c r="D227" s="132">
        <f t="shared" si="20"/>
        <v>0.64</v>
      </c>
      <c r="E227" s="132">
        <f t="shared" si="20"/>
        <v>0.64</v>
      </c>
      <c r="F227" s="132">
        <f t="shared" si="20"/>
        <v>0.64</v>
      </c>
      <c r="G227" s="132">
        <f t="shared" si="20"/>
        <v>0.64</v>
      </c>
      <c r="H227" s="132">
        <f t="shared" si="20"/>
        <v>0.64</v>
      </c>
      <c r="I227" s="132">
        <f t="shared" si="20"/>
        <v>0.64</v>
      </c>
      <c r="J227" s="132">
        <f t="shared" si="20"/>
        <v>0.64</v>
      </c>
      <c r="K227" s="132">
        <f t="shared" si="20"/>
        <v>0.64</v>
      </c>
      <c r="L227" s="132">
        <f t="shared" si="20"/>
        <v>0.64</v>
      </c>
      <c r="M227" s="132">
        <f t="shared" si="20"/>
        <v>0.64</v>
      </c>
      <c r="N227" s="132">
        <f t="shared" si="20"/>
        <v>0.64</v>
      </c>
      <c r="O227" s="132">
        <f t="shared" si="20"/>
        <v>0.64</v>
      </c>
      <c r="P227" s="132">
        <f t="shared" si="20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21">SUM(B222:B227)</f>
        <v>0</v>
      </c>
      <c r="C228" s="136">
        <f t="shared" si="21"/>
        <v>3.54</v>
      </c>
      <c r="D228" s="136">
        <f t="shared" si="21"/>
        <v>3.54</v>
      </c>
      <c r="E228" s="136">
        <f t="shared" si="21"/>
        <v>3.54</v>
      </c>
      <c r="F228" s="136">
        <f t="shared" si="21"/>
        <v>3.54</v>
      </c>
      <c r="G228" s="136">
        <f t="shared" si="21"/>
        <v>3.54</v>
      </c>
      <c r="H228" s="136">
        <f t="shared" si="21"/>
        <v>3.54</v>
      </c>
      <c r="I228" s="136">
        <f t="shared" ca="1" si="21"/>
        <v>3.54</v>
      </c>
      <c r="J228" s="136">
        <f t="shared" ca="1" si="21"/>
        <v>3.54</v>
      </c>
      <c r="K228" s="136">
        <f t="shared" ca="1" si="21"/>
        <v>3.54</v>
      </c>
      <c r="L228" s="136">
        <f t="shared" ca="1" si="21"/>
        <v>3.54</v>
      </c>
      <c r="M228" s="136">
        <f t="shared" ca="1" si="21"/>
        <v>3.54</v>
      </c>
      <c r="N228" s="136">
        <f t="shared" ca="1" si="21"/>
        <v>3.54</v>
      </c>
      <c r="O228" s="136">
        <f t="shared" ca="1" si="21"/>
        <v>3.54</v>
      </c>
      <c r="P228" s="136">
        <f t="shared" ca="1" si="21"/>
        <v>3.54</v>
      </c>
      <c r="Q228" s="136">
        <f t="shared" si="21"/>
        <v>0</v>
      </c>
      <c r="R228" s="136">
        <f t="shared" si="21"/>
        <v>0</v>
      </c>
      <c r="S228" s="136">
        <f t="shared" si="21"/>
        <v>0</v>
      </c>
      <c r="T228" s="136">
        <f t="shared" si="21"/>
        <v>0</v>
      </c>
      <c r="U228" s="136">
        <f t="shared" si="21"/>
        <v>0</v>
      </c>
      <c r="V228" s="136">
        <f t="shared" si="21"/>
        <v>0</v>
      </c>
      <c r="W228" s="136">
        <f t="shared" si="21"/>
        <v>0</v>
      </c>
      <c r="X228" s="136">
        <f t="shared" si="21"/>
        <v>0</v>
      </c>
      <c r="Y228" s="136">
        <f t="shared" si="21"/>
        <v>0</v>
      </c>
      <c r="Z228" s="136">
        <f t="shared" si="21"/>
        <v>0</v>
      </c>
      <c r="AA228" s="136">
        <f t="shared" si="21"/>
        <v>0</v>
      </c>
      <c r="AB228" s="136">
        <f t="shared" si="21"/>
        <v>0</v>
      </c>
      <c r="AC228" s="136">
        <f t="shared" si="21"/>
        <v>0</v>
      </c>
      <c r="AD228" s="136">
        <f t="shared" si="21"/>
        <v>0</v>
      </c>
      <c r="AE228" s="136">
        <f t="shared" si="21"/>
        <v>0</v>
      </c>
      <c r="AF228" s="136">
        <f t="shared" si="21"/>
        <v>0</v>
      </c>
      <c r="AG228" s="145">
        <f t="shared" si="21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1560.44</v>
      </c>
      <c r="C237" s="161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22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str">
        <f ca="1">"Pie Chart of Daily Peak Demand(Inclusive of Export) of Nepal ("&amp;A4&amp;" "&amp;B4&amp;")"</f>
        <v>Pie Chart of Daily Peak Demand(Inclusive of Export) of Nepal (Nepali Date: 2079/09/22)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2079/09/22)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2">B85</f>
        <v>981.64</v>
      </c>
      <c r="U242" s="170">
        <f t="shared" si="22"/>
        <v>949.24</v>
      </c>
      <c r="V242" s="170">
        <f t="shared" si="22"/>
        <v>947.24</v>
      </c>
      <c r="W242" s="170">
        <f t="shared" si="22"/>
        <v>919.54</v>
      </c>
      <c r="X242" s="170">
        <f t="shared" si="22"/>
        <v>944.33999999999992</v>
      </c>
      <c r="Y242" s="170">
        <f t="shared" si="22"/>
        <v>1011.14</v>
      </c>
      <c r="Z242" s="170">
        <f t="shared" si="22"/>
        <v>1062.44</v>
      </c>
      <c r="AA242" s="170">
        <f t="shared" si="22"/>
        <v>1134.94</v>
      </c>
      <c r="AB242" s="170">
        <f t="shared" si="22"/>
        <v>1226.5400000000002</v>
      </c>
      <c r="AC242" s="170">
        <f t="shared" si="22"/>
        <v>1440.7400000000002</v>
      </c>
      <c r="AD242" s="170">
        <f t="shared" si="22"/>
        <v>1409.74</v>
      </c>
      <c r="AE242" s="170">
        <f t="shared" si="22"/>
        <v>1560.44</v>
      </c>
      <c r="AF242" s="170">
        <f t="shared" si="22"/>
        <v>1448.3400000000001</v>
      </c>
      <c r="AG242" s="170">
        <f t="shared" si="22"/>
        <v>1334.64</v>
      </c>
      <c r="AH242" s="170">
        <f t="shared" si="22"/>
        <v>1345.94</v>
      </c>
      <c r="AI242" s="170">
        <f t="shared" si="22"/>
        <v>1323.14</v>
      </c>
      <c r="AJ242" s="170">
        <f t="shared" si="22"/>
        <v>1273.1400000000001</v>
      </c>
      <c r="AK242" s="170">
        <f t="shared" si="22"/>
        <v>1298.8400000000001</v>
      </c>
      <c r="AL242" s="170">
        <f t="shared" si="22"/>
        <v>1302.24</v>
      </c>
      <c r="AM242" s="170">
        <f t="shared" si="22"/>
        <v>1339.54</v>
      </c>
      <c r="AN242" s="170">
        <f t="shared" si="22"/>
        <v>1357.44</v>
      </c>
      <c r="AO242" s="170">
        <f t="shared" si="22"/>
        <v>1370.34</v>
      </c>
      <c r="AP242" s="170">
        <f t="shared" si="22"/>
        <v>1442.3400000000001</v>
      </c>
      <c r="AQ242" s="170">
        <f t="shared" si="22"/>
        <v>1597.3000000000002</v>
      </c>
      <c r="AR242" s="170">
        <f t="shared" si="22"/>
        <v>1582.6399999999999</v>
      </c>
      <c r="AS242" s="170">
        <f t="shared" si="22"/>
        <v>1509.1399999999999</v>
      </c>
      <c r="AT242" s="170">
        <f t="shared" si="22"/>
        <v>1404.1399999999999</v>
      </c>
      <c r="AU242" s="170">
        <f t="shared" si="22"/>
        <v>1230.6399999999999</v>
      </c>
      <c r="AV242" s="170">
        <f t="shared" si="22"/>
        <v>1269.94</v>
      </c>
      <c r="AW242" s="170">
        <f t="shared" si="22"/>
        <v>1145.94</v>
      </c>
      <c r="AX242" s="170">
        <f t="shared" si="22"/>
        <v>1083.1399999999999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3">C227</f>
        <v>0.64</v>
      </c>
      <c r="C263" s="173">
        <f t="shared" si="23"/>
        <v>0.64</v>
      </c>
      <c r="D263" s="173">
        <f t="shared" si="23"/>
        <v>0.64</v>
      </c>
      <c r="E263" s="173">
        <f t="shared" si="23"/>
        <v>0.64</v>
      </c>
      <c r="F263" s="173">
        <f t="shared" si="23"/>
        <v>0.64</v>
      </c>
      <c r="G263" s="173">
        <f t="shared" si="23"/>
        <v>0.64</v>
      </c>
      <c r="H263" s="173">
        <f t="shared" si="23"/>
        <v>0.64</v>
      </c>
      <c r="I263" s="173">
        <f t="shared" si="23"/>
        <v>0.64</v>
      </c>
      <c r="J263" s="173">
        <f t="shared" si="23"/>
        <v>0.64</v>
      </c>
      <c r="K263" s="173">
        <f t="shared" si="23"/>
        <v>0.64</v>
      </c>
      <c r="L263" s="173">
        <f t="shared" si="23"/>
        <v>0.64</v>
      </c>
      <c r="M263" s="173">
        <f t="shared" si="23"/>
        <v>0.64</v>
      </c>
      <c r="N263" s="173">
        <f t="shared" si="23"/>
        <v>0.64</v>
      </c>
      <c r="O263" s="173">
        <f t="shared" si="23"/>
        <v>0.64</v>
      </c>
      <c r="P263" s="173">
        <f t="shared" si="23"/>
        <v>0</v>
      </c>
      <c r="Q263" s="173">
        <f t="shared" si="23"/>
        <v>0</v>
      </c>
      <c r="R263" s="173">
        <f t="shared" si="23"/>
        <v>0</v>
      </c>
      <c r="S263" s="173">
        <f t="shared" si="23"/>
        <v>0</v>
      </c>
      <c r="T263" s="173">
        <f t="shared" si="23"/>
        <v>0</v>
      </c>
      <c r="U263" s="173">
        <f t="shared" si="23"/>
        <v>0</v>
      </c>
      <c r="V263" s="173">
        <f t="shared" si="23"/>
        <v>0</v>
      </c>
      <c r="W263" s="173">
        <f t="shared" si="23"/>
        <v>0</v>
      </c>
      <c r="X263" s="173">
        <f t="shared" si="23"/>
        <v>0</v>
      </c>
      <c r="Y263" s="173">
        <f t="shared" si="23"/>
        <v>0</v>
      </c>
      <c r="Z263" s="173">
        <f t="shared" si="23"/>
        <v>0</v>
      </c>
      <c r="AA263" s="173">
        <f t="shared" si="23"/>
        <v>0</v>
      </c>
      <c r="AB263" s="173">
        <f t="shared" si="23"/>
        <v>0</v>
      </c>
      <c r="AC263" s="173">
        <f t="shared" si="23"/>
        <v>0</v>
      </c>
      <c r="AD263" s="173">
        <f t="shared" si="23"/>
        <v>0</v>
      </c>
      <c r="AE263" s="173">
        <f t="shared" si="23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4">IF(B231&lt;100,"",B231-520)</f>
        <v/>
      </c>
      <c r="C264" s="174" t="str">
        <f t="shared" si="24"/>
        <v/>
      </c>
      <c r="D264" s="174" t="str">
        <f t="shared" si="24"/>
        <v/>
      </c>
      <c r="E264" s="174" t="str">
        <f t="shared" si="24"/>
        <v/>
      </c>
      <c r="F264" s="174" t="str">
        <f t="shared" si="24"/>
        <v/>
      </c>
      <c r="G264" s="174" t="str">
        <f t="shared" si="24"/>
        <v/>
      </c>
      <c r="H264" s="174" t="str">
        <f t="shared" si="24"/>
        <v/>
      </c>
      <c r="I264" s="174" t="str">
        <f t="shared" si="24"/>
        <v/>
      </c>
      <c r="J264" s="174" t="str">
        <f t="shared" si="24"/>
        <v/>
      </c>
      <c r="K264" s="174" t="str">
        <f t="shared" si="24"/>
        <v/>
      </c>
      <c r="L264" s="174" t="str">
        <f t="shared" si="24"/>
        <v/>
      </c>
      <c r="M264" s="174" t="str">
        <f t="shared" si="24"/>
        <v/>
      </c>
      <c r="N264" s="174" t="str">
        <f t="shared" si="24"/>
        <v/>
      </c>
      <c r="O264" s="174" t="str">
        <f t="shared" si="24"/>
        <v/>
      </c>
      <c r="P264" s="174" t="str">
        <f t="shared" si="24"/>
        <v/>
      </c>
      <c r="Q264" s="174" t="str">
        <f t="shared" si="24"/>
        <v/>
      </c>
      <c r="R264" s="174" t="str">
        <f t="shared" si="24"/>
        <v/>
      </c>
      <c r="S264" s="174" t="str">
        <f t="shared" si="24"/>
        <v/>
      </c>
      <c r="T264" s="174" t="str">
        <f t="shared" si="24"/>
        <v/>
      </c>
      <c r="U264" s="174" t="str">
        <f t="shared" si="24"/>
        <v/>
      </c>
      <c r="V264" s="174" t="str">
        <f t="shared" si="24"/>
        <v/>
      </c>
      <c r="W264" s="174" t="str">
        <f t="shared" si="24"/>
        <v/>
      </c>
      <c r="X264" s="174" t="str">
        <f t="shared" si="24"/>
        <v/>
      </c>
      <c r="Y264" s="174" t="str">
        <f t="shared" si="24"/>
        <v/>
      </c>
      <c r="Z264" s="174" t="str">
        <f t="shared" si="24"/>
        <v/>
      </c>
      <c r="AA264" s="174" t="str">
        <f t="shared" si="24"/>
        <v/>
      </c>
      <c r="AB264" s="174" t="str">
        <f t="shared" si="24"/>
        <v/>
      </c>
      <c r="AC264" s="174" t="str">
        <f t="shared" si="24"/>
        <v/>
      </c>
      <c r="AD264" s="174" t="str">
        <f t="shared" si="24"/>
        <v/>
      </c>
      <c r="AE264" s="174" t="str">
        <f t="shared" si="24"/>
        <v/>
      </c>
      <c r="AF264" s="174" t="str">
        <f t="shared" si="24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5">IF(B232&lt;100,"",B232-620)</f>
        <v/>
      </c>
      <c r="C265" s="174" t="str">
        <f t="shared" si="25"/>
        <v/>
      </c>
      <c r="D265" s="174" t="str">
        <f t="shared" si="25"/>
        <v/>
      </c>
      <c r="E265" s="174" t="str">
        <f t="shared" si="25"/>
        <v/>
      </c>
      <c r="F265" s="174" t="str">
        <f t="shared" si="25"/>
        <v/>
      </c>
      <c r="G265" s="174" t="str">
        <f t="shared" si="25"/>
        <v/>
      </c>
      <c r="H265" s="174" t="str">
        <f t="shared" si="25"/>
        <v/>
      </c>
      <c r="I265" s="174" t="str">
        <f t="shared" si="25"/>
        <v/>
      </c>
      <c r="J265" s="174" t="str">
        <f t="shared" si="25"/>
        <v/>
      </c>
      <c r="K265" s="174" t="str">
        <f t="shared" si="25"/>
        <v/>
      </c>
      <c r="L265" s="174" t="str">
        <f t="shared" si="25"/>
        <v/>
      </c>
      <c r="M265" s="174" t="str">
        <f t="shared" si="25"/>
        <v/>
      </c>
      <c r="N265" s="174" t="str">
        <f t="shared" si="25"/>
        <v/>
      </c>
      <c r="O265" s="174" t="str">
        <f t="shared" si="25"/>
        <v/>
      </c>
      <c r="P265" s="174" t="str">
        <f t="shared" si="25"/>
        <v/>
      </c>
      <c r="Q265" s="174" t="str">
        <f t="shared" si="25"/>
        <v/>
      </c>
      <c r="R265" s="174" t="str">
        <f t="shared" si="25"/>
        <v/>
      </c>
      <c r="S265" s="174" t="str">
        <f t="shared" si="25"/>
        <v/>
      </c>
      <c r="T265" s="174" t="str">
        <f t="shared" si="25"/>
        <v/>
      </c>
      <c r="U265" s="174" t="str">
        <f t="shared" si="25"/>
        <v/>
      </c>
      <c r="V265" s="174" t="str">
        <f t="shared" si="25"/>
        <v/>
      </c>
      <c r="W265" s="174" t="str">
        <f t="shared" si="25"/>
        <v/>
      </c>
      <c r="X265" s="174" t="str">
        <f t="shared" si="25"/>
        <v/>
      </c>
      <c r="Y265" s="174" t="str">
        <f t="shared" si="25"/>
        <v/>
      </c>
      <c r="Z265" s="174" t="str">
        <f t="shared" si="25"/>
        <v/>
      </c>
      <c r="AA265" s="174" t="str">
        <f t="shared" si="25"/>
        <v/>
      </c>
      <c r="AB265" s="174" t="str">
        <f t="shared" si="25"/>
        <v/>
      </c>
      <c r="AC265" s="174" t="str">
        <f t="shared" si="25"/>
        <v/>
      </c>
      <c r="AD265" s="174" t="str">
        <f t="shared" si="25"/>
        <v/>
      </c>
      <c r="AE265" s="174" t="str">
        <f t="shared" si="25"/>
        <v/>
      </c>
      <c r="AF265" s="174" t="str">
        <f t="shared" si="25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6">IF(B233&lt;100,"",B233-330)</f>
        <v/>
      </c>
      <c r="C266" s="174" t="str">
        <f t="shared" si="26"/>
        <v/>
      </c>
      <c r="D266" s="174" t="str">
        <f t="shared" si="26"/>
        <v/>
      </c>
      <c r="E266" s="174" t="str">
        <f t="shared" si="26"/>
        <v/>
      </c>
      <c r="F266" s="174" t="str">
        <f t="shared" si="26"/>
        <v/>
      </c>
      <c r="G266" s="174" t="str">
        <f t="shared" si="26"/>
        <v/>
      </c>
      <c r="H266" s="174" t="str">
        <f t="shared" si="26"/>
        <v/>
      </c>
      <c r="I266" s="174" t="str">
        <f t="shared" si="26"/>
        <v/>
      </c>
      <c r="J266" s="174" t="str">
        <f t="shared" si="26"/>
        <v/>
      </c>
      <c r="K266" s="174" t="str">
        <f t="shared" si="26"/>
        <v/>
      </c>
      <c r="L266" s="174" t="str">
        <f t="shared" si="26"/>
        <v/>
      </c>
      <c r="M266" s="174" t="str">
        <f t="shared" si="26"/>
        <v/>
      </c>
      <c r="N266" s="174" t="str">
        <f t="shared" si="26"/>
        <v/>
      </c>
      <c r="O266" s="174" t="str">
        <f t="shared" si="26"/>
        <v/>
      </c>
      <c r="P266" s="174" t="str">
        <f t="shared" si="26"/>
        <v/>
      </c>
      <c r="Q266" s="174" t="str">
        <f t="shared" si="26"/>
        <v/>
      </c>
      <c r="R266" s="174" t="str">
        <f t="shared" si="26"/>
        <v/>
      </c>
      <c r="S266" s="174" t="str">
        <f t="shared" si="26"/>
        <v/>
      </c>
      <c r="T266" s="174" t="str">
        <f t="shared" si="26"/>
        <v/>
      </c>
      <c r="U266" s="174" t="str">
        <f t="shared" si="26"/>
        <v/>
      </c>
      <c r="V266" s="174" t="str">
        <f t="shared" si="26"/>
        <v/>
      </c>
      <c r="W266" s="174" t="str">
        <f t="shared" si="26"/>
        <v/>
      </c>
      <c r="X266" s="174" t="str">
        <f t="shared" si="26"/>
        <v/>
      </c>
      <c r="Y266" s="174" t="str">
        <f t="shared" si="26"/>
        <v/>
      </c>
      <c r="Z266" s="174" t="str">
        <f t="shared" si="26"/>
        <v/>
      </c>
      <c r="AA266" s="174" t="str">
        <f t="shared" si="26"/>
        <v/>
      </c>
      <c r="AB266" s="174" t="str">
        <f t="shared" si="26"/>
        <v/>
      </c>
      <c r="AC266" s="174" t="str">
        <f t="shared" si="26"/>
        <v/>
      </c>
      <c r="AD266" s="174" t="str">
        <f t="shared" si="26"/>
        <v/>
      </c>
      <c r="AE266" s="174" t="str">
        <f t="shared" si="26"/>
        <v/>
      </c>
      <c r="AF266" s="174" t="str">
        <f t="shared" si="26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7">IF(B234&lt;100,"",B234-1500)</f>
        <v/>
      </c>
      <c r="C267" s="174" t="str">
        <f t="shared" si="27"/>
        <v/>
      </c>
      <c r="D267" s="174" t="str">
        <f t="shared" si="27"/>
        <v/>
      </c>
      <c r="E267" s="174" t="str">
        <f t="shared" si="27"/>
        <v/>
      </c>
      <c r="F267" s="174" t="str">
        <f t="shared" si="27"/>
        <v/>
      </c>
      <c r="G267" s="174" t="str">
        <f t="shared" si="27"/>
        <v/>
      </c>
      <c r="H267" s="174" t="str">
        <f t="shared" si="27"/>
        <v/>
      </c>
      <c r="I267" s="174" t="str">
        <f t="shared" si="27"/>
        <v/>
      </c>
      <c r="J267" s="174" t="str">
        <f t="shared" si="27"/>
        <v/>
      </c>
      <c r="K267" s="174" t="str">
        <f t="shared" si="27"/>
        <v/>
      </c>
      <c r="L267" s="174" t="str">
        <f t="shared" si="27"/>
        <v/>
      </c>
      <c r="M267" s="174" t="str">
        <f t="shared" si="27"/>
        <v/>
      </c>
      <c r="N267" s="174" t="str">
        <f t="shared" si="27"/>
        <v/>
      </c>
      <c r="O267" s="174" t="str">
        <f t="shared" si="27"/>
        <v/>
      </c>
      <c r="P267" s="174" t="str">
        <f t="shared" si="27"/>
        <v/>
      </c>
      <c r="Q267" s="174" t="str">
        <f t="shared" si="27"/>
        <v/>
      </c>
      <c r="R267" s="174" t="str">
        <f t="shared" si="27"/>
        <v/>
      </c>
      <c r="S267" s="174" t="str">
        <f t="shared" si="27"/>
        <v/>
      </c>
      <c r="T267" s="174" t="str">
        <f t="shared" si="27"/>
        <v/>
      </c>
      <c r="U267" s="174" t="str">
        <f t="shared" si="27"/>
        <v/>
      </c>
      <c r="V267" s="174" t="str">
        <f t="shared" si="27"/>
        <v/>
      </c>
      <c r="W267" s="174" t="str">
        <f t="shared" si="27"/>
        <v/>
      </c>
      <c r="X267" s="174" t="str">
        <f t="shared" si="27"/>
        <v/>
      </c>
      <c r="Y267" s="174" t="str">
        <f t="shared" si="27"/>
        <v/>
      </c>
      <c r="Z267" s="174" t="str">
        <f t="shared" si="27"/>
        <v/>
      </c>
      <c r="AA267" s="174" t="str">
        <f t="shared" si="27"/>
        <v/>
      </c>
      <c r="AB267" s="174" t="str">
        <f t="shared" si="27"/>
        <v/>
      </c>
      <c r="AC267" s="174" t="str">
        <f t="shared" si="27"/>
        <v/>
      </c>
      <c r="AD267" s="174" t="str">
        <f t="shared" si="27"/>
        <v/>
      </c>
      <c r="AE267" s="174" t="str">
        <f t="shared" si="27"/>
        <v/>
      </c>
      <c r="AF267" s="174" t="str">
        <f t="shared" si="27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5:AF105 D107:AF112 Y11:AF40">
    <cfRule type="expression" dxfId="3774" priority="234">
      <formula>B$9&gt;=20/24</formula>
    </cfRule>
    <cfRule type="expression" dxfId="3773" priority="235">
      <formula>AND(B$9&gt;=14/24,B$9&lt;20/24)</formula>
    </cfRule>
    <cfRule type="expression" dxfId="3772" priority="236">
      <formula>AND(B$9&gt;=8/24,B$9&lt;14/24)</formula>
    </cfRule>
    <cfRule type="expression" dxfId="3771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G61 Y11:AF40">
    <cfRule type="expression" dxfId="3770" priority="232">
      <formula>Y11&gt;$AG11</formula>
    </cfRule>
  </conditionalFormatting>
  <conditionalFormatting sqref="A95:A105 A55:A82 A91:A93 A198:A228 A42:A53 A114:A185 A38:A39 A87:A89 A84:A85 A107:A109 A35:A36 A17:A18 A11:A15 A20:A33">
    <cfRule type="expression" dxfId="3769" priority="231">
      <formula>$AH11=0</formula>
    </cfRule>
  </conditionalFormatting>
  <conditionalFormatting sqref="A110">
    <cfRule type="expression" dxfId="3768" priority="230">
      <formula>$AH110=0</formula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3767" priority="228">
      <formula>$AH41=0</formula>
    </cfRule>
  </conditionalFormatting>
  <conditionalFormatting sqref="A94">
    <cfRule type="expression" dxfId="3766" priority="227">
      <formula>$AH94=0</formula>
    </cfRule>
  </conditionalFormatting>
  <conditionalFormatting sqref="A16">
    <cfRule type="expression" dxfId="3765" priority="226">
      <formula>$AH16=0</formula>
    </cfRule>
  </conditionalFormatting>
  <conditionalFormatting sqref="A192:A197">
    <cfRule type="expression" dxfId="3764" priority="225">
      <formula>$AH192=0</formula>
    </cfRule>
  </conditionalFormatting>
  <conditionalFormatting sqref="A186:A191">
    <cfRule type="expression" dxfId="3763" priority="224">
      <formula>$AH186=0</formula>
    </cfRule>
  </conditionalFormatting>
  <conditionalFormatting sqref="A54">
    <cfRule type="expression" dxfId="3762" priority="223">
      <formula>$AH54=0</formula>
    </cfRule>
  </conditionalFormatting>
  <conditionalFormatting sqref="A90">
    <cfRule type="expression" dxfId="3761" priority="222">
      <formula>$AH90=0</formula>
    </cfRule>
  </conditionalFormatting>
  <conditionalFormatting sqref="F95:X95 AD95:AF95">
    <cfRule type="expression" dxfId="3760" priority="218">
      <formula>F$9&gt;=20/24</formula>
    </cfRule>
    <cfRule type="expression" dxfId="3759" priority="219">
      <formula>AND(F$9&gt;=14/24,F$9&lt;20/24)</formula>
    </cfRule>
    <cfRule type="expression" dxfId="3758" priority="220">
      <formula>AND(F$9&gt;=8/24,F$9&lt;14/24)</formula>
    </cfRule>
    <cfRule type="expression" dxfId="3757" priority="221">
      <formula>F$9&lt;8/24</formula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756" priority="240">
      <formula>C$9&gt;=20/24</formula>
    </cfRule>
    <cfRule type="expression" dxfId="3755" priority="241">
      <formula>AND(C$9&gt;=14/24,C$9&lt;20/24)</formula>
    </cfRule>
    <cfRule type="expression" dxfId="3754" priority="242">
      <formula>AND(C$9&gt;=8/24,C$9&lt;14/24)</formula>
    </cfRule>
    <cfRule type="expression" dxfId="3753" priority="243">
      <formula>C$9&lt;8/24</formula>
    </cfRule>
  </conditionalFormatting>
  <conditionalFormatting sqref="A229">
    <cfRule type="expression" dxfId="3752" priority="244">
      <formula>$AH229=0</formula>
    </cfRule>
  </conditionalFormatting>
  <conditionalFormatting sqref="AG241">
    <cfRule type="expression" dxfId="3751" priority="245">
      <formula>B$9&gt;=20/24</formula>
    </cfRule>
    <cfRule type="expression" dxfId="3750" priority="246">
      <formula>AND(B$9&gt;=14/24,B$9&lt;20/24)</formula>
    </cfRule>
    <cfRule type="expression" dxfId="3749" priority="247">
      <formula>AND(B$9&gt;=8/24,B$9&lt;14/24)</formula>
    </cfRule>
    <cfRule type="expression" dxfId="3748" priority="248">
      <formula>B$9&lt;8/24</formula>
    </cfRule>
  </conditionalFormatting>
  <conditionalFormatting sqref="S8">
    <cfRule type="expression" dxfId="3747" priority="213">
      <formula>U$9&gt;=20/24</formula>
    </cfRule>
    <cfRule type="expression" dxfId="3746" priority="214">
      <formula>AND(U$9&gt;=14/24,U$9&lt;20/24)</formula>
    </cfRule>
    <cfRule type="expression" dxfId="3745" priority="215">
      <formula>AND(U$9&gt;=8/24,U$9&lt;14/24)</formula>
    </cfRule>
    <cfRule type="expression" dxfId="3744" priority="216">
      <formula>U$9&lt;8/24</formula>
    </cfRule>
  </conditionalFormatting>
  <conditionalFormatting sqref="AB8">
    <cfRule type="expression" dxfId="3743" priority="209">
      <formula>AD$9&gt;=20/24</formula>
    </cfRule>
    <cfRule type="expression" dxfId="3742" priority="210">
      <formula>AND(AD$9&gt;=14/24,AD$9&lt;20/24)</formula>
    </cfRule>
    <cfRule type="expression" dxfId="3741" priority="211">
      <formula>AND(AD$9&gt;=8/24,AD$9&lt;14/24)</formula>
    </cfRule>
    <cfRule type="expression" dxfId="3740" priority="212">
      <formula>AD$9&lt;8/24</formula>
    </cfRule>
  </conditionalFormatting>
  <conditionalFormatting sqref="AH241:AX241">
    <cfRule type="expression" dxfId="3739" priority="249">
      <formula>AG$9&gt;=20/24</formula>
    </cfRule>
    <cfRule type="expression" dxfId="3738" priority="250">
      <formula>AND(AG$9&gt;=14/24,AG$9&lt;20/24)</formula>
    </cfRule>
    <cfRule type="expression" dxfId="3737" priority="251">
      <formula>AND(AG$9&gt;=8/24,AG$9&lt;14/24)</formula>
    </cfRule>
    <cfRule type="expression" dxfId="3736" priority="252">
      <formula>AG$9&lt;8/24</formula>
    </cfRule>
  </conditionalFormatting>
  <conditionalFormatting sqref="T241">
    <cfRule type="expression" dxfId="3735" priority="253">
      <formula>AX$9&gt;=20/24</formula>
    </cfRule>
    <cfRule type="expression" dxfId="3734" priority="254">
      <formula>AND(AX$9&gt;=14/24,AX$9&lt;20/24)</formula>
    </cfRule>
    <cfRule type="expression" dxfId="3733" priority="255">
      <formula>AND(AX$9&gt;=8/24,AX$9&lt;14/24)</formula>
    </cfRule>
    <cfRule type="expression" dxfId="3732" priority="256">
      <formula>AX$9&lt;8/24</formula>
    </cfRule>
  </conditionalFormatting>
  <conditionalFormatting sqref="A111:A112">
    <cfRule type="expression" dxfId="3731" priority="208">
      <formula>$AH111=0</formula>
    </cfRule>
  </conditionalFormatting>
  <conditionalFormatting sqref="M50:R56 S53:T56 U55:X56 E67:AF67 AB50:AF51 Y52:AF53">
    <cfRule type="expression" dxfId="3730" priority="204">
      <formula>E$9&gt;=20/24</formula>
    </cfRule>
    <cfRule type="expression" dxfId="3729" priority="205">
      <formula>AND(E$9&gt;=14/24,E$9&lt;20/24)</formula>
    </cfRule>
    <cfRule type="expression" dxfId="3728" priority="206">
      <formula>AND(E$9&gt;=8/24,E$9&lt;14/24)</formula>
    </cfRule>
    <cfRule type="expression" dxfId="3727" priority="207">
      <formula>E$9&lt;8/24</formula>
    </cfRule>
  </conditionalFormatting>
  <conditionalFormatting sqref="AB49:AF49 M49:R49">
    <cfRule type="expression" dxfId="3726" priority="200">
      <formula>M$9&gt;=20/24</formula>
    </cfRule>
    <cfRule type="expression" dxfId="3725" priority="201">
      <formula>AND(M$9&gt;=14/24,M$9&lt;20/24)</formula>
    </cfRule>
    <cfRule type="expression" dxfId="3724" priority="202">
      <formula>AND(M$9&gt;=8/24,M$9&lt;14/24)</formula>
    </cfRule>
    <cfRule type="expression" dxfId="3723" priority="203">
      <formula>M$9&lt;8/24</formula>
    </cfRule>
  </conditionalFormatting>
  <conditionalFormatting sqref="M49:R56 S53:T56 U55:X56 AB49:AF51 Y52:AF53">
    <cfRule type="expression" dxfId="3722" priority="199">
      <formula>M49&gt;$AG49</formula>
    </cfRule>
  </conditionalFormatting>
  <conditionalFormatting sqref="D82:AF82 X43:AF43 X63:AF65 X92:AF92 AD96:AF102 M96:X102 E68:W69 X68:AF70">
    <cfRule type="expression" dxfId="3721" priority="195">
      <formula>D$9&gt;=20/24</formula>
    </cfRule>
    <cfRule type="expression" dxfId="3720" priority="196">
      <formula>AND(D$9&gt;=14/24,D$9&lt;20/24)</formula>
    </cfRule>
    <cfRule type="expression" dxfId="3719" priority="197">
      <formula>AND(D$9&gt;=8/24,D$9&lt;14/24)</formula>
    </cfRule>
    <cfRule type="expression" dxfId="3718" priority="198">
      <formula>D$9&lt;8/24</formula>
    </cfRule>
  </conditionalFormatting>
  <conditionalFormatting sqref="X43:AF43 X63:AF65">
    <cfRule type="expression" dxfId="3717" priority="194">
      <formula>X43&gt;$AG43</formula>
    </cfRule>
  </conditionalFormatting>
  <conditionalFormatting sqref="S49:V52 U53:V54 W49:X53 Y49:AA51 W54:AD54">
    <cfRule type="expression" dxfId="3716" priority="190">
      <formula>S$9&gt;=20/24</formula>
    </cfRule>
    <cfRule type="expression" dxfId="3715" priority="191">
      <formula>AND(S$9&gt;=14/24,S$9&lt;20/24)</formula>
    </cfRule>
    <cfRule type="expression" dxfId="3714" priority="192">
      <formula>AND(S$9&gt;=8/24,S$9&lt;14/24)</formula>
    </cfRule>
    <cfRule type="expression" dxfId="3713" priority="193">
      <formula>S$9&lt;8/24</formula>
    </cfRule>
  </conditionalFormatting>
  <conditionalFormatting sqref="S49:V52 U53:V54 W49:X53 Y49:AA51 W54:AD54">
    <cfRule type="expression" dxfId="3712" priority="189">
      <formula>S49&gt;$AG49</formula>
    </cfRule>
  </conditionalFormatting>
  <conditionalFormatting sqref="C93:AF93 C84:AF84">
    <cfRule type="expression" dxfId="3711" priority="185">
      <formula>C$9&gt;=20/24</formula>
    </cfRule>
    <cfRule type="expression" dxfId="3710" priority="186">
      <formula>AND(C$9&gt;=14/24,C$9&lt;20/24)</formula>
    </cfRule>
    <cfRule type="expression" dxfId="3709" priority="187">
      <formula>AND(C$9&gt;=8/24,C$9&lt;14/24)</formula>
    </cfRule>
    <cfRule type="expression" dxfId="3708" priority="188">
      <formula>C$9&lt;8/24</formula>
    </cfRule>
  </conditionalFormatting>
  <conditionalFormatting sqref="T43:W43">
    <cfRule type="expression" dxfId="3707" priority="181">
      <formula>T$9&gt;=20/24</formula>
    </cfRule>
    <cfRule type="expression" dxfId="3706" priority="182">
      <formula>AND(T$9&gt;=14/24,T$9&lt;20/24)</formula>
    </cfRule>
    <cfRule type="expression" dxfId="3705" priority="183">
      <formula>AND(T$9&gt;=8/24,T$9&lt;14/24)</formula>
    </cfRule>
    <cfRule type="expression" dxfId="3704" priority="184">
      <formula>T$9&lt;8/24</formula>
    </cfRule>
  </conditionalFormatting>
  <conditionalFormatting sqref="T43:W43">
    <cfRule type="expression" dxfId="3703" priority="180">
      <formula>T43&gt;$AG43</formula>
    </cfRule>
  </conditionalFormatting>
  <conditionalFormatting sqref="G50:L51 Y42:AF42">
    <cfRule type="expression" dxfId="3702" priority="176">
      <formula>G$9&gt;=20/24</formula>
    </cfRule>
    <cfRule type="expression" dxfId="3701" priority="177">
      <formula>AND(G$9&gt;=14/24,G$9&lt;20/24)</formula>
    </cfRule>
    <cfRule type="expression" dxfId="3700" priority="178">
      <formula>AND(G$9&gt;=8/24,G$9&lt;14/24)</formula>
    </cfRule>
    <cfRule type="expression" dxfId="3699" priority="179">
      <formula>G$9&lt;8/24</formula>
    </cfRule>
  </conditionalFormatting>
  <conditionalFormatting sqref="G49:L49">
    <cfRule type="expression" dxfId="3698" priority="172">
      <formula>G$9&gt;=20/24</formula>
    </cfRule>
    <cfRule type="expression" dxfId="3697" priority="173">
      <formula>AND(G$9&gt;=14/24,G$9&lt;20/24)</formula>
    </cfRule>
    <cfRule type="expression" dxfId="3696" priority="174">
      <formula>AND(G$9&gt;=8/24,G$9&lt;14/24)</formula>
    </cfRule>
    <cfRule type="expression" dxfId="3695" priority="175">
      <formula>G$9&lt;8/24</formula>
    </cfRule>
  </conditionalFormatting>
  <conditionalFormatting sqref="G49:L51 Y42:AF42">
    <cfRule type="expression" dxfId="3694" priority="171">
      <formula>G42&gt;$AG42</formula>
    </cfRule>
  </conditionalFormatting>
  <conditionalFormatting sqref="AG66 AG83 H96:L102 Q63:W65">
    <cfRule type="expression" dxfId="3693" priority="167">
      <formula>H$9&gt;=20/24</formula>
    </cfRule>
    <cfRule type="expression" dxfId="3692" priority="168">
      <formula>AND(H$9&gt;=14/24,H$9&lt;20/24)</formula>
    </cfRule>
    <cfRule type="expression" dxfId="3691" priority="169">
      <formula>AND(H$9&gt;=8/24,H$9&lt;14/24)</formula>
    </cfRule>
    <cfRule type="expression" dxfId="3690" priority="170">
      <formula>H$9&lt;8/24</formula>
    </cfRule>
  </conditionalFormatting>
  <conditionalFormatting sqref="AG44 AG62 AG66 Q63:W65">
    <cfRule type="expression" dxfId="3689" priority="166">
      <formula>Q44&gt;$AG44</formula>
    </cfRule>
  </conditionalFormatting>
  <conditionalFormatting sqref="AE54:AF54">
    <cfRule type="expression" dxfId="3688" priority="162">
      <formula>AE$9&gt;=20/24</formula>
    </cfRule>
    <cfRule type="expression" dxfId="3687" priority="163">
      <formula>AND(AE$9&gt;=14/24,AE$9&lt;20/24)</formula>
    </cfRule>
    <cfRule type="expression" dxfId="3686" priority="164">
      <formula>AND(AE$9&gt;=8/24,AE$9&lt;14/24)</formula>
    </cfRule>
    <cfRule type="expression" dxfId="3685" priority="165">
      <formula>AE$9&lt;8/24</formula>
    </cfRule>
  </conditionalFormatting>
  <conditionalFormatting sqref="AE54:AF54">
    <cfRule type="expression" dxfId="3684" priority="161">
      <formula>AE54&gt;$AG54</formula>
    </cfRule>
  </conditionalFormatting>
  <conditionalFormatting sqref="A40">
    <cfRule type="expression" dxfId="3683" priority="160">
      <formula>$AH40=0</formula>
    </cfRule>
  </conditionalFormatting>
  <conditionalFormatting sqref="X87:AF91">
    <cfRule type="expression" dxfId="3682" priority="156">
      <formula>X$9&gt;=20/24</formula>
    </cfRule>
    <cfRule type="expression" dxfId="3681" priority="157">
      <formula>AND(X$9&gt;=14/24,X$9&lt;20/24)</formula>
    </cfRule>
    <cfRule type="expression" dxfId="3680" priority="158">
      <formula>AND(X$9&gt;=8/24,X$9&lt;14/24)</formula>
    </cfRule>
    <cfRule type="expression" dxfId="3679" priority="159">
      <formula>X$9&lt;8/24</formula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I45:AF47">
    <cfRule type="expression" dxfId="3678" priority="152">
      <formula>I$9&gt;=20/24</formula>
    </cfRule>
    <cfRule type="expression" dxfId="3677" priority="153">
      <formula>AND(I$9&gt;=14/24,I$9&lt;20/24)</formula>
    </cfRule>
    <cfRule type="expression" dxfId="3676" priority="154">
      <formula>AND(I$9&gt;=8/24,I$9&lt;14/24)</formula>
    </cfRule>
    <cfRule type="expression" dxfId="3675" priority="155">
      <formula>I$9&lt;8/24</formula>
    </cfRule>
  </conditionalFormatting>
  <conditionalFormatting sqref="I45:AF47">
    <cfRule type="expression" dxfId="3674" priority="151">
      <formula>I45&gt;$AG45</formula>
    </cfRule>
  </conditionalFormatting>
  <conditionalFormatting sqref="AG48">
    <cfRule type="expression" dxfId="3673" priority="147">
      <formula>AG$9&gt;=20/24</formula>
    </cfRule>
    <cfRule type="expression" dxfId="3672" priority="148">
      <formula>AND(AG$9&gt;=14/24,AG$9&lt;20/24)</formula>
    </cfRule>
    <cfRule type="expression" dxfId="3671" priority="149">
      <formula>AND(AG$9&gt;=8/24,AG$9&lt;14/24)</formula>
    </cfRule>
    <cfRule type="expression" dxfId="3670" priority="150">
      <formula>AG$9&lt;8/24</formula>
    </cfRule>
  </conditionalFormatting>
  <conditionalFormatting sqref="AG48">
    <cfRule type="expression" dxfId="3669" priority="146">
      <formula>AG48&gt;$AG48</formula>
    </cfRule>
  </conditionalFormatting>
  <conditionalFormatting sqref="C103:AF103">
    <cfRule type="expression" dxfId="3668" priority="142">
      <formula>C$9&gt;=20/24</formula>
    </cfRule>
    <cfRule type="expression" dxfId="3667" priority="143">
      <formula>AND(C$9&gt;=14/24,C$9&lt;20/24)</formula>
    </cfRule>
    <cfRule type="expression" dxfId="3666" priority="144">
      <formula>AND(C$9&gt;=8/24,C$9&lt;14/24)</formula>
    </cfRule>
    <cfRule type="expression" dxfId="3665" priority="145">
      <formula>C$9&lt;8/24</formula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3664" priority="140">
      <formula>$AH37=0</formula>
    </cfRule>
  </conditionalFormatting>
  <conditionalFormatting sqref="A86">
    <cfRule type="expression" dxfId="3663" priority="138">
      <formula>$AH86=0</formula>
    </cfRule>
  </conditionalFormatting>
  <conditionalFormatting sqref="A83">
    <cfRule type="expression" dxfId="3662" priority="139">
      <formula>$AH83=0</formula>
    </cfRule>
  </conditionalFormatting>
  <conditionalFormatting sqref="A113">
    <cfRule type="expression" dxfId="3661" priority="129">
      <formula>$AH113=0</formula>
    </cfRule>
  </conditionalFormatting>
  <conditionalFormatting sqref="D106:AF106">
    <cfRule type="expression" dxfId="3660" priority="125">
      <formula>D$9&gt;=20/24</formula>
    </cfRule>
    <cfRule type="expression" dxfId="3659" priority="126">
      <formula>AND(D$9&gt;=14/24,D$9&lt;20/24)</formula>
    </cfRule>
    <cfRule type="expression" dxfId="3658" priority="127">
      <formula>AND(D$9&gt;=8/24,D$9&lt;14/24)</formula>
    </cfRule>
    <cfRule type="expression" dxfId="3657" priority="128">
      <formula>D$9&lt;8/24</formula>
    </cfRule>
  </conditionalFormatting>
  <conditionalFormatting sqref="A106">
    <cfRule type="expression" dxfId="3656" priority="124">
      <formula>$AH106=0</formula>
    </cfRule>
  </conditionalFormatting>
  <conditionalFormatting sqref="A19">
    <cfRule type="expression" dxfId="3655" priority="122">
      <formula>$AH19=0</formula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654" priority="120">
      <formula>$AH34=0</formula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3653" priority="116">
      <formula>Y$9&gt;=20/24</formula>
    </cfRule>
    <cfRule type="expression" dxfId="3652" priority="117">
      <formula>AND(Y$9&gt;=14/24,Y$9&lt;20/24)</formula>
    </cfRule>
    <cfRule type="expression" dxfId="3651" priority="118">
      <formula>AND(Y$9&gt;=8/24,Y$9&lt;14/24)</formula>
    </cfRule>
    <cfRule type="expression" dxfId="3650" priority="119">
      <formula>Y$9&lt;8/24</formula>
    </cfRule>
  </conditionalFormatting>
  <conditionalFormatting sqref="Y96:AC102">
    <cfRule type="expression" dxfId="3649" priority="112">
      <formula>Y$9&gt;=20/24</formula>
    </cfRule>
    <cfRule type="expression" dxfId="3648" priority="113">
      <formula>AND(Y$9&gt;=14/24,Y$9&lt;20/24)</formula>
    </cfRule>
    <cfRule type="expression" dxfId="3647" priority="114">
      <formula>AND(Y$9&gt;=8/24,Y$9&lt;14/24)</formula>
    </cfRule>
    <cfRule type="expression" dxfId="3646" priority="115">
      <formula>Y$9&lt;8/24</formula>
    </cfRule>
  </conditionalFormatting>
  <conditionalFormatting sqref="B105:C105 B107:C112 B15:X40">
    <cfRule type="expression" dxfId="3645" priority="108">
      <formula>B$9&gt;=20/24</formula>
    </cfRule>
    <cfRule type="expression" dxfId="3644" priority="109">
      <formula>AND(B$9&gt;=14/24,B$9&lt;20/24)</formula>
    </cfRule>
    <cfRule type="expression" dxfId="3643" priority="110">
      <formula>AND(B$9&gt;=8/24,B$9&lt;14/24)</formula>
    </cfRule>
    <cfRule type="expression" dxfId="3642" priority="111">
      <formula>B$9&lt;8/24</formula>
    </cfRule>
  </conditionalFormatting>
  <conditionalFormatting sqref="B43:S43">
    <cfRule type="expression" dxfId="3641" priority="104">
      <formula>B$9&gt;=20/24</formula>
    </cfRule>
    <cfRule type="expression" dxfId="3640" priority="105">
      <formula>AND(B$9&gt;=14/24,B$9&lt;20/24)</formula>
    </cfRule>
    <cfRule type="expression" dxfId="3639" priority="106">
      <formula>AND(B$9&gt;=8/24,B$9&lt;14/24)</formula>
    </cfRule>
    <cfRule type="expression" dxfId="3638" priority="107">
      <formula>B$9&lt;8/24</formula>
    </cfRule>
  </conditionalFormatting>
  <conditionalFormatting sqref="B43:S43 B15:X40">
    <cfRule type="expression" dxfId="3637" priority="103">
      <formula>B15&gt;$AG15</formula>
    </cfRule>
  </conditionalFormatting>
  <conditionalFormatting sqref="B95:E95">
    <cfRule type="expression" dxfId="3636" priority="99">
      <formula>B$9&gt;=20/24</formula>
    </cfRule>
    <cfRule type="expression" dxfId="3635" priority="100">
      <formula>AND(B$9&gt;=14/24,B$9&lt;20/24)</formula>
    </cfRule>
    <cfRule type="expression" dxfId="3634" priority="101">
      <formula>AND(B$9&gt;=8/24,B$9&lt;14/24)</formula>
    </cfRule>
    <cfRule type="expression" dxfId="3633" priority="102">
      <formula>B$9&lt;8/24</formula>
    </cfRule>
  </conditionalFormatting>
  <conditionalFormatting sqref="B67:D67 B50:F51">
    <cfRule type="expression" dxfId="3632" priority="95">
      <formula>B$9&gt;=20/24</formula>
    </cfRule>
    <cfRule type="expression" dxfId="3631" priority="96">
      <formula>AND(B$9&gt;=14/24,B$9&lt;20/24)</formula>
    </cfRule>
    <cfRule type="expression" dxfId="3630" priority="97">
      <formula>AND(B$9&gt;=8/24,B$9&lt;14/24)</formula>
    </cfRule>
    <cfRule type="expression" dxfId="3629" priority="98">
      <formula>B$9&lt;8/24</formula>
    </cfRule>
  </conditionalFormatting>
  <conditionalFormatting sqref="B49:F49">
    <cfRule type="expression" dxfId="3628" priority="91">
      <formula>B$9&gt;=20/24</formula>
    </cfRule>
    <cfRule type="expression" dxfId="3627" priority="92">
      <formula>AND(B$9&gt;=14/24,B$9&lt;20/24)</formula>
    </cfRule>
    <cfRule type="expression" dxfId="3626" priority="93">
      <formula>AND(B$9&gt;=8/24,B$9&lt;14/24)</formula>
    </cfRule>
    <cfRule type="expression" dxfId="3625" priority="94">
      <formula>B$9&lt;8/24</formula>
    </cfRule>
  </conditionalFormatting>
  <conditionalFormatting sqref="B49:F51">
    <cfRule type="expression" dxfId="3624" priority="90">
      <formula>B49&gt;$AG49</formula>
    </cfRule>
  </conditionalFormatting>
  <conditionalFormatting sqref="B82:C82 B92:W92 B79:AF81 B68:D72 B96:G102 B63:P65 E70:W72 AA73:AA77 X71:AF72">
    <cfRule type="expression" dxfId="3623" priority="86">
      <formula>B$9&gt;=20/24</formula>
    </cfRule>
    <cfRule type="expression" dxfId="3622" priority="87">
      <formula>AND(B$9&gt;=14/24,B$9&lt;20/24)</formula>
    </cfRule>
    <cfRule type="expression" dxfId="3621" priority="88">
      <formula>AND(B$9&gt;=8/24,B$9&lt;14/24)</formula>
    </cfRule>
    <cfRule type="expression" dxfId="3620" priority="89">
      <formula>B$9&lt;8/24</formula>
    </cfRule>
  </conditionalFormatting>
  <conditionalFormatting sqref="B52:L53 B63:P65">
    <cfRule type="expression" dxfId="3619" priority="85">
      <formula>B52&gt;$AG52</formula>
    </cfRule>
  </conditionalFormatting>
  <conditionalFormatting sqref="B54:L54">
    <cfRule type="expression" dxfId="3618" priority="81">
      <formula>B$9&gt;=20/24</formula>
    </cfRule>
    <cfRule type="expression" dxfId="3617" priority="82">
      <formula>AND(B$9&gt;=14/24,B$9&lt;20/24)</formula>
    </cfRule>
    <cfRule type="expression" dxfId="3616" priority="83">
      <formula>AND(B$9&gt;=8/24,B$9&lt;14/24)</formula>
    </cfRule>
    <cfRule type="expression" dxfId="3615" priority="84">
      <formula>B$9&lt;8/24</formula>
    </cfRule>
  </conditionalFormatting>
  <conditionalFormatting sqref="B54:L54">
    <cfRule type="expression" dxfId="3614" priority="80">
      <formula>B54&gt;$AG54</formula>
    </cfRule>
  </conditionalFormatting>
  <conditionalFormatting sqref="B84 B93">
    <cfRule type="expression" dxfId="3613" priority="76">
      <formula>B$9&gt;=20/24</formula>
    </cfRule>
    <cfRule type="expression" dxfId="3612" priority="77">
      <formula>AND(B$9&gt;=14/24,B$9&lt;20/24)</formula>
    </cfRule>
    <cfRule type="expression" dxfId="3611" priority="78">
      <formula>AND(B$9&gt;=8/24,B$9&lt;14/24)</formula>
    </cfRule>
    <cfRule type="expression" dxfId="3610" priority="79">
      <formula>B$9&lt;8/24</formula>
    </cfRule>
  </conditionalFormatting>
  <conditionalFormatting sqref="B42:X42">
    <cfRule type="expression" dxfId="3609" priority="72">
      <formula>B$9&gt;=20/24</formula>
    </cfRule>
    <cfRule type="expression" dxfId="3608" priority="73">
      <formula>AND(B$9&gt;=14/24,B$9&lt;20/24)</formula>
    </cfRule>
    <cfRule type="expression" dxfId="3607" priority="74">
      <formula>AND(B$9&gt;=8/24,B$9&lt;14/24)</formula>
    </cfRule>
    <cfRule type="expression" dxfId="3606" priority="75">
      <formula>B$9&lt;8/24</formula>
    </cfRule>
  </conditionalFormatting>
  <conditionalFormatting sqref="B42:X42">
    <cfRule type="expression" dxfId="3605" priority="71">
      <formula>B42&gt;$AG42</formula>
    </cfRule>
  </conditionalFormatting>
  <conditionalFormatting sqref="B66:AF66 B83:AF83 B85:AF85 B94:AF94">
    <cfRule type="expression" dxfId="3604" priority="67">
      <formula>B$9&gt;=20/24</formula>
    </cfRule>
    <cfRule type="expression" dxfId="3603" priority="68">
      <formula>AND(B$9&gt;=14/24,B$9&lt;20/24)</formula>
    </cfRule>
    <cfRule type="expression" dxfId="3602" priority="69">
      <formula>AND(B$9&gt;=8/24,B$9&lt;14/24)</formula>
    </cfRule>
    <cfRule type="expression" dxfId="3601" priority="70">
      <formula>B$9&lt;8/24</formula>
    </cfRule>
  </conditionalFormatting>
  <conditionalFormatting sqref="B44:AF44 B61:AF62 B66:AF66">
    <cfRule type="expression" dxfId="3600" priority="66">
      <formula>B44&gt;$AG44</formula>
    </cfRule>
  </conditionalFormatting>
  <conditionalFormatting sqref="B78:AF78">
    <cfRule type="expression" dxfId="3599" priority="62">
      <formula>B$9&gt;=20/24</formula>
    </cfRule>
    <cfRule type="expression" dxfId="3598" priority="63">
      <formula>AND(B$9&gt;=14/24,B$9&lt;20/24)</formula>
    </cfRule>
    <cfRule type="expression" dxfId="3597" priority="64">
      <formula>AND(B$9&gt;=8/24,B$9&lt;14/24)</formula>
    </cfRule>
    <cfRule type="expression" dxfId="3596" priority="65">
      <formula>B$9&lt;8/24</formula>
    </cfRule>
  </conditionalFormatting>
  <conditionalFormatting sqref="B87:W91">
    <cfRule type="expression" dxfId="3595" priority="58">
      <formula>B$9&gt;=20/24</formula>
    </cfRule>
    <cfRule type="expression" dxfId="3594" priority="59">
      <formula>AND(B$9&gt;=14/24,B$9&lt;20/24)</formula>
    </cfRule>
    <cfRule type="expression" dxfId="3593" priority="60">
      <formula>AND(B$9&gt;=8/24,B$9&lt;14/24)</formula>
    </cfRule>
    <cfRule type="expression" dxfId="3592" priority="61">
      <formula>B$9&lt;8/24</formula>
    </cfRule>
  </conditionalFormatting>
  <conditionalFormatting sqref="B45:H47">
    <cfRule type="expression" dxfId="3591" priority="54">
      <formula>B$9&gt;=20/24</formula>
    </cfRule>
    <cfRule type="expression" dxfId="3590" priority="55">
      <formula>AND(B$9&gt;=14/24,B$9&lt;20/24)</formula>
    </cfRule>
    <cfRule type="expression" dxfId="3589" priority="56">
      <formula>AND(B$9&gt;=8/24,B$9&lt;14/24)</formula>
    </cfRule>
    <cfRule type="expression" dxfId="3588" priority="57">
      <formula>B$9&lt;8/24</formula>
    </cfRule>
  </conditionalFormatting>
  <conditionalFormatting sqref="B45:H47">
    <cfRule type="expression" dxfId="3587" priority="53">
      <formula>B45&gt;$AG45</formula>
    </cfRule>
  </conditionalFormatting>
  <conditionalFormatting sqref="B48:AF48">
    <cfRule type="expression" dxfId="3586" priority="49">
      <formula>B$9&gt;=20/24</formula>
    </cfRule>
    <cfRule type="expression" dxfId="3585" priority="50">
      <formula>AND(B$9&gt;=14/24,B$9&lt;20/24)</formula>
    </cfRule>
    <cfRule type="expression" dxfId="3584" priority="51">
      <formula>AND(B$9&gt;=8/24,B$9&lt;14/24)</formula>
    </cfRule>
    <cfRule type="expression" dxfId="3583" priority="52">
      <formula>B$9&lt;8/24</formula>
    </cfRule>
  </conditionalFormatting>
  <conditionalFormatting sqref="B48:AF48">
    <cfRule type="expression" dxfId="3582" priority="48">
      <formula>B48&gt;$AG48</formula>
    </cfRule>
  </conditionalFormatting>
  <conditionalFormatting sqref="B103">
    <cfRule type="expression" dxfId="3581" priority="44">
      <formula>B$9&gt;=20/24</formula>
    </cfRule>
    <cfRule type="expression" dxfId="3580" priority="45">
      <formula>AND(B$9&gt;=14/24,B$9&lt;20/24)</formula>
    </cfRule>
    <cfRule type="expression" dxfId="3579" priority="46">
      <formula>AND(B$9&gt;=8/24,B$9&lt;14/24)</formula>
    </cfRule>
    <cfRule type="expression" dxfId="3578" priority="47">
      <formula>B$9&lt;8/24</formula>
    </cfRule>
  </conditionalFormatting>
  <conditionalFormatting sqref="B106:C106">
    <cfRule type="expression" dxfId="3577" priority="32">
      <formula>B$9&gt;=20/24</formula>
    </cfRule>
    <cfRule type="expression" dxfId="3576" priority="33">
      <formula>AND(B$9&gt;=14/24,B$9&lt;20/24)</formula>
    </cfRule>
    <cfRule type="expression" dxfId="3575" priority="34">
      <formula>AND(B$9&gt;=8/24,B$9&lt;14/24)</formula>
    </cfRule>
    <cfRule type="expression" dxfId="3574" priority="35">
      <formula>B$9&lt;8/24</formula>
    </cfRule>
  </conditionalFormatting>
  <conditionalFormatting sqref="B55:L60 M57:X60 Y55:AF60">
    <cfRule type="expression" dxfId="3573" priority="28">
      <formula>B$9&gt;=20/24</formula>
    </cfRule>
    <cfRule type="expression" dxfId="3572" priority="29">
      <formula>AND(B$9&gt;=14/24,B$9&lt;20/24)</formula>
    </cfRule>
    <cfRule type="expression" dxfId="3571" priority="30">
      <formula>AND(B$9&gt;=8/24,B$9&lt;14/24)</formula>
    </cfRule>
    <cfRule type="expression" dxfId="3570" priority="31">
      <formula>B$9&lt;8/24</formula>
    </cfRule>
  </conditionalFormatting>
  <conditionalFormatting sqref="B55:L60 M57:X60 Y55:AF60">
    <cfRule type="expression" dxfId="3569" priority="27">
      <formula>B55&gt;$AG55</formula>
    </cfRule>
  </conditionalFormatting>
  <conditionalFormatting sqref="B12:X14 B41:AF41">
    <cfRule type="expression" dxfId="3568" priority="26">
      <formula>B12&gt;$AG12</formula>
    </cfRule>
  </conditionalFormatting>
  <conditionalFormatting sqref="B11:X11">
    <cfRule type="expression" dxfId="3567" priority="22">
      <formula>B$9&gt;=20/24</formula>
    </cfRule>
    <cfRule type="expression" dxfId="3566" priority="23">
      <formula>AND(B$9&gt;=14/24,B$9&lt;20/24)</formula>
    </cfRule>
    <cfRule type="expression" dxfId="3565" priority="24">
      <formula>AND(B$9&gt;=8/24,B$9&lt;14/24)</formula>
    </cfRule>
    <cfRule type="expression" dxfId="3564" priority="25">
      <formula>B$9&lt;8/24</formula>
    </cfRule>
  </conditionalFormatting>
  <conditionalFormatting sqref="B11:X11">
    <cfRule type="expression" dxfId="3563" priority="21">
      <formula>B11&gt;$AG11</formula>
    </cfRule>
  </conditionalFormatting>
  <conditionalFormatting sqref="B12:X14">
    <cfRule type="expression" dxfId="3562" priority="17">
      <formula>B$9&gt;=20/24</formula>
    </cfRule>
    <cfRule type="expression" dxfId="3561" priority="18">
      <formula>AND(B$9&gt;=14/24,B$9&lt;20/24)</formula>
    </cfRule>
    <cfRule type="expression" dxfId="3560" priority="19">
      <formula>AND(B$9&gt;=8/24,B$9&lt;14/24)</formula>
    </cfRule>
    <cfRule type="expression" dxfId="3559" priority="20">
      <formula>B$9&lt;8/24</formula>
    </cfRule>
  </conditionalFormatting>
  <conditionalFormatting sqref="B41:AF41">
    <cfRule type="expression" dxfId="3558" priority="13">
      <formula>B$9&gt;=20/24</formula>
    </cfRule>
    <cfRule type="expression" dxfId="3557" priority="14">
      <formula>AND(B$9&gt;=14/24,B$9&lt;20/24)</formula>
    </cfRule>
    <cfRule type="expression" dxfId="3556" priority="15">
      <formula>AND(B$9&gt;=8/24,B$9&lt;14/24)</formula>
    </cfRule>
    <cfRule type="expression" dxfId="3555" priority="16">
      <formula>B$9&lt;8/24</formula>
    </cfRule>
  </conditionalFormatting>
  <conditionalFormatting sqref="B73:Z77 AB73:AF77">
    <cfRule type="expression" dxfId="3554" priority="9">
      <formula>B$9&gt;=20/24</formula>
    </cfRule>
    <cfRule type="expression" dxfId="3553" priority="10">
      <formula>AND(B$9&gt;=14/24,B$9&lt;20/24)</formula>
    </cfRule>
    <cfRule type="expression" dxfId="3552" priority="11">
      <formula>AND(B$9&gt;=8/24,B$9&lt;14/24)</formula>
    </cfRule>
    <cfRule type="expression" dxfId="3551" priority="12">
      <formula>B$9&lt;8/24</formula>
    </cfRule>
  </conditionalFormatting>
  <conditionalFormatting sqref="AL74:AN74 AL80:AN80 AN75:AN76">
    <cfRule type="expression" dxfId="3550" priority="5">
      <formula>AL$9&gt;=20/24</formula>
    </cfRule>
    <cfRule type="expression" dxfId="3549" priority="6">
      <formula>AND(AL$9&gt;=14/24,AL$9&lt;20/24)</formula>
    </cfRule>
    <cfRule type="expression" dxfId="3548" priority="7">
      <formula>AND(AL$9&gt;=8/24,AL$9&lt;14/24)</formula>
    </cfRule>
    <cfRule type="expression" dxfId="3547" priority="8">
      <formula>AL$9&lt;8/24</formula>
    </cfRule>
  </conditionalFormatting>
  <conditionalFormatting sqref="AN77:AN78">
    <cfRule type="expression" dxfId="3546" priority="1">
      <formula>AN$9&gt;=20/24</formula>
    </cfRule>
    <cfRule type="expression" dxfId="3545" priority="2">
      <formula>AND(AN$9&gt;=14/24,AN$9&lt;20/24)</formula>
    </cfRule>
    <cfRule type="expression" dxfId="3544" priority="3">
      <formula>AND(AN$9&gt;=8/24,AN$9&lt;14/24)</formula>
    </cfRule>
    <cfRule type="expression" dxfId="3543" priority="4">
      <formula>AN$9&lt;8/24</formula>
    </cfRule>
  </conditionalFormatting>
  <conditionalFormatting sqref="AL75:AM79">
    <cfRule type="expression" dxfId="3542" priority="258">
      <formula>AJ$9&gt;=20/24</formula>
    </cfRule>
    <cfRule type="expression" dxfId="3541" priority="259">
      <formula>AND(AJ$9&gt;=14/24,AJ$9&lt;20/24)</formula>
    </cfRule>
    <cfRule type="expression" dxfId="3540" priority="260">
      <formula>AND(AJ$9&gt;=8/24,AJ$9&lt;14/24)</formula>
    </cfRule>
    <cfRule type="expression" dxfId="3539" priority="261">
      <formula>AJ$9&lt;8/24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4" id="{18E59492-1512-4F62-AEB7-05DE7A905D8F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ADEEF376-C33A-44E7-905F-9DC862B14A53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6A7245EC-3E28-4B07-844A-44CCD628A96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17C21CE8-FB51-46FC-9604-E7EE88319A0A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30" id="{6AE436D0-DFDF-4277-B3DE-1DEDF1C30C3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17B30175-3534-4D36-A281-A04CEBDDF4F3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0D58D744-C511-4FEF-842B-AC24208EE96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C1A7C23F-F7FC-4490-85B7-EF641FF75D6A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40" id="{D7E73B36-C7CF-4364-A631-C6E93B112749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B7B8138A-5FF9-4F48-A31A-63045D6DA4D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" id="{27660BFB-97CF-4E72-9CE4-63EE886C52BD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" id="{0C027F8A-7C4A-4612-A61C-F709ED9684B6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6" id="{847AA2F8-6BDF-4396-B312-5CA805DD86A5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6B7AF146-581C-4C41-94C5-D6283994B2CD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7151CC1F-1BA0-43B8-B525-C9826B6494E5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C4E5A9F2-7891-4766-8635-9876FEE888D8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J274"/>
  <sheetViews>
    <sheetView zoomScale="90" zoomScaleNormal="90" workbookViewId="0">
      <pane ySplit="10" topLeftCell="A56" activePane="bottomLeft" state="frozen"/>
      <selection activeCell="U80" sqref="U80"/>
      <selection pane="bottomLeft" activeCell="O79" sqref="O7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/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str">
        <f ca="1">"2079/"&amp;"09/"&amp;INT(MID(CELL("filename",D6),FIND("]",CELL("filename",D6))+1,200))</f>
        <v>2079/09/23</v>
      </c>
      <c r="C4" s="771"/>
      <c r="D4" s="771"/>
      <c r="E4" s="772" t="str">
        <f ca="1">"2079/"&amp;"09/"&amp;INT(MID(CELL("filename",G6),FIND("]",CELL("filename",G6))+1,200))</f>
        <v>2079/09/23</v>
      </c>
      <c r="F4" s="772"/>
      <c r="G4" s="772"/>
      <c r="H4" s="772" t="str">
        <f ca="1">TEXT(E4,"dddd")</f>
        <v>Saturday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491</v>
      </c>
      <c r="C5" s="30">
        <f t="shared" si="0"/>
        <v>469.8</v>
      </c>
      <c r="D5" s="30">
        <f t="shared" si="0"/>
        <v>450</v>
      </c>
      <c r="E5" s="30">
        <f t="shared" si="0"/>
        <v>477</v>
      </c>
      <c r="F5" s="30">
        <f t="shared" si="0"/>
        <v>491.3</v>
      </c>
      <c r="G5" s="30">
        <f t="shared" si="0"/>
        <v>477</v>
      </c>
      <c r="H5" s="30">
        <f t="shared" si="0"/>
        <v>490</v>
      </c>
      <c r="I5" s="30">
        <f t="shared" si="0"/>
        <v>474.2</v>
      </c>
      <c r="J5" s="30">
        <f t="shared" si="0"/>
        <v>426.5</v>
      </c>
      <c r="K5" s="30">
        <f t="shared" si="0"/>
        <v>432</v>
      </c>
      <c r="L5" s="30">
        <f t="shared" si="0"/>
        <v>446.6</v>
      </c>
      <c r="M5" s="30">
        <f t="shared" si="0"/>
        <v>476.6</v>
      </c>
      <c r="N5" s="30">
        <f t="shared" si="0"/>
        <v>482.8</v>
      </c>
      <c r="O5" s="30">
        <f t="shared" si="0"/>
        <v>478</v>
      </c>
      <c r="P5" s="30">
        <f t="shared" si="0"/>
        <v>508.4</v>
      </c>
      <c r="Q5" s="30">
        <f t="shared" si="0"/>
        <v>494.4</v>
      </c>
      <c r="R5" s="30">
        <f t="shared" si="0"/>
        <v>504.4</v>
      </c>
      <c r="S5" s="30">
        <f t="shared" si="0"/>
        <v>527.5</v>
      </c>
      <c r="T5" s="30">
        <f t="shared" si="0"/>
        <v>495.28999999999996</v>
      </c>
      <c r="U5" s="30">
        <f t="shared" si="0"/>
        <v>467</v>
      </c>
      <c r="V5" s="30">
        <f t="shared" si="0"/>
        <v>454</v>
      </c>
      <c r="W5" s="30">
        <f t="shared" si="0"/>
        <v>460.5</v>
      </c>
      <c r="X5" s="30">
        <f t="shared" si="0"/>
        <v>426</v>
      </c>
      <c r="Y5" s="30">
        <f t="shared" si="0"/>
        <v>368.8</v>
      </c>
      <c r="Z5" s="30">
        <f t="shared" si="0"/>
        <v>411.1</v>
      </c>
      <c r="AA5" s="30">
        <f t="shared" si="0"/>
        <v>458.6</v>
      </c>
      <c r="AB5" s="30">
        <f t="shared" si="0"/>
        <v>428.8</v>
      </c>
      <c r="AC5" s="30">
        <f t="shared" si="0"/>
        <v>436.70000000000005</v>
      </c>
      <c r="AD5" s="30">
        <f t="shared" si="0"/>
        <v>432.3</v>
      </c>
      <c r="AE5" s="30">
        <f t="shared" si="0"/>
        <v>462.7</v>
      </c>
      <c r="AF5" s="30">
        <f>B78</f>
        <v>442.4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1446MW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Load=1020</v>
      </c>
      <c r="B7" s="35">
        <f t="shared" ref="B7:AF7" si="1">B85</f>
        <v>1061.8400000000001</v>
      </c>
      <c r="C7" s="35">
        <f t="shared" si="1"/>
        <v>1048.6399999999999</v>
      </c>
      <c r="D7" s="35">
        <f t="shared" si="1"/>
        <v>1027.44</v>
      </c>
      <c r="E7" s="35">
        <f t="shared" si="1"/>
        <v>1020.34</v>
      </c>
      <c r="F7" s="35">
        <f t="shared" si="1"/>
        <v>1032.54</v>
      </c>
      <c r="G7" s="35">
        <f t="shared" si="1"/>
        <v>1071.44</v>
      </c>
      <c r="H7" s="35">
        <f t="shared" si="1"/>
        <v>1133.54</v>
      </c>
      <c r="I7" s="35">
        <f t="shared" si="1"/>
        <v>1209.24</v>
      </c>
      <c r="J7" s="35">
        <f t="shared" si="1"/>
        <v>1270.74</v>
      </c>
      <c r="K7" s="35">
        <f t="shared" si="1"/>
        <v>1420.8400000000001</v>
      </c>
      <c r="L7" s="35">
        <f t="shared" si="1"/>
        <v>1446.3400000000001</v>
      </c>
      <c r="M7" s="35">
        <f t="shared" si="1"/>
        <v>1438.54</v>
      </c>
      <c r="N7" s="35">
        <f>N85</f>
        <v>1411.8400000000001</v>
      </c>
      <c r="O7" s="35">
        <f t="shared" si="1"/>
        <v>1405.44</v>
      </c>
      <c r="P7" s="35">
        <f t="shared" si="1"/>
        <v>1315.14</v>
      </c>
      <c r="Q7" s="35">
        <f t="shared" si="1"/>
        <v>1293.8400000000001</v>
      </c>
      <c r="R7" s="35">
        <f t="shared" si="1"/>
        <v>1269.8400000000001</v>
      </c>
      <c r="S7" s="35">
        <f t="shared" si="1"/>
        <v>1273.8400000000001</v>
      </c>
      <c r="T7" s="35">
        <f t="shared" si="1"/>
        <v>1311.54</v>
      </c>
      <c r="U7" s="35">
        <f t="shared" si="1"/>
        <v>1295.5500000000002</v>
      </c>
      <c r="V7" s="35">
        <f t="shared" si="1"/>
        <v>1187.1400000000001</v>
      </c>
      <c r="W7" s="35">
        <f t="shared" si="1"/>
        <v>1157.6400000000001</v>
      </c>
      <c r="X7" s="35">
        <f t="shared" si="1"/>
        <v>1167.6400000000001</v>
      </c>
      <c r="Y7" s="35">
        <f t="shared" si="1"/>
        <v>1611.9</v>
      </c>
      <c r="Z7" s="35">
        <f t="shared" si="1"/>
        <v>1579.3400000000001</v>
      </c>
      <c r="AA7" s="35">
        <f t="shared" si="1"/>
        <v>1501.6399999999999</v>
      </c>
      <c r="AB7" s="35">
        <f t="shared" si="1"/>
        <v>1428.3400000000001</v>
      </c>
      <c r="AC7" s="35">
        <f t="shared" si="1"/>
        <v>1264.3400000000001</v>
      </c>
      <c r="AD7" s="35">
        <f t="shared" si="1"/>
        <v>1303.54</v>
      </c>
      <c r="AE7" s="35">
        <f t="shared" si="1"/>
        <v>1150.4399999999998</v>
      </c>
      <c r="AF7" s="35">
        <f t="shared" si="1"/>
        <v>1028.6399999999999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17.2</v>
      </c>
      <c r="C11" s="45">
        <v>17.2</v>
      </c>
      <c r="D11" s="45">
        <v>17.2</v>
      </c>
      <c r="E11" s="45">
        <v>17.2</v>
      </c>
      <c r="F11" s="45">
        <v>17.2</v>
      </c>
      <c r="G11" s="45">
        <v>17.2</v>
      </c>
      <c r="H11" s="45">
        <v>17.2</v>
      </c>
      <c r="I11" s="45">
        <v>17.2</v>
      </c>
      <c r="J11" s="45">
        <v>17.2</v>
      </c>
      <c r="K11" s="45">
        <v>17.2</v>
      </c>
      <c r="L11" s="45">
        <v>17.2</v>
      </c>
      <c r="M11" s="45">
        <v>17.2</v>
      </c>
      <c r="N11" s="45">
        <v>17.2</v>
      </c>
      <c r="O11" s="45">
        <v>17</v>
      </c>
      <c r="P11" s="45">
        <v>17</v>
      </c>
      <c r="Q11" s="45">
        <v>17</v>
      </c>
      <c r="R11" s="45">
        <v>17</v>
      </c>
      <c r="S11" s="45">
        <v>17</v>
      </c>
      <c r="T11" s="45">
        <v>17</v>
      </c>
      <c r="U11" s="45">
        <v>17</v>
      </c>
      <c r="V11" s="45">
        <v>15.6</v>
      </c>
      <c r="W11" s="45">
        <v>15.6</v>
      </c>
      <c r="X11" s="45">
        <v>15.6</v>
      </c>
      <c r="Y11" s="45">
        <v>15.6</v>
      </c>
      <c r="Z11" s="45">
        <v>15.6</v>
      </c>
      <c r="AA11" s="45">
        <v>15.6</v>
      </c>
      <c r="AB11" s="45">
        <v>15.6</v>
      </c>
      <c r="AC11" s="45">
        <v>15.6</v>
      </c>
      <c r="AD11" s="45">
        <v>15.6</v>
      </c>
      <c r="AE11" s="45">
        <v>15.6</v>
      </c>
      <c r="AF11" s="45">
        <v>15.6</v>
      </c>
      <c r="AG11" s="46">
        <v>52.4</v>
      </c>
      <c r="AH11" s="47">
        <f t="shared" ref="AH11:AH74" si="2">MAX(B11:AF11)</f>
        <v>17.2</v>
      </c>
      <c r="AI11" s="48">
        <f t="shared" ref="AI11:AI74" si="3">MIN(B11:AF11)</f>
        <v>15.6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32.5</v>
      </c>
      <c r="C12" s="45">
        <v>32.5</v>
      </c>
      <c r="D12" s="45">
        <v>32.5</v>
      </c>
      <c r="E12" s="45">
        <v>32.5</v>
      </c>
      <c r="F12" s="45">
        <v>32.5</v>
      </c>
      <c r="G12" s="45">
        <v>32.5</v>
      </c>
      <c r="H12" s="45">
        <v>32.5</v>
      </c>
      <c r="I12" s="45">
        <v>32.5</v>
      </c>
      <c r="J12" s="45">
        <v>32.5</v>
      </c>
      <c r="K12" s="45">
        <v>32.5</v>
      </c>
      <c r="L12" s="45">
        <v>32.5</v>
      </c>
      <c r="M12" s="45">
        <v>32.5</v>
      </c>
      <c r="N12" s="45">
        <v>32.5</v>
      </c>
      <c r="O12" s="45">
        <v>32.700000000000003</v>
      </c>
      <c r="P12" s="45">
        <v>32.700000000000003</v>
      </c>
      <c r="Q12" s="45">
        <v>32.700000000000003</v>
      </c>
      <c r="R12" s="45">
        <v>32.700000000000003</v>
      </c>
      <c r="S12" s="45">
        <v>32.700000000000003</v>
      </c>
      <c r="T12" s="45">
        <v>32.700000000000003</v>
      </c>
      <c r="U12" s="45">
        <v>32.700000000000003</v>
      </c>
      <c r="V12" s="45">
        <v>32.700000000000003</v>
      </c>
      <c r="W12" s="45">
        <v>32.700000000000003</v>
      </c>
      <c r="X12" s="45">
        <v>32.700000000000003</v>
      </c>
      <c r="Y12" s="45">
        <v>32.700000000000003</v>
      </c>
      <c r="Z12" s="45">
        <v>32.700000000000003</v>
      </c>
      <c r="AA12" s="45">
        <v>32.700000000000003</v>
      </c>
      <c r="AB12" s="45">
        <v>32.700000000000003</v>
      </c>
      <c r="AC12" s="45">
        <v>32.700000000000003</v>
      </c>
      <c r="AD12" s="45">
        <v>32.700000000000003</v>
      </c>
      <c r="AE12" s="45">
        <v>32.700000000000003</v>
      </c>
      <c r="AF12" s="45">
        <v>32.700000000000003</v>
      </c>
      <c r="AG12" s="50">
        <v>50</v>
      </c>
      <c r="AH12" s="47">
        <f t="shared" si="2"/>
        <v>32.700000000000003</v>
      </c>
      <c r="AI12" s="48">
        <f t="shared" si="3"/>
        <v>32.5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19.100000000000001</v>
      </c>
      <c r="C13" s="45">
        <v>19.100000000000001</v>
      </c>
      <c r="D13" s="45">
        <v>19.100000000000001</v>
      </c>
      <c r="E13" s="45">
        <v>19.100000000000001</v>
      </c>
      <c r="F13" s="45">
        <v>19.100000000000001</v>
      </c>
      <c r="G13" s="45">
        <v>19.100000000000001</v>
      </c>
      <c r="H13" s="45">
        <v>19.100000000000001</v>
      </c>
      <c r="I13" s="45">
        <v>19.100000000000001</v>
      </c>
      <c r="J13" s="45">
        <v>19.100000000000001</v>
      </c>
      <c r="K13" s="45">
        <v>19.100000000000001</v>
      </c>
      <c r="L13" s="45">
        <v>19.100000000000001</v>
      </c>
      <c r="M13" s="45">
        <v>19.100000000000001</v>
      </c>
      <c r="N13" s="45">
        <v>19.100000000000001</v>
      </c>
      <c r="O13" s="45">
        <v>19.2</v>
      </c>
      <c r="P13" s="45">
        <v>19.2</v>
      </c>
      <c r="Q13" s="45">
        <v>19.2</v>
      </c>
      <c r="R13" s="45">
        <v>19.2</v>
      </c>
      <c r="S13" s="45">
        <v>19.2</v>
      </c>
      <c r="T13" s="45">
        <v>19.2</v>
      </c>
      <c r="U13" s="45">
        <v>19.2</v>
      </c>
      <c r="V13" s="45">
        <v>19.2</v>
      </c>
      <c r="W13" s="45">
        <v>19.2</v>
      </c>
      <c r="X13" s="45">
        <v>19.2</v>
      </c>
      <c r="Y13" s="45">
        <v>19.2</v>
      </c>
      <c r="Z13" s="45">
        <v>19.2</v>
      </c>
      <c r="AA13" s="45">
        <v>19.2</v>
      </c>
      <c r="AB13" s="45">
        <v>19.2</v>
      </c>
      <c r="AC13" s="45">
        <v>19.2</v>
      </c>
      <c r="AD13" s="45">
        <v>19.2</v>
      </c>
      <c r="AE13" s="45">
        <v>19.2</v>
      </c>
      <c r="AF13" s="45">
        <v>19.2</v>
      </c>
      <c r="AG13" s="50">
        <v>45</v>
      </c>
      <c r="AH13" s="47">
        <f t="shared" si="2"/>
        <v>19.2</v>
      </c>
      <c r="AI13" s="48">
        <f t="shared" si="3"/>
        <v>19.100000000000001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0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50">
        <v>42</v>
      </c>
      <c r="AH14" s="47">
        <f t="shared" si="2"/>
        <v>0</v>
      </c>
      <c r="AI14" s="48">
        <f t="shared" si="3"/>
        <v>0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13</v>
      </c>
      <c r="C15" s="45">
        <v>13</v>
      </c>
      <c r="D15" s="45">
        <v>13</v>
      </c>
      <c r="E15" s="45">
        <v>13</v>
      </c>
      <c r="F15" s="45">
        <v>13</v>
      </c>
      <c r="G15" s="45">
        <v>13</v>
      </c>
      <c r="H15" s="45">
        <v>13</v>
      </c>
      <c r="I15" s="45">
        <v>13</v>
      </c>
      <c r="J15" s="45">
        <v>13</v>
      </c>
      <c r="K15" s="45">
        <v>13</v>
      </c>
      <c r="L15" s="45">
        <v>13</v>
      </c>
      <c r="M15" s="45">
        <v>13</v>
      </c>
      <c r="N15" s="45">
        <v>13</v>
      </c>
      <c r="O15" s="45">
        <v>13</v>
      </c>
      <c r="P15" s="45">
        <v>13</v>
      </c>
      <c r="Q15" s="45">
        <v>13</v>
      </c>
      <c r="R15" s="45">
        <v>13</v>
      </c>
      <c r="S15" s="45">
        <v>13</v>
      </c>
      <c r="T15" s="45">
        <v>13</v>
      </c>
      <c r="U15" s="45">
        <v>13</v>
      </c>
      <c r="V15" s="45">
        <v>13</v>
      </c>
      <c r="W15" s="45">
        <v>13</v>
      </c>
      <c r="X15" s="45">
        <v>13</v>
      </c>
      <c r="Y15" s="45">
        <v>13</v>
      </c>
      <c r="Z15" s="45">
        <v>13</v>
      </c>
      <c r="AA15" s="45">
        <v>13</v>
      </c>
      <c r="AB15" s="45">
        <v>13</v>
      </c>
      <c r="AC15" s="45">
        <v>13</v>
      </c>
      <c r="AD15" s="45">
        <v>13</v>
      </c>
      <c r="AE15" s="45">
        <v>13</v>
      </c>
      <c r="AF15" s="45">
        <v>13</v>
      </c>
      <c r="AG15" s="50">
        <v>36</v>
      </c>
      <c r="AH15" s="47">
        <f t="shared" si="2"/>
        <v>13</v>
      </c>
      <c r="AI15" s="48">
        <f t="shared" si="3"/>
        <v>13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8.4</v>
      </c>
      <c r="C16" s="45">
        <v>8.4</v>
      </c>
      <c r="D16" s="45">
        <v>8.4</v>
      </c>
      <c r="E16" s="45">
        <v>8.4</v>
      </c>
      <c r="F16" s="45">
        <v>8.4</v>
      </c>
      <c r="G16" s="45">
        <v>8.4</v>
      </c>
      <c r="H16" s="45">
        <v>8.4</v>
      </c>
      <c r="I16" s="45">
        <v>8.4</v>
      </c>
      <c r="J16" s="45">
        <v>8.4</v>
      </c>
      <c r="K16" s="45">
        <v>8.4</v>
      </c>
      <c r="L16" s="45">
        <v>8.4</v>
      </c>
      <c r="M16" s="45">
        <v>8.4</v>
      </c>
      <c r="N16" s="45">
        <v>8.4</v>
      </c>
      <c r="O16" s="45">
        <v>8.4</v>
      </c>
      <c r="P16" s="45">
        <v>8.4</v>
      </c>
      <c r="Q16" s="45">
        <v>8.4</v>
      </c>
      <c r="R16" s="45">
        <v>8.4</v>
      </c>
      <c r="S16" s="45">
        <v>8.4</v>
      </c>
      <c r="T16" s="45">
        <v>8.4</v>
      </c>
      <c r="U16" s="45">
        <v>8.4</v>
      </c>
      <c r="V16" s="45">
        <v>8.4</v>
      </c>
      <c r="W16" s="45">
        <v>8.4</v>
      </c>
      <c r="X16" s="45">
        <v>8.4</v>
      </c>
      <c r="Y16" s="45">
        <v>8.4</v>
      </c>
      <c r="Z16" s="45">
        <v>8.4</v>
      </c>
      <c r="AA16" s="45">
        <v>8.4</v>
      </c>
      <c r="AB16" s="45">
        <v>8.4</v>
      </c>
      <c r="AC16" s="45">
        <v>8.4</v>
      </c>
      <c r="AD16" s="45">
        <v>8.4</v>
      </c>
      <c r="AE16" s="45">
        <v>8.4</v>
      </c>
      <c r="AF16" s="45">
        <v>8.4</v>
      </c>
      <c r="AG16" s="51">
        <v>30</v>
      </c>
      <c r="AH16" s="47">
        <f t="shared" si="2"/>
        <v>8.4</v>
      </c>
      <c r="AI16" s="48">
        <f t="shared" si="3"/>
        <v>8.4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7.9</v>
      </c>
      <c r="C17" s="45">
        <v>7.9</v>
      </c>
      <c r="D17" s="45">
        <v>7.9</v>
      </c>
      <c r="E17" s="45">
        <v>7.9</v>
      </c>
      <c r="F17" s="45">
        <v>7.9</v>
      </c>
      <c r="G17" s="45">
        <v>7.9</v>
      </c>
      <c r="H17" s="45">
        <v>7.9</v>
      </c>
      <c r="I17" s="45">
        <v>7.9</v>
      </c>
      <c r="J17" s="45">
        <v>7.9</v>
      </c>
      <c r="K17" s="45">
        <v>7.9</v>
      </c>
      <c r="L17" s="45">
        <v>7.9</v>
      </c>
      <c r="M17" s="45">
        <v>7.9</v>
      </c>
      <c r="N17" s="45">
        <v>7.9</v>
      </c>
      <c r="O17" s="45">
        <v>7.9</v>
      </c>
      <c r="P17" s="45">
        <v>7.9</v>
      </c>
      <c r="Q17" s="45">
        <v>7.9</v>
      </c>
      <c r="R17" s="45">
        <v>7.9</v>
      </c>
      <c r="S17" s="45">
        <v>7.9</v>
      </c>
      <c r="T17" s="45">
        <v>7.9</v>
      </c>
      <c r="U17" s="45">
        <v>7.9</v>
      </c>
      <c r="V17" s="45">
        <v>7.9</v>
      </c>
      <c r="W17" s="45">
        <v>7.9</v>
      </c>
      <c r="X17" s="45">
        <v>7.9</v>
      </c>
      <c r="Y17" s="45">
        <v>7.9</v>
      </c>
      <c r="Z17" s="45">
        <v>7.9</v>
      </c>
      <c r="AA17" s="45">
        <v>7.9</v>
      </c>
      <c r="AB17" s="45">
        <v>7.9</v>
      </c>
      <c r="AC17" s="45">
        <v>7.9</v>
      </c>
      <c r="AD17" s="45">
        <v>7.9</v>
      </c>
      <c r="AE17" s="45">
        <v>7.9</v>
      </c>
      <c r="AF17" s="45">
        <v>7.9</v>
      </c>
      <c r="AG17" s="50">
        <v>24.2</v>
      </c>
      <c r="AH17" s="47">
        <f t="shared" si="2"/>
        <v>7.9</v>
      </c>
      <c r="AI17" s="48">
        <f t="shared" si="3"/>
        <v>7.9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50">
        <v>28</v>
      </c>
      <c r="AH18" s="47">
        <f t="shared" si="2"/>
        <v>8</v>
      </c>
      <c r="AI18" s="48">
        <f t="shared" si="3"/>
        <v>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9.4</v>
      </c>
      <c r="C20" s="45">
        <v>9.4</v>
      </c>
      <c r="D20" s="45">
        <v>9.4</v>
      </c>
      <c r="E20" s="45">
        <v>9.4</v>
      </c>
      <c r="F20" s="45">
        <v>9.4</v>
      </c>
      <c r="G20" s="45">
        <v>9.4</v>
      </c>
      <c r="H20" s="45">
        <v>9.4</v>
      </c>
      <c r="I20" s="45">
        <v>9.4</v>
      </c>
      <c r="J20" s="45">
        <v>9.4</v>
      </c>
      <c r="K20" s="45">
        <v>9.4</v>
      </c>
      <c r="L20" s="45">
        <v>9.4</v>
      </c>
      <c r="M20" s="45">
        <v>9.4</v>
      </c>
      <c r="N20" s="45">
        <v>9.4</v>
      </c>
      <c r="O20" s="45">
        <v>9.4</v>
      </c>
      <c r="P20" s="45">
        <v>9.4</v>
      </c>
      <c r="Q20" s="45">
        <v>9.4</v>
      </c>
      <c r="R20" s="45">
        <v>9.4</v>
      </c>
      <c r="S20" s="45">
        <v>9.4</v>
      </c>
      <c r="T20" s="45">
        <v>9.4</v>
      </c>
      <c r="U20" s="45">
        <v>9.4</v>
      </c>
      <c r="V20" s="45">
        <v>9.4</v>
      </c>
      <c r="W20" s="45">
        <v>9.4</v>
      </c>
      <c r="X20" s="45">
        <v>9.4</v>
      </c>
      <c r="Y20" s="45">
        <v>9.4</v>
      </c>
      <c r="Z20" s="45">
        <v>9.4</v>
      </c>
      <c r="AA20" s="45">
        <v>9.4</v>
      </c>
      <c r="AB20" s="45">
        <v>9.4</v>
      </c>
      <c r="AC20" s="45">
        <v>9.4</v>
      </c>
      <c r="AD20" s="45">
        <v>9.4</v>
      </c>
      <c r="AE20" s="45">
        <v>9.4</v>
      </c>
      <c r="AF20" s="45">
        <v>9.4</v>
      </c>
      <c r="AG20" s="50">
        <v>25</v>
      </c>
      <c r="AH20" s="47">
        <f t="shared" si="2"/>
        <v>9.4</v>
      </c>
      <c r="AI20" s="48">
        <f t="shared" si="3"/>
        <v>9.4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0">
        <v>25</v>
      </c>
      <c r="AH22" s="47">
        <f t="shared" si="2"/>
        <v>11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7.9</v>
      </c>
      <c r="C24" s="45">
        <v>7.9</v>
      </c>
      <c r="D24" s="45">
        <v>7.9</v>
      </c>
      <c r="E24" s="45">
        <v>7.9</v>
      </c>
      <c r="F24" s="45">
        <v>7.9</v>
      </c>
      <c r="G24" s="45">
        <v>7.9</v>
      </c>
      <c r="H24" s="45">
        <v>7.9</v>
      </c>
      <c r="I24" s="45">
        <v>7.9</v>
      </c>
      <c r="J24" s="45">
        <v>7.9</v>
      </c>
      <c r="K24" s="45">
        <v>7.9</v>
      </c>
      <c r="L24" s="45">
        <v>7.9</v>
      </c>
      <c r="M24" s="45">
        <v>7.9</v>
      </c>
      <c r="N24" s="45">
        <v>7.9</v>
      </c>
      <c r="O24" s="45">
        <v>7.9</v>
      </c>
      <c r="P24" s="45">
        <v>7.9</v>
      </c>
      <c r="Q24" s="45">
        <v>7.9</v>
      </c>
      <c r="R24" s="45">
        <v>7.9</v>
      </c>
      <c r="S24" s="45">
        <v>7.9</v>
      </c>
      <c r="T24" s="45">
        <v>7.9</v>
      </c>
      <c r="U24" s="45">
        <v>7.9</v>
      </c>
      <c r="V24" s="45">
        <v>7.9</v>
      </c>
      <c r="W24" s="45">
        <v>7.9</v>
      </c>
      <c r="X24" s="45">
        <v>7.9</v>
      </c>
      <c r="Y24" s="45">
        <v>7.9</v>
      </c>
      <c r="Z24" s="45">
        <v>7.9</v>
      </c>
      <c r="AA24" s="45">
        <v>7.9</v>
      </c>
      <c r="AB24" s="45">
        <v>7.9</v>
      </c>
      <c r="AC24" s="45">
        <v>7.9</v>
      </c>
      <c r="AD24" s="45">
        <v>7.9</v>
      </c>
      <c r="AE24" s="45">
        <v>7.9</v>
      </c>
      <c r="AF24" s="45">
        <v>7.9</v>
      </c>
      <c r="AG24" s="50">
        <v>23.5</v>
      </c>
      <c r="AH24" s="47">
        <f t="shared" si="2"/>
        <v>7.9</v>
      </c>
      <c r="AI24" s="48">
        <f t="shared" si="3"/>
        <v>7.9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8</v>
      </c>
      <c r="C28" s="45">
        <v>8</v>
      </c>
      <c r="D28" s="45">
        <v>8</v>
      </c>
      <c r="E28" s="45">
        <v>8</v>
      </c>
      <c r="F28" s="45">
        <v>8</v>
      </c>
      <c r="G28" s="45">
        <v>8</v>
      </c>
      <c r="H28" s="45">
        <v>8</v>
      </c>
      <c r="I28" s="45">
        <v>8</v>
      </c>
      <c r="J28" s="45">
        <v>8</v>
      </c>
      <c r="K28" s="45">
        <v>8</v>
      </c>
      <c r="L28" s="45">
        <v>8</v>
      </c>
      <c r="M28" s="45">
        <v>8</v>
      </c>
      <c r="N28" s="45">
        <v>8</v>
      </c>
      <c r="O28" s="45">
        <v>8</v>
      </c>
      <c r="P28" s="45">
        <v>8</v>
      </c>
      <c r="Q28" s="45">
        <v>8</v>
      </c>
      <c r="R28" s="45">
        <v>8</v>
      </c>
      <c r="S28" s="45">
        <v>8</v>
      </c>
      <c r="T28" s="45">
        <v>8</v>
      </c>
      <c r="U28" s="45">
        <v>8</v>
      </c>
      <c r="V28" s="45">
        <v>8</v>
      </c>
      <c r="W28" s="45">
        <v>8</v>
      </c>
      <c r="X28" s="45">
        <v>8</v>
      </c>
      <c r="Y28" s="45">
        <v>8</v>
      </c>
      <c r="Z28" s="45">
        <v>8</v>
      </c>
      <c r="AA28" s="45">
        <v>8</v>
      </c>
      <c r="AB28" s="45">
        <v>8</v>
      </c>
      <c r="AC28" s="45">
        <v>8</v>
      </c>
      <c r="AD28" s="45">
        <v>8</v>
      </c>
      <c r="AE28" s="45">
        <v>8</v>
      </c>
      <c r="AF28" s="45">
        <v>8</v>
      </c>
      <c r="AG28" s="50">
        <v>22</v>
      </c>
      <c r="AH28" s="47">
        <f t="shared" si="2"/>
        <v>8</v>
      </c>
      <c r="AI28" s="48">
        <f t="shared" si="3"/>
        <v>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>
        <v>10</v>
      </c>
      <c r="L35" s="45">
        <v>10</v>
      </c>
      <c r="M35" s="45">
        <v>10</v>
      </c>
      <c r="N35" s="45">
        <v>10</v>
      </c>
      <c r="O35" s="45">
        <v>10</v>
      </c>
      <c r="P35" s="45">
        <v>10</v>
      </c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45">
        <v>10</v>
      </c>
      <c r="Z35" s="45">
        <v>10</v>
      </c>
      <c r="AA35" s="45">
        <v>10</v>
      </c>
      <c r="AB35" s="45">
        <v>10</v>
      </c>
      <c r="AC35" s="45">
        <v>10</v>
      </c>
      <c r="AD35" s="45">
        <v>10</v>
      </c>
      <c r="AE35" s="45">
        <v>10</v>
      </c>
      <c r="AF35" s="45">
        <v>10</v>
      </c>
      <c r="AG35" s="50">
        <v>12</v>
      </c>
      <c r="AH35" s="47">
        <f t="shared" si="2"/>
        <v>10</v>
      </c>
      <c r="AI35" s="48">
        <f t="shared" si="3"/>
        <v>10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100</v>
      </c>
      <c r="C42" s="56">
        <v>100</v>
      </c>
      <c r="D42" s="56">
        <v>100</v>
      </c>
      <c r="E42" s="56">
        <v>100</v>
      </c>
      <c r="F42" s="56">
        <v>100</v>
      </c>
      <c r="G42" s="56">
        <v>100</v>
      </c>
      <c r="H42" s="56">
        <v>100</v>
      </c>
      <c r="I42" s="56">
        <v>100</v>
      </c>
      <c r="J42" s="56">
        <v>100</v>
      </c>
      <c r="K42" s="56">
        <v>100</v>
      </c>
      <c r="L42" s="56">
        <v>100</v>
      </c>
      <c r="M42" s="56">
        <v>100</v>
      </c>
      <c r="N42" s="56">
        <v>100</v>
      </c>
      <c r="O42" s="56">
        <v>100</v>
      </c>
      <c r="P42" s="56">
        <v>100</v>
      </c>
      <c r="Q42" s="56">
        <v>100</v>
      </c>
      <c r="R42" s="56">
        <v>100</v>
      </c>
      <c r="S42" s="56">
        <v>100</v>
      </c>
      <c r="T42" s="56">
        <v>100</v>
      </c>
      <c r="U42" s="56">
        <v>100</v>
      </c>
      <c r="V42" s="56">
        <v>100</v>
      </c>
      <c r="W42" s="56">
        <v>100</v>
      </c>
      <c r="X42" s="56">
        <v>100</v>
      </c>
      <c r="Y42" s="56">
        <v>100</v>
      </c>
      <c r="Z42" s="56">
        <v>100</v>
      </c>
      <c r="AA42" s="56">
        <v>100</v>
      </c>
      <c r="AB42" s="56">
        <v>100</v>
      </c>
      <c r="AC42" s="56">
        <v>100</v>
      </c>
      <c r="AD42" s="56">
        <v>100</v>
      </c>
      <c r="AE42" s="56">
        <v>100</v>
      </c>
      <c r="AF42" s="56">
        <v>100</v>
      </c>
      <c r="AG42" s="54">
        <v>85</v>
      </c>
      <c r="AH42" s="47">
        <f t="shared" si="2"/>
        <v>100</v>
      </c>
      <c r="AI42" s="48">
        <f t="shared" si="3"/>
        <v>100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:AG44" si="4">SUM(B11:B42)</f>
        <v>370.1</v>
      </c>
      <c r="C44" s="60">
        <f t="shared" si="4"/>
        <v>370.1</v>
      </c>
      <c r="D44" s="60">
        <f t="shared" si="4"/>
        <v>370.1</v>
      </c>
      <c r="E44" s="60">
        <f t="shared" si="4"/>
        <v>370.1</v>
      </c>
      <c r="F44" s="60">
        <f t="shared" si="4"/>
        <v>370.1</v>
      </c>
      <c r="G44" s="60">
        <f t="shared" si="4"/>
        <v>370.1</v>
      </c>
      <c r="H44" s="60">
        <f t="shared" si="4"/>
        <v>370.1</v>
      </c>
      <c r="I44" s="60">
        <f t="shared" si="4"/>
        <v>370.1</v>
      </c>
      <c r="J44" s="60">
        <f t="shared" si="4"/>
        <v>370.1</v>
      </c>
      <c r="K44" s="60">
        <f t="shared" si="4"/>
        <v>370.1</v>
      </c>
      <c r="L44" s="60">
        <f t="shared" si="4"/>
        <v>370.1</v>
      </c>
      <c r="M44" s="60">
        <f t="shared" si="4"/>
        <v>370.1</v>
      </c>
      <c r="N44" s="60">
        <f t="shared" si="4"/>
        <v>370.1</v>
      </c>
      <c r="O44" s="60">
        <f t="shared" si="4"/>
        <v>370.20000000000005</v>
      </c>
      <c r="P44" s="60">
        <f t="shared" si="4"/>
        <v>370.20000000000005</v>
      </c>
      <c r="Q44" s="60">
        <f t="shared" si="4"/>
        <v>370.20000000000005</v>
      </c>
      <c r="R44" s="60">
        <f t="shared" si="4"/>
        <v>370.20000000000005</v>
      </c>
      <c r="S44" s="60">
        <f t="shared" si="4"/>
        <v>370.20000000000005</v>
      </c>
      <c r="T44" s="60">
        <f t="shared" si="4"/>
        <v>370.20000000000005</v>
      </c>
      <c r="U44" s="60">
        <f t="shared" si="4"/>
        <v>370.20000000000005</v>
      </c>
      <c r="V44" s="60">
        <f t="shared" si="4"/>
        <v>368.8</v>
      </c>
      <c r="W44" s="60">
        <f t="shared" ref="W44:X44" si="5">SUM(W11:W42)</f>
        <v>368.8</v>
      </c>
      <c r="X44" s="60">
        <f t="shared" si="5"/>
        <v>368.8</v>
      </c>
      <c r="Y44" s="60">
        <v>368.8</v>
      </c>
      <c r="Z44" s="60">
        <f t="shared" si="4"/>
        <v>368.8</v>
      </c>
      <c r="AA44" s="60">
        <f t="shared" si="4"/>
        <v>368.8</v>
      </c>
      <c r="AB44" s="60">
        <f t="shared" si="4"/>
        <v>368.8</v>
      </c>
      <c r="AC44" s="60">
        <f t="shared" si="4"/>
        <v>368.8</v>
      </c>
      <c r="AD44" s="60">
        <f t="shared" si="4"/>
        <v>368.8</v>
      </c>
      <c r="AE44" s="60">
        <f t="shared" si="4"/>
        <v>368.8</v>
      </c>
      <c r="AF44" s="60">
        <f t="shared" si="4"/>
        <v>368.8</v>
      </c>
      <c r="AG44" s="61">
        <f t="shared" si="4"/>
        <v>814.78000000000009</v>
      </c>
      <c r="AH44" s="47">
        <f t="shared" si="2"/>
        <v>370.20000000000005</v>
      </c>
      <c r="AI44" s="48">
        <f t="shared" si="3"/>
        <v>368.8</v>
      </c>
      <c r="AK44" s="49"/>
    </row>
    <row r="45" spans="1:88" x14ac:dyDescent="0.25">
      <c r="A45" s="62" t="s">
        <v>53</v>
      </c>
      <c r="B45" s="45">
        <v>50</v>
      </c>
      <c r="C45" s="45">
        <v>40</v>
      </c>
      <c r="D45" s="45">
        <v>40</v>
      </c>
      <c r="E45" s="45">
        <v>15</v>
      </c>
      <c r="F45" s="45">
        <v>40</v>
      </c>
      <c r="G45" s="45">
        <v>20</v>
      </c>
      <c r="H45" s="45">
        <v>55</v>
      </c>
      <c r="I45" s="45">
        <v>70</v>
      </c>
      <c r="J45" s="45">
        <v>100</v>
      </c>
      <c r="K45" s="45">
        <v>130</v>
      </c>
      <c r="L45" s="45">
        <v>130</v>
      </c>
      <c r="M45" s="63">
        <v>115</v>
      </c>
      <c r="N45" s="63">
        <v>100</v>
      </c>
      <c r="O45" s="45">
        <v>135</v>
      </c>
      <c r="P45" s="45">
        <v>150</v>
      </c>
      <c r="Q45" s="45">
        <v>110</v>
      </c>
      <c r="R45" s="45">
        <v>100</v>
      </c>
      <c r="S45" s="45">
        <v>45</v>
      </c>
      <c r="T45" s="45">
        <v>60</v>
      </c>
      <c r="U45" s="45">
        <v>70</v>
      </c>
      <c r="V45" s="45">
        <v>25</v>
      </c>
      <c r="W45" s="45">
        <v>25</v>
      </c>
      <c r="X45" s="45">
        <v>25</v>
      </c>
      <c r="Y45" s="45">
        <v>170</v>
      </c>
      <c r="Z45" s="45">
        <v>250</v>
      </c>
      <c r="AA45" s="45">
        <v>180</v>
      </c>
      <c r="AB45" s="45">
        <v>140</v>
      </c>
      <c r="AC45" s="45">
        <v>140</v>
      </c>
      <c r="AD45" s="45">
        <v>170</v>
      </c>
      <c r="AE45" s="45">
        <v>110</v>
      </c>
      <c r="AF45" s="45">
        <v>30</v>
      </c>
      <c r="AG45" s="51">
        <v>456</v>
      </c>
      <c r="AH45" s="47">
        <f t="shared" si="2"/>
        <v>250</v>
      </c>
      <c r="AI45" s="48">
        <f t="shared" si="3"/>
        <v>15</v>
      </c>
      <c r="AK45" s="49"/>
    </row>
    <row r="46" spans="1:88" x14ac:dyDescent="0.25">
      <c r="A46" s="64" t="s">
        <v>54</v>
      </c>
      <c r="B46" s="65">
        <v>28</v>
      </c>
      <c r="C46" s="65">
        <v>28</v>
      </c>
      <c r="D46" s="65">
        <v>28</v>
      </c>
      <c r="E46" s="65">
        <v>28</v>
      </c>
      <c r="F46" s="65">
        <v>28</v>
      </c>
      <c r="G46" s="65">
        <v>28</v>
      </c>
      <c r="H46" s="65">
        <v>28</v>
      </c>
      <c r="I46" s="65">
        <v>28</v>
      </c>
      <c r="J46" s="65">
        <v>28</v>
      </c>
      <c r="K46" s="65">
        <v>28</v>
      </c>
      <c r="L46" s="65">
        <v>28</v>
      </c>
      <c r="M46" s="65">
        <v>28</v>
      </c>
      <c r="N46" s="65">
        <v>28</v>
      </c>
      <c r="O46" s="65">
        <v>28</v>
      </c>
      <c r="P46" s="65">
        <v>28</v>
      </c>
      <c r="Q46" s="65">
        <v>28</v>
      </c>
      <c r="R46" s="65">
        <v>28</v>
      </c>
      <c r="S46" s="65">
        <v>28</v>
      </c>
      <c r="T46" s="65">
        <v>28</v>
      </c>
      <c r="U46" s="65">
        <v>28</v>
      </c>
      <c r="V46" s="65">
        <v>28</v>
      </c>
      <c r="W46" s="65">
        <v>28</v>
      </c>
      <c r="X46" s="65">
        <v>28</v>
      </c>
      <c r="Y46" s="65">
        <v>28</v>
      </c>
      <c r="Z46" s="65">
        <v>28</v>
      </c>
      <c r="AA46" s="65">
        <v>28</v>
      </c>
      <c r="AB46" s="65">
        <v>28</v>
      </c>
      <c r="AC46" s="65">
        <v>28</v>
      </c>
      <c r="AD46" s="65">
        <v>28</v>
      </c>
      <c r="AE46" s="65">
        <v>28</v>
      </c>
      <c r="AF46" s="65">
        <v>28</v>
      </c>
      <c r="AG46" s="54">
        <v>60</v>
      </c>
      <c r="AH46" s="47">
        <f t="shared" si="2"/>
        <v>28</v>
      </c>
      <c r="AI46" s="48">
        <f t="shared" si="3"/>
        <v>28</v>
      </c>
      <c r="AK46" s="49"/>
    </row>
    <row r="47" spans="1:88" ht="15.75" thickBot="1" x14ac:dyDescent="0.3">
      <c r="A47" s="66" t="s">
        <v>55</v>
      </c>
      <c r="B47" s="67">
        <v>10.199999999999999</v>
      </c>
      <c r="C47" s="67">
        <v>10.199999999999999</v>
      </c>
      <c r="D47" s="67">
        <v>10.199999999999999</v>
      </c>
      <c r="E47" s="67">
        <v>10.199999999999999</v>
      </c>
      <c r="F47" s="67">
        <v>10.199999999999999</v>
      </c>
      <c r="G47" s="67">
        <v>10.199999999999999</v>
      </c>
      <c r="H47" s="67">
        <v>10.199999999999999</v>
      </c>
      <c r="I47" s="67">
        <v>10.199999999999999</v>
      </c>
      <c r="J47" s="67">
        <v>10.199999999999999</v>
      </c>
      <c r="K47" s="67">
        <v>10.3</v>
      </c>
      <c r="L47" s="67">
        <v>10.4</v>
      </c>
      <c r="M47" s="67">
        <v>10.6</v>
      </c>
      <c r="N47" s="67">
        <v>10.6</v>
      </c>
      <c r="O47" s="67">
        <v>10.6</v>
      </c>
      <c r="P47" s="67">
        <v>10.6</v>
      </c>
      <c r="Q47" s="67">
        <v>10.6</v>
      </c>
      <c r="R47" s="67">
        <v>10.6</v>
      </c>
      <c r="S47" s="67">
        <v>10.6</v>
      </c>
      <c r="T47" s="67">
        <v>10.6</v>
      </c>
      <c r="U47" s="67">
        <v>10.6</v>
      </c>
      <c r="V47" s="67">
        <v>10.6</v>
      </c>
      <c r="W47" s="67">
        <v>10.6</v>
      </c>
      <c r="X47" s="67">
        <v>10.6</v>
      </c>
      <c r="Y47" s="67">
        <v>17.100000000000001</v>
      </c>
      <c r="Z47" s="67">
        <v>17.100000000000001</v>
      </c>
      <c r="AA47" s="67">
        <v>17.100000000000001</v>
      </c>
      <c r="AB47" s="67">
        <v>17.100000000000001</v>
      </c>
      <c r="AC47" s="67">
        <v>16.899999999999999</v>
      </c>
      <c r="AD47" s="67">
        <v>10.199999999999999</v>
      </c>
      <c r="AE47" s="67">
        <v>10.1</v>
      </c>
      <c r="AF47" s="67">
        <v>10.199999999999999</v>
      </c>
      <c r="AG47" s="68">
        <v>22.1</v>
      </c>
      <c r="AH47" s="47">
        <f t="shared" si="2"/>
        <v>17.100000000000001</v>
      </c>
      <c r="AI47" s="48">
        <f t="shared" si="3"/>
        <v>10.1</v>
      </c>
      <c r="AK47" s="49"/>
    </row>
    <row r="48" spans="1:88" ht="15.75" thickBot="1" x14ac:dyDescent="0.3">
      <c r="A48" s="69" t="s">
        <v>56</v>
      </c>
      <c r="B48" s="60">
        <f t="shared" ref="B48:AG48" si="6">SUM(B45:B47)</f>
        <v>88.2</v>
      </c>
      <c r="C48" s="60">
        <f t="shared" si="6"/>
        <v>78.2</v>
      </c>
      <c r="D48" s="60">
        <f t="shared" si="6"/>
        <v>78.2</v>
      </c>
      <c r="E48" s="60">
        <f t="shared" si="6"/>
        <v>53.2</v>
      </c>
      <c r="F48" s="60">
        <f t="shared" si="6"/>
        <v>78.2</v>
      </c>
      <c r="G48" s="60">
        <f t="shared" si="6"/>
        <v>58.2</v>
      </c>
      <c r="H48" s="60">
        <f t="shared" si="6"/>
        <v>93.2</v>
      </c>
      <c r="I48" s="60">
        <f t="shared" si="6"/>
        <v>108.2</v>
      </c>
      <c r="J48" s="60">
        <f t="shared" si="6"/>
        <v>138.19999999999999</v>
      </c>
      <c r="K48" s="60">
        <f t="shared" si="6"/>
        <v>168.3</v>
      </c>
      <c r="L48" s="60">
        <f t="shared" si="6"/>
        <v>168.4</v>
      </c>
      <c r="M48" s="60">
        <f t="shared" si="6"/>
        <v>153.6</v>
      </c>
      <c r="N48" s="60">
        <f t="shared" si="6"/>
        <v>138.6</v>
      </c>
      <c r="O48" s="60">
        <f t="shared" si="6"/>
        <v>173.6</v>
      </c>
      <c r="P48" s="60">
        <f t="shared" si="6"/>
        <v>188.6</v>
      </c>
      <c r="Q48" s="60">
        <f t="shared" si="6"/>
        <v>148.6</v>
      </c>
      <c r="R48" s="60">
        <f t="shared" si="6"/>
        <v>138.6</v>
      </c>
      <c r="S48" s="60">
        <f t="shared" si="6"/>
        <v>83.6</v>
      </c>
      <c r="T48" s="60">
        <f t="shared" si="6"/>
        <v>98.6</v>
      </c>
      <c r="U48" s="60">
        <f t="shared" si="6"/>
        <v>108.6</v>
      </c>
      <c r="V48" s="60">
        <f t="shared" si="6"/>
        <v>63.6</v>
      </c>
      <c r="W48" s="60">
        <f t="shared" ref="W48:X48" si="7">SUM(W45:W47)</f>
        <v>63.6</v>
      </c>
      <c r="X48" s="60">
        <f t="shared" si="7"/>
        <v>63.6</v>
      </c>
      <c r="Y48" s="60">
        <v>215.1</v>
      </c>
      <c r="Z48" s="60">
        <f t="shared" si="6"/>
        <v>295.10000000000002</v>
      </c>
      <c r="AA48" s="60">
        <f t="shared" si="6"/>
        <v>225.1</v>
      </c>
      <c r="AB48" s="60">
        <f t="shared" si="6"/>
        <v>185.1</v>
      </c>
      <c r="AC48" s="60">
        <f t="shared" si="6"/>
        <v>184.9</v>
      </c>
      <c r="AD48" s="60">
        <f t="shared" si="6"/>
        <v>208.2</v>
      </c>
      <c r="AE48" s="60">
        <f t="shared" si="6"/>
        <v>148.1</v>
      </c>
      <c r="AF48" s="60">
        <f t="shared" si="6"/>
        <v>68.2</v>
      </c>
      <c r="AG48" s="61">
        <f t="shared" si="6"/>
        <v>538.1</v>
      </c>
      <c r="AH48" s="47">
        <f t="shared" si="2"/>
        <v>295.10000000000002</v>
      </c>
      <c r="AI48" s="48">
        <f t="shared" si="3"/>
        <v>53.2</v>
      </c>
      <c r="AK48" s="49"/>
    </row>
    <row r="49" spans="1:41" x14ac:dyDescent="0.25">
      <c r="A49" s="44" t="s">
        <v>57</v>
      </c>
      <c r="B49" s="45">
        <v>52.4</v>
      </c>
      <c r="C49" s="45">
        <v>0</v>
      </c>
      <c r="D49" s="45">
        <v>0</v>
      </c>
      <c r="E49" s="45">
        <v>0</v>
      </c>
      <c r="F49" s="45">
        <v>0</v>
      </c>
      <c r="G49" s="45">
        <v>25.2</v>
      </c>
      <c r="H49" s="45">
        <v>40</v>
      </c>
      <c r="I49" s="45">
        <v>62</v>
      </c>
      <c r="J49" s="45">
        <v>95</v>
      </c>
      <c r="K49" s="45">
        <v>106</v>
      </c>
      <c r="L49" s="45">
        <v>91.8</v>
      </c>
      <c r="M49" s="45">
        <v>93.2</v>
      </c>
      <c r="N49" s="45">
        <v>93.2</v>
      </c>
      <c r="O49" s="45">
        <v>70.7</v>
      </c>
      <c r="P49" s="45">
        <v>81.599999999999994</v>
      </c>
      <c r="Q49" s="45">
        <v>81.599999999999994</v>
      </c>
      <c r="R49" s="45">
        <v>81.599999999999994</v>
      </c>
      <c r="S49" s="45">
        <v>81</v>
      </c>
      <c r="T49" s="45">
        <v>81</v>
      </c>
      <c r="U49" s="45">
        <v>61.5</v>
      </c>
      <c r="V49" s="45">
        <v>61</v>
      </c>
      <c r="W49" s="45">
        <v>61</v>
      </c>
      <c r="X49" s="45">
        <v>61</v>
      </c>
      <c r="Y49" s="45">
        <v>140</v>
      </c>
      <c r="Z49" s="45">
        <v>110</v>
      </c>
      <c r="AA49" s="45">
        <v>81.3</v>
      </c>
      <c r="AB49" s="45">
        <v>65.400000000000006</v>
      </c>
      <c r="AC49" s="45">
        <v>81.5</v>
      </c>
      <c r="AD49" s="45">
        <v>91.6</v>
      </c>
      <c r="AE49" s="45">
        <v>36.9</v>
      </c>
      <c r="AF49" s="45">
        <v>0</v>
      </c>
      <c r="AG49" s="51">
        <v>144</v>
      </c>
      <c r="AH49" s="47">
        <f t="shared" si="2"/>
        <v>140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20.8</v>
      </c>
      <c r="H50" s="65">
        <v>20.8</v>
      </c>
      <c r="I50" s="65">
        <v>35</v>
      </c>
      <c r="J50" s="65">
        <v>48.2</v>
      </c>
      <c r="K50" s="65">
        <v>53</v>
      </c>
      <c r="L50" s="65">
        <v>71.599999999999994</v>
      </c>
      <c r="M50" s="65">
        <v>68.5</v>
      </c>
      <c r="N50" s="65">
        <v>50.5</v>
      </c>
      <c r="O50" s="65">
        <v>45.8</v>
      </c>
      <c r="P50" s="65">
        <v>60</v>
      </c>
      <c r="Q50" s="65">
        <v>33.4</v>
      </c>
      <c r="R50" s="65">
        <v>33.4</v>
      </c>
      <c r="S50" s="45">
        <v>35.5</v>
      </c>
      <c r="T50" s="45">
        <v>35.5</v>
      </c>
      <c r="U50" s="45">
        <v>35</v>
      </c>
      <c r="V50" s="45">
        <v>26</v>
      </c>
      <c r="W50" s="45">
        <v>26</v>
      </c>
      <c r="X50" s="45">
        <v>26</v>
      </c>
      <c r="Y50" s="45">
        <v>49.8</v>
      </c>
      <c r="Z50" s="45">
        <v>56</v>
      </c>
      <c r="AA50" s="45">
        <v>51.9</v>
      </c>
      <c r="AB50" s="45">
        <v>33.5</v>
      </c>
      <c r="AC50" s="65">
        <v>35</v>
      </c>
      <c r="AD50" s="65">
        <v>21</v>
      </c>
      <c r="AE50" s="65">
        <v>0</v>
      </c>
      <c r="AF50" s="65">
        <v>0</v>
      </c>
      <c r="AG50" s="54">
        <v>70</v>
      </c>
      <c r="AH50" s="47">
        <f t="shared" si="2"/>
        <v>71.599999999999994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17</v>
      </c>
      <c r="C51" s="65">
        <v>17.600000000000001</v>
      </c>
      <c r="D51" s="65">
        <v>17.600000000000001</v>
      </c>
      <c r="E51" s="65">
        <v>17.600000000000001</v>
      </c>
      <c r="F51" s="65">
        <v>17.600000000000001</v>
      </c>
      <c r="G51" s="65">
        <v>16.2</v>
      </c>
      <c r="H51" s="65">
        <v>33</v>
      </c>
      <c r="I51" s="65">
        <v>44.3</v>
      </c>
      <c r="J51" s="65">
        <v>45.6</v>
      </c>
      <c r="K51" s="65">
        <v>52.3</v>
      </c>
      <c r="L51" s="65">
        <v>67.8</v>
      </c>
      <c r="M51" s="65">
        <v>59.7</v>
      </c>
      <c r="N51" s="65">
        <v>36</v>
      </c>
      <c r="O51" s="65">
        <v>32.6</v>
      </c>
      <c r="P51" s="65">
        <v>32</v>
      </c>
      <c r="Q51" s="65">
        <v>46.9</v>
      </c>
      <c r="R51" s="65">
        <v>46.9</v>
      </c>
      <c r="S51" s="45">
        <v>45.7</v>
      </c>
      <c r="T51" s="45">
        <v>45.7</v>
      </c>
      <c r="U51" s="45">
        <v>45.9</v>
      </c>
      <c r="V51" s="45">
        <v>32</v>
      </c>
      <c r="W51" s="45">
        <v>32</v>
      </c>
      <c r="X51" s="45">
        <v>32</v>
      </c>
      <c r="Y51" s="45">
        <v>65.599999999999994</v>
      </c>
      <c r="Z51" s="45">
        <v>52</v>
      </c>
      <c r="AA51" s="45">
        <v>56.4</v>
      </c>
      <c r="AB51" s="45">
        <v>48.5</v>
      </c>
      <c r="AC51" s="65">
        <v>66.099999999999994</v>
      </c>
      <c r="AD51" s="65">
        <v>48.7</v>
      </c>
      <c r="AE51" s="65">
        <v>16.8</v>
      </c>
      <c r="AF51" s="65">
        <v>17</v>
      </c>
      <c r="AG51" s="54">
        <v>69</v>
      </c>
      <c r="AH51" s="47">
        <f t="shared" si="2"/>
        <v>67.8</v>
      </c>
      <c r="AI51" s="48">
        <f t="shared" si="3"/>
        <v>16.2</v>
      </c>
      <c r="AK51" s="49"/>
    </row>
    <row r="52" spans="1:41" x14ac:dyDescent="0.25">
      <c r="A52" s="53" t="s">
        <v>60</v>
      </c>
      <c r="B52" s="56">
        <v>46.4</v>
      </c>
      <c r="C52" s="56">
        <v>46.4</v>
      </c>
      <c r="D52" s="56">
        <v>46.4</v>
      </c>
      <c r="E52" s="56">
        <v>44.1</v>
      </c>
      <c r="F52" s="56">
        <v>44.3</v>
      </c>
      <c r="G52" s="56">
        <v>44.3</v>
      </c>
      <c r="H52" s="56">
        <v>44.1</v>
      </c>
      <c r="I52" s="56">
        <v>44.3</v>
      </c>
      <c r="J52" s="56">
        <v>44.1</v>
      </c>
      <c r="K52" s="56">
        <v>44.3</v>
      </c>
      <c r="L52" s="56">
        <v>44.3</v>
      </c>
      <c r="M52" s="65">
        <v>46.4</v>
      </c>
      <c r="N52" s="65">
        <v>46.4</v>
      </c>
      <c r="O52" s="65">
        <v>44.1</v>
      </c>
      <c r="P52" s="65">
        <v>44.1</v>
      </c>
      <c r="Q52" s="65">
        <v>46.1</v>
      </c>
      <c r="R52" s="65">
        <v>46.1</v>
      </c>
      <c r="S52" s="45">
        <v>46.1</v>
      </c>
      <c r="T52" s="45">
        <v>46.1</v>
      </c>
      <c r="U52" s="45">
        <v>46.1</v>
      </c>
      <c r="V52" s="45">
        <v>42.8</v>
      </c>
      <c r="W52" s="45">
        <v>42.8</v>
      </c>
      <c r="X52" s="45">
        <v>42.8</v>
      </c>
      <c r="Y52" s="45">
        <v>42.8</v>
      </c>
      <c r="Z52" s="45">
        <v>42.8</v>
      </c>
      <c r="AA52" s="45">
        <v>42.8</v>
      </c>
      <c r="AB52" s="45">
        <v>42.8</v>
      </c>
      <c r="AC52" s="65">
        <v>42.6</v>
      </c>
      <c r="AD52" s="65">
        <v>42.6</v>
      </c>
      <c r="AE52" s="65">
        <v>42.6</v>
      </c>
      <c r="AF52" s="65">
        <v>42.6</v>
      </c>
      <c r="AG52" s="54">
        <v>60</v>
      </c>
      <c r="AH52" s="47">
        <f t="shared" si="2"/>
        <v>46.4</v>
      </c>
      <c r="AI52" s="48">
        <f t="shared" si="3"/>
        <v>42.6</v>
      </c>
      <c r="AK52" s="49"/>
    </row>
    <row r="53" spans="1:41" x14ac:dyDescent="0.25">
      <c r="A53" s="53" t="s">
        <v>61</v>
      </c>
      <c r="B53" s="56">
        <v>0</v>
      </c>
      <c r="C53" s="56">
        <v>0</v>
      </c>
      <c r="D53" s="56">
        <v>0</v>
      </c>
      <c r="E53" s="56">
        <v>0</v>
      </c>
      <c r="F53" s="56">
        <v>0</v>
      </c>
      <c r="G53" s="56">
        <v>0</v>
      </c>
      <c r="H53" s="56">
        <v>10</v>
      </c>
      <c r="I53" s="56">
        <v>10</v>
      </c>
      <c r="J53" s="56">
        <v>10</v>
      </c>
      <c r="K53" s="56">
        <v>15</v>
      </c>
      <c r="L53" s="56">
        <v>15</v>
      </c>
      <c r="M53" s="65">
        <v>15</v>
      </c>
      <c r="N53" s="65">
        <v>15</v>
      </c>
      <c r="O53" s="65">
        <v>15</v>
      </c>
      <c r="P53" s="65">
        <v>15</v>
      </c>
      <c r="Q53" s="65">
        <v>13</v>
      </c>
      <c r="R53" s="65">
        <v>13</v>
      </c>
      <c r="S53" s="65">
        <v>13</v>
      </c>
      <c r="T53" s="65">
        <v>13</v>
      </c>
      <c r="U53" s="65">
        <v>13</v>
      </c>
      <c r="V53" s="45">
        <v>15</v>
      </c>
      <c r="W53" s="45">
        <v>15</v>
      </c>
      <c r="X53" s="45">
        <v>15</v>
      </c>
      <c r="Y53" s="45">
        <v>26</v>
      </c>
      <c r="Z53" s="45">
        <v>26</v>
      </c>
      <c r="AA53" s="45">
        <v>26</v>
      </c>
      <c r="AB53" s="45">
        <v>15</v>
      </c>
      <c r="AC53" s="65">
        <v>11</v>
      </c>
      <c r="AD53" s="65">
        <v>11</v>
      </c>
      <c r="AE53" s="65">
        <v>11</v>
      </c>
      <c r="AF53" s="65">
        <v>0</v>
      </c>
      <c r="AG53" s="54">
        <v>30</v>
      </c>
      <c r="AH53" s="47">
        <f t="shared" si="2"/>
        <v>26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0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16</v>
      </c>
      <c r="C55" s="65">
        <v>16</v>
      </c>
      <c r="D55" s="65">
        <v>16</v>
      </c>
      <c r="E55" s="65">
        <v>16</v>
      </c>
      <c r="F55" s="65">
        <v>16</v>
      </c>
      <c r="G55" s="65">
        <v>16</v>
      </c>
      <c r="H55" s="65">
        <v>16</v>
      </c>
      <c r="I55" s="65">
        <v>16</v>
      </c>
      <c r="J55" s="65">
        <v>16</v>
      </c>
      <c r="K55" s="65">
        <v>16</v>
      </c>
      <c r="L55" s="65">
        <v>16</v>
      </c>
      <c r="M55" s="65">
        <v>16</v>
      </c>
      <c r="N55" s="65">
        <v>16</v>
      </c>
      <c r="O55" s="65">
        <v>16</v>
      </c>
      <c r="P55" s="65">
        <v>16</v>
      </c>
      <c r="Q55" s="65">
        <v>16</v>
      </c>
      <c r="R55" s="65">
        <v>16</v>
      </c>
      <c r="S55" s="65">
        <v>16</v>
      </c>
      <c r="T55" s="65">
        <v>16</v>
      </c>
      <c r="U55" s="65">
        <v>16</v>
      </c>
      <c r="V55" s="65">
        <v>16</v>
      </c>
      <c r="W55" s="65">
        <v>16</v>
      </c>
      <c r="X55" s="65">
        <v>16</v>
      </c>
      <c r="Y55" s="65">
        <v>16</v>
      </c>
      <c r="Z55" s="65">
        <v>16</v>
      </c>
      <c r="AA55" s="65">
        <v>16</v>
      </c>
      <c r="AB55" s="65">
        <v>16</v>
      </c>
      <c r="AC55" s="65">
        <v>16</v>
      </c>
      <c r="AD55" s="65">
        <v>16</v>
      </c>
      <c r="AE55" s="65">
        <v>16</v>
      </c>
      <c r="AF55" s="65">
        <v>16</v>
      </c>
      <c r="AG55" s="54">
        <v>24</v>
      </c>
      <c r="AH55" s="47">
        <f t="shared" si="2"/>
        <v>16</v>
      </c>
      <c r="AI55" s="48">
        <f t="shared" si="3"/>
        <v>16</v>
      </c>
      <c r="AK55" s="49"/>
    </row>
    <row r="56" spans="1:41" x14ac:dyDescent="0.25">
      <c r="A56" s="53" t="s">
        <v>64</v>
      </c>
      <c r="B56" s="65">
        <v>3.3</v>
      </c>
      <c r="C56" s="65">
        <v>3.3</v>
      </c>
      <c r="D56" s="65">
        <v>3.3</v>
      </c>
      <c r="E56" s="65">
        <v>3.3</v>
      </c>
      <c r="F56" s="65">
        <v>3.3</v>
      </c>
      <c r="G56" s="65">
        <v>3.3</v>
      </c>
      <c r="H56" s="65">
        <v>3.3</v>
      </c>
      <c r="I56" s="65">
        <v>3.3</v>
      </c>
      <c r="J56" s="65">
        <v>3.3</v>
      </c>
      <c r="K56" s="65">
        <v>3.3</v>
      </c>
      <c r="L56" s="65">
        <v>3.3</v>
      </c>
      <c r="M56" s="65">
        <v>3.3</v>
      </c>
      <c r="N56" s="65">
        <v>3.3</v>
      </c>
      <c r="O56" s="65">
        <v>3.3</v>
      </c>
      <c r="P56" s="65">
        <v>3.3</v>
      </c>
      <c r="Q56" s="65">
        <v>3.3</v>
      </c>
      <c r="R56" s="65">
        <v>3.3</v>
      </c>
      <c r="S56" s="65">
        <v>3.3</v>
      </c>
      <c r="T56" s="65">
        <v>3.3</v>
      </c>
      <c r="U56" s="65">
        <v>3.3</v>
      </c>
      <c r="V56" s="65">
        <v>3.3</v>
      </c>
      <c r="W56" s="65">
        <v>3.3</v>
      </c>
      <c r="X56" s="65">
        <v>3.3</v>
      </c>
      <c r="Y56" s="65">
        <v>3.3</v>
      </c>
      <c r="Z56" s="65">
        <v>3.3</v>
      </c>
      <c r="AA56" s="65">
        <v>3.3</v>
      </c>
      <c r="AB56" s="65">
        <v>3.3</v>
      </c>
      <c r="AC56" s="65">
        <v>3.3</v>
      </c>
      <c r="AD56" s="65">
        <v>3.3</v>
      </c>
      <c r="AE56" s="65">
        <v>3.3</v>
      </c>
      <c r="AF56" s="65">
        <v>3.3</v>
      </c>
      <c r="AG56" s="54">
        <v>15</v>
      </c>
      <c r="AH56" s="47">
        <f t="shared" si="2"/>
        <v>3.3</v>
      </c>
      <c r="AI56" s="48">
        <f t="shared" si="3"/>
        <v>3.3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10.6</v>
      </c>
      <c r="C57" s="65">
        <v>10.6</v>
      </c>
      <c r="D57" s="65">
        <v>10.6</v>
      </c>
      <c r="E57" s="65">
        <v>10.6</v>
      </c>
      <c r="F57" s="65">
        <v>10.6</v>
      </c>
      <c r="G57" s="65">
        <v>10.6</v>
      </c>
      <c r="H57" s="65">
        <v>10.6</v>
      </c>
      <c r="I57" s="65">
        <v>10.6</v>
      </c>
      <c r="J57" s="65">
        <v>10.6</v>
      </c>
      <c r="K57" s="65">
        <v>10.6</v>
      </c>
      <c r="L57" s="65">
        <v>10.6</v>
      </c>
      <c r="M57" s="65">
        <v>10.6</v>
      </c>
      <c r="N57" s="65">
        <v>10.6</v>
      </c>
      <c r="O57" s="65">
        <v>10.8</v>
      </c>
      <c r="P57" s="65">
        <v>10.8</v>
      </c>
      <c r="Q57" s="65">
        <v>10.8</v>
      </c>
      <c r="R57" s="65">
        <v>10.8</v>
      </c>
      <c r="S57" s="65">
        <v>10.8</v>
      </c>
      <c r="T57" s="65">
        <v>10.8</v>
      </c>
      <c r="U57" s="65">
        <v>10.8</v>
      </c>
      <c r="V57" s="65">
        <v>10.8</v>
      </c>
      <c r="W57" s="65">
        <v>10.8</v>
      </c>
      <c r="X57" s="65">
        <v>10.8</v>
      </c>
      <c r="Y57" s="65">
        <v>10.8</v>
      </c>
      <c r="Z57" s="65">
        <v>10.8</v>
      </c>
      <c r="AA57" s="65">
        <v>10.8</v>
      </c>
      <c r="AB57" s="65">
        <v>10.8</v>
      </c>
      <c r="AC57" s="65">
        <v>10.8</v>
      </c>
      <c r="AD57" s="65">
        <v>10.8</v>
      </c>
      <c r="AE57" s="65">
        <v>10.8</v>
      </c>
      <c r="AF57" s="65">
        <v>10.8</v>
      </c>
      <c r="AG57" s="54">
        <v>14.1</v>
      </c>
      <c r="AH57" s="47">
        <f t="shared" si="2"/>
        <v>10.8</v>
      </c>
      <c r="AI57" s="48">
        <f t="shared" si="3"/>
        <v>10.6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4.7</v>
      </c>
      <c r="C58" s="65">
        <v>4.7</v>
      </c>
      <c r="D58" s="65">
        <v>4.7</v>
      </c>
      <c r="E58" s="65">
        <v>4.7</v>
      </c>
      <c r="F58" s="65">
        <v>4.7</v>
      </c>
      <c r="G58" s="65">
        <v>4.7</v>
      </c>
      <c r="H58" s="65">
        <v>4.7</v>
      </c>
      <c r="I58" s="65">
        <v>4.7</v>
      </c>
      <c r="J58" s="65">
        <v>4.7</v>
      </c>
      <c r="K58" s="65">
        <v>4.7</v>
      </c>
      <c r="L58" s="65">
        <v>4.7</v>
      </c>
      <c r="M58" s="65">
        <v>4.8</v>
      </c>
      <c r="N58" s="65">
        <v>4.8</v>
      </c>
      <c r="O58" s="65">
        <v>4.8</v>
      </c>
      <c r="P58" s="65">
        <v>4.8</v>
      </c>
      <c r="Q58" s="65">
        <v>4.8</v>
      </c>
      <c r="R58" s="65">
        <v>4.8</v>
      </c>
      <c r="S58" s="65">
        <v>4.8</v>
      </c>
      <c r="T58" s="65">
        <v>4.8</v>
      </c>
      <c r="U58" s="65">
        <v>4.8</v>
      </c>
      <c r="V58" s="65">
        <v>4.8</v>
      </c>
      <c r="W58" s="65">
        <v>4.8</v>
      </c>
      <c r="X58" s="65">
        <v>4.8</v>
      </c>
      <c r="Y58" s="65">
        <v>4.8</v>
      </c>
      <c r="Z58" s="65">
        <v>4.8</v>
      </c>
      <c r="AA58" s="65">
        <v>4.8</v>
      </c>
      <c r="AB58" s="65">
        <v>4.8</v>
      </c>
      <c r="AC58" s="65">
        <v>4.8</v>
      </c>
      <c r="AD58" s="65">
        <v>4.8</v>
      </c>
      <c r="AE58" s="65">
        <v>4.8</v>
      </c>
      <c r="AF58" s="65">
        <v>4.8</v>
      </c>
      <c r="AG58" s="54">
        <v>14</v>
      </c>
      <c r="AH58" s="47">
        <f t="shared" si="2"/>
        <v>4.8</v>
      </c>
      <c r="AI58" s="48">
        <f t="shared" si="3"/>
        <v>4.7</v>
      </c>
      <c r="AK58" s="49"/>
    </row>
    <row r="59" spans="1:41" x14ac:dyDescent="0.25">
      <c r="A59" s="53" t="s">
        <v>67</v>
      </c>
      <c r="B59" s="65">
        <v>4</v>
      </c>
      <c r="C59" s="65">
        <v>4</v>
      </c>
      <c r="D59" s="65">
        <v>4</v>
      </c>
      <c r="E59" s="65">
        <v>4</v>
      </c>
      <c r="F59" s="65">
        <v>4</v>
      </c>
      <c r="G59" s="65">
        <v>4</v>
      </c>
      <c r="H59" s="65">
        <v>4</v>
      </c>
      <c r="I59" s="65">
        <v>4</v>
      </c>
      <c r="J59" s="65">
        <v>4</v>
      </c>
      <c r="K59" s="65">
        <v>4</v>
      </c>
      <c r="L59" s="65">
        <v>4</v>
      </c>
      <c r="M59" s="65">
        <v>4</v>
      </c>
      <c r="N59" s="65">
        <v>4</v>
      </c>
      <c r="O59" s="65">
        <v>4</v>
      </c>
      <c r="P59" s="65">
        <v>4</v>
      </c>
      <c r="Q59" s="65">
        <v>4</v>
      </c>
      <c r="R59" s="65">
        <v>4</v>
      </c>
      <c r="S59" s="65">
        <v>4</v>
      </c>
      <c r="T59" s="65">
        <v>4</v>
      </c>
      <c r="U59" s="65">
        <v>4</v>
      </c>
      <c r="V59" s="65">
        <v>4</v>
      </c>
      <c r="W59" s="65">
        <v>4</v>
      </c>
      <c r="X59" s="65">
        <v>4</v>
      </c>
      <c r="Y59" s="65">
        <v>4</v>
      </c>
      <c r="Z59" s="65">
        <v>4</v>
      </c>
      <c r="AA59" s="65">
        <v>4</v>
      </c>
      <c r="AB59" s="65">
        <v>4</v>
      </c>
      <c r="AC59" s="65">
        <v>4</v>
      </c>
      <c r="AD59" s="65">
        <v>4</v>
      </c>
      <c r="AE59" s="65">
        <v>4</v>
      </c>
      <c r="AF59" s="65">
        <v>4</v>
      </c>
      <c r="AG59" s="54">
        <v>10.050000000000001</v>
      </c>
      <c r="AH59" s="47">
        <f t="shared" si="2"/>
        <v>4</v>
      </c>
      <c r="AI59" s="48">
        <f t="shared" si="3"/>
        <v>4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</v>
      </c>
      <c r="AK61" s="49"/>
    </row>
    <row r="62" spans="1:41" ht="15.75" thickBot="1" x14ac:dyDescent="0.3">
      <c r="A62" s="74" t="s">
        <v>70</v>
      </c>
      <c r="B62" s="60">
        <f t="shared" ref="B62:AG62" si="8">SUM(B49:B61)</f>
        <v>161.13999999999999</v>
      </c>
      <c r="C62" s="60">
        <f t="shared" si="8"/>
        <v>109.34</v>
      </c>
      <c r="D62" s="60">
        <f t="shared" si="8"/>
        <v>109.34</v>
      </c>
      <c r="E62" s="60">
        <f t="shared" si="8"/>
        <v>107.04</v>
      </c>
      <c r="F62" s="60">
        <f t="shared" si="8"/>
        <v>107.24000000000001</v>
      </c>
      <c r="G62" s="60">
        <f t="shared" si="8"/>
        <v>151.83999999999997</v>
      </c>
      <c r="H62" s="60">
        <f t="shared" si="8"/>
        <v>193.23999999999998</v>
      </c>
      <c r="I62" s="60">
        <f t="shared" si="8"/>
        <v>240.94</v>
      </c>
      <c r="J62" s="60">
        <f t="shared" si="8"/>
        <v>288.24</v>
      </c>
      <c r="K62" s="60">
        <f t="shared" si="8"/>
        <v>315.94000000000005</v>
      </c>
      <c r="L62" s="60">
        <f t="shared" si="8"/>
        <v>335.84000000000003</v>
      </c>
      <c r="M62" s="60">
        <f t="shared" si="8"/>
        <v>328.24</v>
      </c>
      <c r="N62" s="60">
        <f t="shared" si="8"/>
        <v>286.54000000000008</v>
      </c>
      <c r="O62" s="60">
        <f t="shared" si="8"/>
        <v>253.84</v>
      </c>
      <c r="P62" s="60">
        <f t="shared" si="8"/>
        <v>278.34000000000003</v>
      </c>
      <c r="Q62" s="60">
        <f t="shared" si="8"/>
        <v>266.64000000000004</v>
      </c>
      <c r="R62" s="60">
        <f t="shared" si="8"/>
        <v>266.64000000000004</v>
      </c>
      <c r="S62" s="60">
        <f t="shared" si="8"/>
        <v>266.94</v>
      </c>
      <c r="T62" s="60">
        <f t="shared" si="8"/>
        <v>266.94</v>
      </c>
      <c r="U62" s="60">
        <f t="shared" si="8"/>
        <v>247.14000000000001</v>
      </c>
      <c r="V62" s="60">
        <f t="shared" si="8"/>
        <v>222.44000000000003</v>
      </c>
      <c r="W62" s="60">
        <f t="shared" si="8"/>
        <v>222.44000000000003</v>
      </c>
      <c r="X62" s="60">
        <f t="shared" si="8"/>
        <v>222.44000000000003</v>
      </c>
      <c r="Y62" s="60">
        <v>369.8</v>
      </c>
      <c r="Z62" s="60">
        <f t="shared" si="8"/>
        <v>332.44000000000005</v>
      </c>
      <c r="AA62" s="60">
        <f t="shared" si="8"/>
        <v>304.04000000000002</v>
      </c>
      <c r="AB62" s="60">
        <f t="shared" si="8"/>
        <v>250.84</v>
      </c>
      <c r="AC62" s="60">
        <f t="shared" si="8"/>
        <v>281.84000000000003</v>
      </c>
      <c r="AD62" s="60">
        <f t="shared" si="8"/>
        <v>260.54000000000008</v>
      </c>
      <c r="AE62" s="60">
        <f t="shared" si="8"/>
        <v>152.94</v>
      </c>
      <c r="AF62" s="60">
        <f t="shared" si="8"/>
        <v>105.24</v>
      </c>
      <c r="AG62" s="61">
        <f t="shared" si="8"/>
        <v>489.91</v>
      </c>
      <c r="AH62" s="47">
        <f t="shared" si="2"/>
        <v>369.8</v>
      </c>
      <c r="AI62" s="48">
        <f t="shared" si="3"/>
        <v>105.24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30</v>
      </c>
      <c r="T63" s="45">
        <v>29.5</v>
      </c>
      <c r="U63" s="45">
        <v>49.3</v>
      </c>
      <c r="V63" s="45">
        <v>40</v>
      </c>
      <c r="W63" s="45">
        <v>30</v>
      </c>
      <c r="X63" s="45">
        <v>33.9</v>
      </c>
      <c r="Y63" s="45">
        <v>33.9</v>
      </c>
      <c r="Z63" s="45">
        <v>28</v>
      </c>
      <c r="AA63" s="45">
        <v>13.9</v>
      </c>
      <c r="AB63" s="45">
        <v>10</v>
      </c>
      <c r="AC63" s="45">
        <v>0</v>
      </c>
      <c r="AD63" s="45">
        <v>29.3</v>
      </c>
      <c r="AE63" s="45">
        <v>29.3</v>
      </c>
      <c r="AF63" s="45">
        <v>10.6</v>
      </c>
      <c r="AG63" s="51">
        <v>60</v>
      </c>
      <c r="AH63" s="47">
        <f t="shared" si="2"/>
        <v>49.3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13.7</v>
      </c>
      <c r="T64" s="65">
        <v>13.7</v>
      </c>
      <c r="U64" s="65">
        <v>18.32</v>
      </c>
      <c r="V64" s="65">
        <v>18.5</v>
      </c>
      <c r="W64" s="65">
        <v>14</v>
      </c>
      <c r="X64" s="65">
        <v>13.5</v>
      </c>
      <c r="Y64" s="65">
        <v>13.4</v>
      </c>
      <c r="Z64" s="65">
        <v>12</v>
      </c>
      <c r="AA64" s="65">
        <v>6.4</v>
      </c>
      <c r="AB64" s="65">
        <v>3.7</v>
      </c>
      <c r="AC64" s="65">
        <v>0</v>
      </c>
      <c r="AD64" s="65">
        <v>0</v>
      </c>
      <c r="AE64" s="65">
        <v>13.9</v>
      </c>
      <c r="AF64" s="45">
        <v>9.6</v>
      </c>
      <c r="AG64" s="54">
        <v>32</v>
      </c>
      <c r="AH64" s="47">
        <f t="shared" si="2"/>
        <v>18.5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0</v>
      </c>
      <c r="N65" s="67">
        <v>0</v>
      </c>
      <c r="O65" s="67">
        <v>0</v>
      </c>
      <c r="P65" s="67">
        <v>0</v>
      </c>
      <c r="Q65" s="67">
        <v>0</v>
      </c>
      <c r="R65" s="67">
        <v>0</v>
      </c>
      <c r="S65" s="67">
        <v>5</v>
      </c>
      <c r="T65" s="67">
        <v>5.0999999999999996</v>
      </c>
      <c r="U65" s="67">
        <v>6.7</v>
      </c>
      <c r="V65" s="67">
        <v>6.8</v>
      </c>
      <c r="W65" s="67">
        <v>4.8</v>
      </c>
      <c r="X65" s="67">
        <v>4.9000000000000004</v>
      </c>
      <c r="Y65" s="67">
        <v>4.9000000000000004</v>
      </c>
      <c r="Z65" s="67">
        <v>4.2</v>
      </c>
      <c r="AA65" s="67">
        <v>2.2999999999999998</v>
      </c>
      <c r="AB65" s="67">
        <v>1.3</v>
      </c>
      <c r="AC65" s="67">
        <v>0</v>
      </c>
      <c r="AD65" s="67">
        <v>0</v>
      </c>
      <c r="AE65" s="67">
        <v>5.0999999999999996</v>
      </c>
      <c r="AF65" s="45">
        <v>3.5</v>
      </c>
      <c r="AG65" s="68">
        <v>14</v>
      </c>
      <c r="AH65" s="47">
        <f t="shared" si="2"/>
        <v>6.8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0</v>
      </c>
      <c r="M66" s="60">
        <f t="shared" ref="M66:AF66" si="9">M63+M64+M65</f>
        <v>0</v>
      </c>
      <c r="N66" s="60">
        <f t="shared" si="9"/>
        <v>0</v>
      </c>
      <c r="O66" s="60">
        <f t="shared" si="9"/>
        <v>0</v>
      </c>
      <c r="P66" s="60">
        <f t="shared" si="9"/>
        <v>0</v>
      </c>
      <c r="Q66" s="60">
        <f t="shared" si="9"/>
        <v>0</v>
      </c>
      <c r="R66" s="60">
        <f t="shared" si="9"/>
        <v>0</v>
      </c>
      <c r="S66" s="60">
        <f t="shared" si="9"/>
        <v>48.7</v>
      </c>
      <c r="T66" s="60">
        <f t="shared" si="9"/>
        <v>48.300000000000004</v>
      </c>
      <c r="U66" s="60">
        <f t="shared" si="9"/>
        <v>74.320000000000007</v>
      </c>
      <c r="V66" s="60">
        <f t="shared" si="9"/>
        <v>65.3</v>
      </c>
      <c r="W66" s="60">
        <f t="shared" si="9"/>
        <v>48.8</v>
      </c>
      <c r="X66" s="60">
        <f t="shared" si="9"/>
        <v>52.3</v>
      </c>
      <c r="Y66" s="60">
        <v>52.2</v>
      </c>
      <c r="Z66" s="60">
        <f t="shared" si="9"/>
        <v>44.2</v>
      </c>
      <c r="AA66" s="60">
        <f t="shared" si="9"/>
        <v>22.6</v>
      </c>
      <c r="AB66" s="60">
        <f t="shared" si="9"/>
        <v>15</v>
      </c>
      <c r="AC66" s="60">
        <f t="shared" si="9"/>
        <v>0</v>
      </c>
      <c r="AD66" s="60">
        <f t="shared" si="9"/>
        <v>29.3</v>
      </c>
      <c r="AE66" s="60">
        <f t="shared" si="9"/>
        <v>48.300000000000004</v>
      </c>
      <c r="AF66" s="60">
        <f t="shared" si="9"/>
        <v>23.7</v>
      </c>
      <c r="AG66" s="61">
        <f>SUM(AG63:AG65)</f>
        <v>106</v>
      </c>
      <c r="AH66" s="47">
        <f t="shared" si="2"/>
        <v>74.320000000000007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60</v>
      </c>
      <c r="C67" s="45">
        <v>63</v>
      </c>
      <c r="D67" s="45">
        <v>60</v>
      </c>
      <c r="E67" s="45">
        <v>60</v>
      </c>
      <c r="F67" s="45">
        <v>70</v>
      </c>
      <c r="G67" s="45">
        <v>62</v>
      </c>
      <c r="H67" s="45">
        <v>65</v>
      </c>
      <c r="I67" s="45">
        <v>65</v>
      </c>
      <c r="J67" s="45">
        <v>67</v>
      </c>
      <c r="K67" s="45">
        <v>62.5</v>
      </c>
      <c r="L67" s="45">
        <v>65</v>
      </c>
      <c r="M67" s="45">
        <v>66</v>
      </c>
      <c r="N67" s="45">
        <v>66</v>
      </c>
      <c r="O67" s="45">
        <v>68</v>
      </c>
      <c r="P67" s="45">
        <v>68</v>
      </c>
      <c r="Q67" s="45">
        <v>65</v>
      </c>
      <c r="R67" s="45">
        <v>65</v>
      </c>
      <c r="S67" s="45">
        <v>65</v>
      </c>
      <c r="T67" s="45">
        <v>59.1</v>
      </c>
      <c r="U67" s="45">
        <v>61.8</v>
      </c>
      <c r="V67" s="45">
        <v>68</v>
      </c>
      <c r="W67" s="45">
        <v>55</v>
      </c>
      <c r="X67" s="45">
        <v>56.5</v>
      </c>
      <c r="Y67" s="45">
        <v>70.2</v>
      </c>
      <c r="Z67" s="45">
        <v>68</v>
      </c>
      <c r="AA67" s="45">
        <v>64</v>
      </c>
      <c r="AB67" s="45">
        <v>57.9</v>
      </c>
      <c r="AC67" s="45">
        <v>66.099999999999994</v>
      </c>
      <c r="AD67" s="45">
        <v>65.3</v>
      </c>
      <c r="AE67" s="45">
        <v>59.2</v>
      </c>
      <c r="AF67" s="45">
        <v>50.3</v>
      </c>
      <c r="AG67" s="51"/>
      <c r="AH67" s="47">
        <f t="shared" si="2"/>
        <v>70.2</v>
      </c>
      <c r="AI67" s="48">
        <f t="shared" si="3"/>
        <v>50.3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302.39999999999998</v>
      </c>
      <c r="C69" s="65">
        <v>341</v>
      </c>
      <c r="D69" s="65">
        <v>317.8</v>
      </c>
      <c r="E69" s="65">
        <v>320</v>
      </c>
      <c r="F69" s="65">
        <v>324</v>
      </c>
      <c r="G69" s="65">
        <v>352</v>
      </c>
      <c r="H69" s="65">
        <v>332</v>
      </c>
      <c r="I69" s="65">
        <v>342</v>
      </c>
      <c r="J69" s="65">
        <v>323.2</v>
      </c>
      <c r="K69" s="65">
        <v>282</v>
      </c>
      <c r="L69" s="65">
        <v>262</v>
      </c>
      <c r="M69" s="65">
        <v>261</v>
      </c>
      <c r="N69" s="65">
        <v>291</v>
      </c>
      <c r="O69" s="65">
        <v>299</v>
      </c>
      <c r="P69" s="65">
        <v>320</v>
      </c>
      <c r="Q69" s="65">
        <v>344</v>
      </c>
      <c r="R69" s="65">
        <v>330</v>
      </c>
      <c r="S69" s="65">
        <v>340</v>
      </c>
      <c r="T69" s="65">
        <v>369</v>
      </c>
      <c r="U69" s="65">
        <v>335.4</v>
      </c>
      <c r="V69" s="65">
        <v>335</v>
      </c>
      <c r="W69" s="65">
        <v>335</v>
      </c>
      <c r="X69" s="65">
        <v>340</v>
      </c>
      <c r="Y69" s="65">
        <v>251</v>
      </c>
      <c r="Z69" s="65">
        <v>185</v>
      </c>
      <c r="AA69" s="65">
        <v>230</v>
      </c>
      <c r="AB69" s="65">
        <v>293</v>
      </c>
      <c r="AC69" s="65">
        <v>296</v>
      </c>
      <c r="AD69" s="65">
        <v>302</v>
      </c>
      <c r="AE69" s="65">
        <v>297.7</v>
      </c>
      <c r="AF69" s="65">
        <v>339.9</v>
      </c>
      <c r="AG69" s="75"/>
      <c r="AH69" s="47">
        <f t="shared" si="2"/>
        <v>369</v>
      </c>
      <c r="AI69" s="48">
        <f t="shared" si="3"/>
        <v>185</v>
      </c>
      <c r="AK69" s="49"/>
    </row>
    <row r="70" spans="1:40" x14ac:dyDescent="0.25">
      <c r="A70" s="53" t="s">
        <v>78</v>
      </c>
      <c r="B70" s="76">
        <v>56</v>
      </c>
      <c r="C70" s="76">
        <v>63</v>
      </c>
      <c r="D70" s="76">
        <v>62</v>
      </c>
      <c r="E70" s="76">
        <v>40</v>
      </c>
      <c r="F70" s="76">
        <v>53</v>
      </c>
      <c r="G70" s="76">
        <v>53.3</v>
      </c>
      <c r="H70" s="76">
        <v>55</v>
      </c>
      <c r="I70" s="76">
        <v>53</v>
      </c>
      <c r="J70" s="76">
        <v>53</v>
      </c>
      <c r="K70" s="76">
        <v>51</v>
      </c>
      <c r="L70" s="76">
        <v>48</v>
      </c>
      <c r="M70" s="76">
        <v>59.6</v>
      </c>
      <c r="N70" s="76">
        <v>59.6</v>
      </c>
      <c r="O70" s="76">
        <v>54.8</v>
      </c>
      <c r="P70" s="76">
        <v>29</v>
      </c>
      <c r="Q70" s="76">
        <v>59.4</v>
      </c>
      <c r="R70" s="76">
        <v>59.4</v>
      </c>
      <c r="S70" s="76">
        <v>59.4</v>
      </c>
      <c r="T70" s="76">
        <v>59.4</v>
      </c>
      <c r="U70" s="76">
        <v>60.2</v>
      </c>
      <c r="V70" s="76">
        <v>31</v>
      </c>
      <c r="W70" s="76">
        <v>31</v>
      </c>
      <c r="X70" s="76">
        <v>31</v>
      </c>
      <c r="Y70" s="65">
        <v>40</v>
      </c>
      <c r="Z70" s="65">
        <v>47.8</v>
      </c>
      <c r="AA70" s="65">
        <v>47</v>
      </c>
      <c r="AB70" s="65">
        <v>32.299999999999997</v>
      </c>
      <c r="AC70" s="65">
        <v>50.5</v>
      </c>
      <c r="AD70" s="65">
        <v>48.6</v>
      </c>
      <c r="AE70" s="65">
        <v>51.8</v>
      </c>
      <c r="AF70" s="65">
        <v>51</v>
      </c>
      <c r="AG70" s="75"/>
      <c r="AH70" s="47">
        <f t="shared" si="2"/>
        <v>63</v>
      </c>
      <c r="AI70" s="48">
        <f t="shared" si="3"/>
        <v>29</v>
      </c>
      <c r="AK70" s="49"/>
    </row>
    <row r="71" spans="1:40" x14ac:dyDescent="0.25">
      <c r="A71" s="53" t="s">
        <v>79</v>
      </c>
      <c r="B71" s="45">
        <v>24</v>
      </c>
      <c r="C71" s="45">
        <v>24</v>
      </c>
      <c r="D71" s="45">
        <v>30</v>
      </c>
      <c r="E71" s="45">
        <v>30</v>
      </c>
      <c r="F71" s="45">
        <v>30</v>
      </c>
      <c r="G71" s="45">
        <v>24</v>
      </c>
      <c r="H71" s="45">
        <v>25</v>
      </c>
      <c r="I71" s="45">
        <v>25</v>
      </c>
      <c r="J71" s="45">
        <v>26</v>
      </c>
      <c r="K71" s="45">
        <v>26</v>
      </c>
      <c r="L71" s="45">
        <v>52</v>
      </c>
      <c r="M71" s="45">
        <v>55</v>
      </c>
      <c r="N71" s="45">
        <v>55</v>
      </c>
      <c r="O71" s="45">
        <v>56</v>
      </c>
      <c r="P71" s="45">
        <v>56</v>
      </c>
      <c r="Q71" s="45">
        <v>35</v>
      </c>
      <c r="R71" s="45">
        <v>35</v>
      </c>
      <c r="S71" s="45">
        <v>35</v>
      </c>
      <c r="T71" s="45">
        <v>35</v>
      </c>
      <c r="U71" s="45">
        <v>32.89</v>
      </c>
      <c r="V71" s="45">
        <v>28</v>
      </c>
      <c r="W71" s="45">
        <v>28</v>
      </c>
      <c r="X71" s="45">
        <v>28</v>
      </c>
      <c r="Y71" s="45">
        <v>59.8</v>
      </c>
      <c r="Z71" s="45">
        <v>63</v>
      </c>
      <c r="AA71" s="45">
        <v>65.099999999999994</v>
      </c>
      <c r="AB71" s="45">
        <v>70.400000000000006</v>
      </c>
      <c r="AC71" s="45">
        <v>11.2</v>
      </c>
      <c r="AD71" s="45">
        <v>15.8</v>
      </c>
      <c r="AE71" s="45">
        <v>18.600000000000001</v>
      </c>
      <c r="AF71" s="45">
        <v>21.5</v>
      </c>
      <c r="AG71" s="75"/>
      <c r="AH71" s="47">
        <f t="shared" si="2"/>
        <v>70.400000000000006</v>
      </c>
      <c r="AI71" s="48">
        <f t="shared" si="3"/>
        <v>11.2</v>
      </c>
      <c r="AK71" s="49"/>
    </row>
    <row r="72" spans="1:40" x14ac:dyDescent="0.25">
      <c r="A72" s="53" t="s">
        <v>80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0</v>
      </c>
      <c r="AG72" s="75"/>
      <c r="AH72" s="47">
        <f t="shared" si="2"/>
        <v>5</v>
      </c>
      <c r="AI72" s="48">
        <f t="shared" si="3"/>
        <v>0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10">MAX(B75:AF75)</f>
        <v>0</v>
      </c>
      <c r="AI75" s="48">
        <f t="shared" ref="AI75:AI113" si="11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10"/>
        <v>0</v>
      </c>
      <c r="AI76" s="48">
        <f t="shared" si="11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10"/>
        <v>0</v>
      </c>
      <c r="AI77" s="48">
        <f t="shared" si="11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F78" si="12">SUMIF(B67:B77,"&gt;0")</f>
        <v>442.4</v>
      </c>
      <c r="C78" s="60">
        <f t="shared" si="12"/>
        <v>491</v>
      </c>
      <c r="D78" s="60">
        <f t="shared" si="12"/>
        <v>469.8</v>
      </c>
      <c r="E78" s="60">
        <f t="shared" si="12"/>
        <v>450</v>
      </c>
      <c r="F78" s="60">
        <f t="shared" si="12"/>
        <v>477</v>
      </c>
      <c r="G78" s="60">
        <f t="shared" si="12"/>
        <v>491.3</v>
      </c>
      <c r="H78" s="60">
        <f t="shared" si="12"/>
        <v>477</v>
      </c>
      <c r="I78" s="60">
        <f t="shared" si="12"/>
        <v>490</v>
      </c>
      <c r="J78" s="60">
        <f t="shared" si="12"/>
        <v>474.2</v>
      </c>
      <c r="K78" s="60">
        <f t="shared" si="12"/>
        <v>426.5</v>
      </c>
      <c r="L78" s="60">
        <f t="shared" si="12"/>
        <v>432</v>
      </c>
      <c r="M78" s="60">
        <f t="shared" si="12"/>
        <v>446.6</v>
      </c>
      <c r="N78" s="60">
        <f t="shared" si="12"/>
        <v>476.6</v>
      </c>
      <c r="O78" s="60">
        <f t="shared" si="12"/>
        <v>482.8</v>
      </c>
      <c r="P78" s="60">
        <f t="shared" si="12"/>
        <v>478</v>
      </c>
      <c r="Q78" s="60">
        <f t="shared" si="12"/>
        <v>508.4</v>
      </c>
      <c r="R78" s="60">
        <f t="shared" si="12"/>
        <v>494.4</v>
      </c>
      <c r="S78" s="60">
        <f t="shared" si="12"/>
        <v>504.4</v>
      </c>
      <c r="T78" s="60">
        <f t="shared" si="12"/>
        <v>527.5</v>
      </c>
      <c r="U78" s="60">
        <f t="shared" si="12"/>
        <v>495.28999999999996</v>
      </c>
      <c r="V78" s="60">
        <f t="shared" si="12"/>
        <v>467</v>
      </c>
      <c r="W78" s="60">
        <f t="shared" si="12"/>
        <v>454</v>
      </c>
      <c r="X78" s="60">
        <f t="shared" si="12"/>
        <v>460.5</v>
      </c>
      <c r="Y78" s="60">
        <v>426</v>
      </c>
      <c r="Z78" s="60">
        <f t="shared" si="12"/>
        <v>368.8</v>
      </c>
      <c r="AA78" s="60">
        <f t="shared" si="12"/>
        <v>411.1</v>
      </c>
      <c r="AB78" s="60">
        <f t="shared" si="12"/>
        <v>458.6</v>
      </c>
      <c r="AC78" s="60">
        <f t="shared" si="12"/>
        <v>428.8</v>
      </c>
      <c r="AD78" s="60">
        <f t="shared" si="12"/>
        <v>436.70000000000005</v>
      </c>
      <c r="AE78" s="60">
        <f t="shared" si="12"/>
        <v>432.3</v>
      </c>
      <c r="AF78" s="60">
        <f t="shared" si="12"/>
        <v>462.7</v>
      </c>
      <c r="AG78" s="88">
        <f>SUM(AG67:AG77)</f>
        <v>0</v>
      </c>
      <c r="AH78" s="47">
        <f t="shared" si="10"/>
        <v>527.5</v>
      </c>
      <c r="AI78" s="48">
        <f t="shared" si="11"/>
        <v>368.8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10"/>
        <v>0</v>
      </c>
      <c r="AI79" s="48">
        <f t="shared" si="11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10"/>
        <v>0</v>
      </c>
      <c r="AI80" s="48">
        <f t="shared" si="11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10"/>
        <v>0</v>
      </c>
      <c r="AI81" s="48">
        <f t="shared" si="11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>
        <v>0</v>
      </c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10"/>
        <v>0</v>
      </c>
      <c r="AI82" s="48">
        <f t="shared" si="11"/>
        <v>0</v>
      </c>
    </row>
    <row r="83" spans="1:37" ht="15.75" thickBot="1" x14ac:dyDescent="0.3">
      <c r="A83" s="74" t="s">
        <v>94</v>
      </c>
      <c r="B83" s="95">
        <f>B44+B48+B66+B62+B78+B82</f>
        <v>1061.8400000000001</v>
      </c>
      <c r="C83" s="95">
        <f t="shared" ref="C83:AG83" si="13">C44+C48+C66+C62+C78+C82</f>
        <v>1048.6399999999999</v>
      </c>
      <c r="D83" s="95">
        <f t="shared" si="13"/>
        <v>1027.44</v>
      </c>
      <c r="E83" s="95">
        <f t="shared" si="13"/>
        <v>980.34</v>
      </c>
      <c r="F83" s="95">
        <f t="shared" si="13"/>
        <v>1032.54</v>
      </c>
      <c r="G83" s="95">
        <f t="shared" si="13"/>
        <v>1071.44</v>
      </c>
      <c r="H83" s="95">
        <f t="shared" si="13"/>
        <v>1133.54</v>
      </c>
      <c r="I83" s="95">
        <f t="shared" si="13"/>
        <v>1209.24</v>
      </c>
      <c r="J83" s="95">
        <f t="shared" si="13"/>
        <v>1270.74</v>
      </c>
      <c r="K83" s="95">
        <f t="shared" si="13"/>
        <v>1280.8400000000001</v>
      </c>
      <c r="L83" s="95">
        <f t="shared" si="13"/>
        <v>1306.3400000000001</v>
      </c>
      <c r="M83" s="95">
        <f t="shared" si="13"/>
        <v>1298.54</v>
      </c>
      <c r="N83" s="95">
        <f t="shared" si="13"/>
        <v>1271.8400000000001</v>
      </c>
      <c r="O83" s="95">
        <f t="shared" si="13"/>
        <v>1280.44</v>
      </c>
      <c r="P83" s="95">
        <f t="shared" si="13"/>
        <v>1315.14</v>
      </c>
      <c r="Q83" s="95">
        <f t="shared" si="13"/>
        <v>1293.8400000000001</v>
      </c>
      <c r="R83" s="95">
        <f t="shared" si="13"/>
        <v>1269.8400000000001</v>
      </c>
      <c r="S83" s="95">
        <f t="shared" si="13"/>
        <v>1273.8400000000001</v>
      </c>
      <c r="T83" s="95">
        <f t="shared" si="13"/>
        <v>1311.54</v>
      </c>
      <c r="U83" s="95">
        <f t="shared" si="13"/>
        <v>1295.5500000000002</v>
      </c>
      <c r="V83" s="95">
        <f t="shared" si="13"/>
        <v>1187.1400000000001</v>
      </c>
      <c r="W83" s="95">
        <f t="shared" si="13"/>
        <v>1157.6400000000001</v>
      </c>
      <c r="X83" s="95">
        <f t="shared" si="13"/>
        <v>1167.6400000000001</v>
      </c>
      <c r="Y83" s="95">
        <v>1431.94</v>
      </c>
      <c r="Z83" s="95">
        <f t="shared" si="13"/>
        <v>1409.3400000000001</v>
      </c>
      <c r="AA83" s="95">
        <f t="shared" si="13"/>
        <v>1331.6399999999999</v>
      </c>
      <c r="AB83" s="95">
        <f t="shared" si="13"/>
        <v>1278.3400000000001</v>
      </c>
      <c r="AC83" s="95">
        <f t="shared" si="13"/>
        <v>1264.3400000000001</v>
      </c>
      <c r="AD83" s="95">
        <f t="shared" si="13"/>
        <v>1303.54</v>
      </c>
      <c r="AE83" s="95">
        <f t="shared" si="13"/>
        <v>1150.4399999999998</v>
      </c>
      <c r="AF83" s="95">
        <f t="shared" si="13"/>
        <v>1028.6399999999999</v>
      </c>
      <c r="AG83" s="61">
        <f t="shared" si="13"/>
        <v>2004.1900000000003</v>
      </c>
      <c r="AH83" s="47">
        <f>MAX(B83:AF83)</f>
        <v>1431.94</v>
      </c>
      <c r="AI83" s="48">
        <f>MIN(B83:AF83)</f>
        <v>980.34</v>
      </c>
    </row>
    <row r="84" spans="1:37" ht="15.75" thickBot="1" x14ac:dyDescent="0.3">
      <c r="A84" s="96" t="s">
        <v>95</v>
      </c>
      <c r="B84" s="97"/>
      <c r="C84" s="97"/>
      <c r="D84" s="97"/>
      <c r="E84" s="97">
        <v>40</v>
      </c>
      <c r="F84" s="97"/>
      <c r="G84" s="97"/>
      <c r="H84" s="97"/>
      <c r="I84" s="97"/>
      <c r="J84" s="97"/>
      <c r="K84" s="97">
        <v>140</v>
      </c>
      <c r="L84" s="97">
        <v>140</v>
      </c>
      <c r="M84" s="97">
        <v>140</v>
      </c>
      <c r="N84" s="97">
        <v>140</v>
      </c>
      <c r="O84" s="97">
        <v>125</v>
      </c>
      <c r="P84" s="97"/>
      <c r="Q84" s="97"/>
      <c r="R84" s="97"/>
      <c r="S84" s="97"/>
      <c r="T84" s="97"/>
      <c r="U84" s="97"/>
      <c r="V84" s="97"/>
      <c r="W84" s="97"/>
      <c r="X84" s="97"/>
      <c r="Y84" s="97">
        <v>180</v>
      </c>
      <c r="Z84" s="97">
        <v>170</v>
      </c>
      <c r="AA84" s="97">
        <v>170</v>
      </c>
      <c r="AB84" s="97">
        <v>150</v>
      </c>
      <c r="AC84" s="97"/>
      <c r="AD84" s="97"/>
      <c r="AE84" s="97"/>
      <c r="AF84" s="97"/>
      <c r="AG84" s="88"/>
      <c r="AH84" s="47">
        <f t="shared" si="10"/>
        <v>180</v>
      </c>
      <c r="AI84" s="48">
        <f t="shared" si="11"/>
        <v>40</v>
      </c>
    </row>
    <row r="85" spans="1:37" ht="15.75" thickBot="1" x14ac:dyDescent="0.3">
      <c r="A85" s="74" t="s">
        <v>96</v>
      </c>
      <c r="B85" s="95">
        <f>B83+B84</f>
        <v>1061.8400000000001</v>
      </c>
      <c r="C85" s="95">
        <f t="shared" ref="C85:AF85" si="14">C83+C84</f>
        <v>1048.6399999999999</v>
      </c>
      <c r="D85" s="95">
        <f t="shared" si="14"/>
        <v>1027.44</v>
      </c>
      <c r="E85" s="95">
        <f t="shared" si="14"/>
        <v>1020.34</v>
      </c>
      <c r="F85" s="95">
        <f t="shared" si="14"/>
        <v>1032.54</v>
      </c>
      <c r="G85" s="95">
        <f t="shared" si="14"/>
        <v>1071.44</v>
      </c>
      <c r="H85" s="95">
        <f t="shared" si="14"/>
        <v>1133.54</v>
      </c>
      <c r="I85" s="95">
        <f t="shared" si="14"/>
        <v>1209.24</v>
      </c>
      <c r="J85" s="95">
        <f t="shared" si="14"/>
        <v>1270.74</v>
      </c>
      <c r="K85" s="95">
        <f t="shared" si="14"/>
        <v>1420.8400000000001</v>
      </c>
      <c r="L85" s="95">
        <f t="shared" si="14"/>
        <v>1446.3400000000001</v>
      </c>
      <c r="M85" s="95">
        <f t="shared" si="14"/>
        <v>1438.54</v>
      </c>
      <c r="N85" s="95">
        <f t="shared" si="14"/>
        <v>1411.8400000000001</v>
      </c>
      <c r="O85" s="95">
        <f t="shared" si="14"/>
        <v>1405.44</v>
      </c>
      <c r="P85" s="95">
        <f t="shared" si="14"/>
        <v>1315.14</v>
      </c>
      <c r="Q85" s="95">
        <f t="shared" si="14"/>
        <v>1293.8400000000001</v>
      </c>
      <c r="R85" s="95">
        <f t="shared" si="14"/>
        <v>1269.8400000000001</v>
      </c>
      <c r="S85" s="95">
        <f t="shared" si="14"/>
        <v>1273.8400000000001</v>
      </c>
      <c r="T85" s="95">
        <f t="shared" si="14"/>
        <v>1311.54</v>
      </c>
      <c r="U85" s="95">
        <f t="shared" si="14"/>
        <v>1295.5500000000002</v>
      </c>
      <c r="V85" s="95">
        <f t="shared" si="14"/>
        <v>1187.1400000000001</v>
      </c>
      <c r="W85" s="95">
        <f t="shared" si="14"/>
        <v>1157.6400000000001</v>
      </c>
      <c r="X85" s="95">
        <f t="shared" si="14"/>
        <v>1167.6400000000001</v>
      </c>
      <c r="Y85" s="95">
        <v>1611.9</v>
      </c>
      <c r="Z85" s="95">
        <f t="shared" si="14"/>
        <v>1579.3400000000001</v>
      </c>
      <c r="AA85" s="95">
        <f t="shared" si="14"/>
        <v>1501.6399999999999</v>
      </c>
      <c r="AB85" s="95">
        <f t="shared" si="14"/>
        <v>1428.3400000000001</v>
      </c>
      <c r="AC85" s="95">
        <f t="shared" si="14"/>
        <v>1264.3400000000001</v>
      </c>
      <c r="AD85" s="95">
        <f t="shared" si="14"/>
        <v>1303.54</v>
      </c>
      <c r="AE85" s="95">
        <f t="shared" si="14"/>
        <v>1150.4399999999998</v>
      </c>
      <c r="AF85" s="95">
        <f t="shared" si="14"/>
        <v>1028.6399999999999</v>
      </c>
      <c r="AG85" s="88">
        <f>AG82+AG78+AG66+AG62+AG44+AG84</f>
        <v>1466.0900000000001</v>
      </c>
      <c r="AH85" s="47">
        <f t="shared" si="10"/>
        <v>1611.9</v>
      </c>
      <c r="AI85" s="48">
        <f t="shared" si="11"/>
        <v>1020.34</v>
      </c>
    </row>
    <row r="86" spans="1:37" ht="15.75" thickBot="1" x14ac:dyDescent="0.3">
      <c r="A86" s="74" t="s">
        <v>97</v>
      </c>
      <c r="B86" s="95">
        <f t="shared" ref="B86:AF86" si="15">B85-B93</f>
        <v>1061.8400000000001</v>
      </c>
      <c r="C86" s="95">
        <f t="shared" si="15"/>
        <v>1048.6399999999999</v>
      </c>
      <c r="D86" s="95">
        <f t="shared" si="15"/>
        <v>1027.44</v>
      </c>
      <c r="E86" s="95">
        <f t="shared" si="15"/>
        <v>1020.34</v>
      </c>
      <c r="F86" s="95">
        <f t="shared" si="15"/>
        <v>1032.54</v>
      </c>
      <c r="G86" s="95">
        <f t="shared" si="15"/>
        <v>1071.44</v>
      </c>
      <c r="H86" s="95">
        <f t="shared" si="15"/>
        <v>1133.54</v>
      </c>
      <c r="I86" s="95">
        <f t="shared" si="15"/>
        <v>1209.24</v>
      </c>
      <c r="J86" s="95">
        <f t="shared" si="15"/>
        <v>1270.74</v>
      </c>
      <c r="K86" s="95">
        <f t="shared" si="15"/>
        <v>1420.8400000000001</v>
      </c>
      <c r="L86" s="95">
        <f t="shared" si="15"/>
        <v>1446.3400000000001</v>
      </c>
      <c r="M86" s="95">
        <f t="shared" si="15"/>
        <v>1438.54</v>
      </c>
      <c r="N86" s="95">
        <f t="shared" si="15"/>
        <v>1411.8400000000001</v>
      </c>
      <c r="O86" s="95">
        <f t="shared" si="15"/>
        <v>1405.44</v>
      </c>
      <c r="P86" s="95">
        <f t="shared" si="15"/>
        <v>1315.14</v>
      </c>
      <c r="Q86" s="95">
        <f t="shared" si="15"/>
        <v>1293.8400000000001</v>
      </c>
      <c r="R86" s="95">
        <f t="shared" si="15"/>
        <v>1269.8400000000001</v>
      </c>
      <c r="S86" s="95">
        <f t="shared" si="15"/>
        <v>1273.8400000000001</v>
      </c>
      <c r="T86" s="95">
        <f t="shared" si="15"/>
        <v>1311.54</v>
      </c>
      <c r="U86" s="95">
        <f t="shared" si="15"/>
        <v>1295.5500000000002</v>
      </c>
      <c r="V86" s="95">
        <f t="shared" si="15"/>
        <v>1187.1400000000001</v>
      </c>
      <c r="W86" s="95">
        <f t="shared" si="15"/>
        <v>1157.6400000000001</v>
      </c>
      <c r="X86" s="95">
        <f t="shared" si="15"/>
        <v>1167.6400000000001</v>
      </c>
      <c r="Y86" s="95">
        <v>1611.9</v>
      </c>
      <c r="Z86" s="95">
        <f t="shared" si="15"/>
        <v>1579.3400000000001</v>
      </c>
      <c r="AA86" s="95">
        <f t="shared" si="15"/>
        <v>1501.6399999999999</v>
      </c>
      <c r="AB86" s="95">
        <f t="shared" si="15"/>
        <v>1428.3400000000001</v>
      </c>
      <c r="AC86" s="95">
        <f t="shared" si="15"/>
        <v>1264.3400000000001</v>
      </c>
      <c r="AD86" s="95">
        <f t="shared" si="15"/>
        <v>1303.54</v>
      </c>
      <c r="AE86" s="95">
        <f t="shared" si="15"/>
        <v>1150.4399999999998</v>
      </c>
      <c r="AF86" s="95">
        <f t="shared" si="15"/>
        <v>1028.6399999999999</v>
      </c>
      <c r="AG86" s="88"/>
      <c r="AH86" s="47">
        <f t="shared" si="10"/>
        <v>1611.9</v>
      </c>
      <c r="AI86" s="48">
        <f t="shared" si="11"/>
        <v>1020.34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10"/>
        <v>0</v>
      </c>
      <c r="AI87" s="48">
        <f t="shared" si="11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10"/>
        <v>0</v>
      </c>
      <c r="AI88" s="48">
        <f t="shared" si="11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10"/>
        <v>0</v>
      </c>
      <c r="AI89" s="48">
        <f t="shared" si="11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10"/>
        <v>0</v>
      </c>
      <c r="AI90" s="48">
        <f t="shared" si="11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10"/>
        <v>0</v>
      </c>
      <c r="AI91" s="48">
        <f t="shared" si="11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10"/>
        <v>0</v>
      </c>
      <c r="AI92" s="48">
        <f t="shared" si="11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>
        <v>0</v>
      </c>
      <c r="Z93" s="60"/>
      <c r="AA93" s="60"/>
      <c r="AB93" s="60"/>
      <c r="AC93" s="60"/>
      <c r="AD93" s="60"/>
      <c r="AE93" s="60"/>
      <c r="AF93" s="60"/>
      <c r="AG93" s="88"/>
      <c r="AH93" s="47">
        <f t="shared" si="10"/>
        <v>0</v>
      </c>
      <c r="AI93" s="48">
        <f t="shared" si="11"/>
        <v>0</v>
      </c>
      <c r="AK93" s="49"/>
    </row>
    <row r="94" spans="1:37" ht="15.75" thickBot="1" x14ac:dyDescent="0.3">
      <c r="A94" s="74" t="s">
        <v>102</v>
      </c>
      <c r="B94" s="60">
        <f t="shared" ref="B94:AF94" si="16">B78-B93</f>
        <v>442.4</v>
      </c>
      <c r="C94" s="60">
        <f t="shared" si="16"/>
        <v>491</v>
      </c>
      <c r="D94" s="60">
        <f t="shared" si="16"/>
        <v>469.8</v>
      </c>
      <c r="E94" s="60">
        <f t="shared" si="16"/>
        <v>450</v>
      </c>
      <c r="F94" s="60">
        <f t="shared" si="16"/>
        <v>477</v>
      </c>
      <c r="G94" s="60">
        <f t="shared" si="16"/>
        <v>491.3</v>
      </c>
      <c r="H94" s="60">
        <f t="shared" si="16"/>
        <v>477</v>
      </c>
      <c r="I94" s="60">
        <f t="shared" si="16"/>
        <v>490</v>
      </c>
      <c r="J94" s="60">
        <f t="shared" si="16"/>
        <v>474.2</v>
      </c>
      <c r="K94" s="60">
        <f t="shared" si="16"/>
        <v>426.5</v>
      </c>
      <c r="L94" s="60">
        <f t="shared" si="16"/>
        <v>432</v>
      </c>
      <c r="M94" s="60">
        <f t="shared" si="16"/>
        <v>446.6</v>
      </c>
      <c r="N94" s="60">
        <f t="shared" si="16"/>
        <v>476.6</v>
      </c>
      <c r="O94" s="60">
        <f t="shared" si="16"/>
        <v>482.8</v>
      </c>
      <c r="P94" s="60">
        <f t="shared" si="16"/>
        <v>478</v>
      </c>
      <c r="Q94" s="60">
        <f t="shared" si="16"/>
        <v>508.4</v>
      </c>
      <c r="R94" s="60">
        <f t="shared" si="16"/>
        <v>494.4</v>
      </c>
      <c r="S94" s="60">
        <f t="shared" si="16"/>
        <v>504.4</v>
      </c>
      <c r="T94" s="60">
        <f t="shared" si="16"/>
        <v>527.5</v>
      </c>
      <c r="U94" s="60">
        <f t="shared" si="16"/>
        <v>495.28999999999996</v>
      </c>
      <c r="V94" s="60">
        <f t="shared" si="16"/>
        <v>467</v>
      </c>
      <c r="W94" s="60">
        <f t="shared" si="16"/>
        <v>454</v>
      </c>
      <c r="X94" s="60">
        <f t="shared" si="16"/>
        <v>460.5</v>
      </c>
      <c r="Y94" s="60">
        <v>426</v>
      </c>
      <c r="Z94" s="60">
        <f t="shared" si="16"/>
        <v>368.8</v>
      </c>
      <c r="AA94" s="60">
        <f t="shared" si="16"/>
        <v>411.1</v>
      </c>
      <c r="AB94" s="60">
        <f t="shared" si="16"/>
        <v>458.6</v>
      </c>
      <c r="AC94" s="60">
        <f t="shared" si="16"/>
        <v>428.8</v>
      </c>
      <c r="AD94" s="60">
        <f t="shared" si="16"/>
        <v>436.70000000000005</v>
      </c>
      <c r="AE94" s="60">
        <f t="shared" si="16"/>
        <v>432.3</v>
      </c>
      <c r="AF94" s="60">
        <f t="shared" si="16"/>
        <v>462.7</v>
      </c>
      <c r="AG94" s="88"/>
      <c r="AH94" s="47">
        <f t="shared" si="10"/>
        <v>527.5</v>
      </c>
      <c r="AI94" s="48">
        <f t="shared" si="11"/>
        <v>368.8</v>
      </c>
    </row>
    <row r="95" spans="1:37" x14ac:dyDescent="0.25">
      <c r="A95" s="100" t="s">
        <v>103</v>
      </c>
      <c r="B95" s="101">
        <v>50.040999999999997</v>
      </c>
      <c r="C95" s="101">
        <v>50.036000000000001</v>
      </c>
      <c r="D95" s="101">
        <v>50.058</v>
      </c>
      <c r="E95" s="101">
        <v>50</v>
      </c>
      <c r="F95" s="101">
        <v>49.981999999999999</v>
      </c>
      <c r="G95" s="101">
        <v>49.965000000000003</v>
      </c>
      <c r="H95" s="101">
        <v>50.01</v>
      </c>
      <c r="I95" s="101">
        <v>49.975999999999999</v>
      </c>
      <c r="J95" s="101">
        <v>50.046999999999997</v>
      </c>
      <c r="K95" s="101">
        <v>49.83</v>
      </c>
      <c r="L95" s="101">
        <v>50.005000000000003</v>
      </c>
      <c r="M95" s="101">
        <v>50.110999999999997</v>
      </c>
      <c r="N95" s="101">
        <v>50.057000000000002</v>
      </c>
      <c r="O95" s="101">
        <v>50.006999999999998</v>
      </c>
      <c r="P95" s="101">
        <v>50.067</v>
      </c>
      <c r="Q95" s="101">
        <v>50.16</v>
      </c>
      <c r="R95" s="101">
        <v>50.081000000000003</v>
      </c>
      <c r="S95" s="101">
        <v>49.98</v>
      </c>
      <c r="T95" s="101">
        <v>50.08</v>
      </c>
      <c r="U95" s="101">
        <v>49.99</v>
      </c>
      <c r="V95" s="101">
        <v>49.7</v>
      </c>
      <c r="W95" s="101">
        <v>50.02</v>
      </c>
      <c r="X95" s="101">
        <v>50.01</v>
      </c>
      <c r="Y95" s="101">
        <v>50</v>
      </c>
      <c r="Z95" s="101">
        <v>49.89</v>
      </c>
      <c r="AA95" s="101">
        <v>50.05</v>
      </c>
      <c r="AB95" s="101">
        <v>50.237000000000002</v>
      </c>
      <c r="AC95" s="101">
        <v>50.103999999999999</v>
      </c>
      <c r="AD95" s="101">
        <v>49.988</v>
      </c>
      <c r="AE95" s="101">
        <v>50.018000000000001</v>
      </c>
      <c r="AF95" s="101">
        <v>49.97</v>
      </c>
      <c r="AG95" s="102"/>
      <c r="AH95" s="47">
        <f t="shared" si="10"/>
        <v>50.237000000000002</v>
      </c>
      <c r="AI95" s="48">
        <f t="shared" si="11"/>
        <v>49.7</v>
      </c>
    </row>
    <row r="96" spans="1:37" x14ac:dyDescent="0.25">
      <c r="A96" s="103" t="s">
        <v>104</v>
      </c>
      <c r="B96" s="65">
        <v>127.3</v>
      </c>
      <c r="C96" s="65">
        <v>127.8</v>
      </c>
      <c r="D96" s="65">
        <v>127.7</v>
      </c>
      <c r="E96" s="65">
        <v>128.19999999999999</v>
      </c>
      <c r="F96" s="65">
        <v>127.8</v>
      </c>
      <c r="G96" s="65">
        <v>127.7</v>
      </c>
      <c r="H96" s="65">
        <v>126.8</v>
      </c>
      <c r="I96" s="65">
        <v>125.5</v>
      </c>
      <c r="J96" s="65">
        <v>124.9</v>
      </c>
      <c r="K96" s="65">
        <v>128</v>
      </c>
      <c r="L96" s="65">
        <v>125.7</v>
      </c>
      <c r="M96" s="65">
        <v>125</v>
      </c>
      <c r="N96" s="65">
        <v>126.8</v>
      </c>
      <c r="O96" s="65">
        <v>125.1</v>
      </c>
      <c r="P96" s="65">
        <v>123.7</v>
      </c>
      <c r="Q96" s="65">
        <v>126.3</v>
      </c>
      <c r="R96" s="65">
        <v>126</v>
      </c>
      <c r="S96" s="65">
        <v>125.3</v>
      </c>
      <c r="T96" s="65">
        <v>125.3</v>
      </c>
      <c r="U96" s="65">
        <v>125.9</v>
      </c>
      <c r="V96" s="65">
        <v>129.5</v>
      </c>
      <c r="W96" s="65">
        <v>130.1</v>
      </c>
      <c r="X96" s="65">
        <v>129.69999999999999</v>
      </c>
      <c r="Y96" s="65">
        <v>128.5</v>
      </c>
      <c r="Z96" s="65">
        <v>128.6</v>
      </c>
      <c r="AA96" s="65">
        <v>129.30000000000001</v>
      </c>
      <c r="AB96" s="65">
        <v>129.5</v>
      </c>
      <c r="AC96" s="65">
        <v>127.5</v>
      </c>
      <c r="AD96" s="65">
        <v>127</v>
      </c>
      <c r="AE96" s="65">
        <v>129.4</v>
      </c>
      <c r="AF96" s="65">
        <v>129.5</v>
      </c>
      <c r="AG96" s="104"/>
      <c r="AH96" s="47">
        <f t="shared" si="10"/>
        <v>130.1</v>
      </c>
      <c r="AI96" s="48">
        <f t="shared" si="11"/>
        <v>123.7</v>
      </c>
    </row>
    <row r="97" spans="1:35" x14ac:dyDescent="0.25">
      <c r="A97" s="103" t="s">
        <v>105</v>
      </c>
      <c r="B97" s="65">
        <v>132.30000000000001</v>
      </c>
      <c r="C97" s="65">
        <v>132</v>
      </c>
      <c r="D97" s="65">
        <v>132.1</v>
      </c>
      <c r="E97" s="65">
        <v>132.6</v>
      </c>
      <c r="F97" s="65">
        <v>132.5</v>
      </c>
      <c r="G97" s="65">
        <v>132</v>
      </c>
      <c r="H97" s="65">
        <v>131.5</v>
      </c>
      <c r="I97" s="65">
        <v>130.4</v>
      </c>
      <c r="J97" s="65">
        <v>128.80000000000001</v>
      </c>
      <c r="K97" s="65">
        <v>129.5</v>
      </c>
      <c r="L97" s="65">
        <v>126.9</v>
      </c>
      <c r="M97" s="65">
        <v>127.1</v>
      </c>
      <c r="N97" s="65">
        <v>128.6</v>
      </c>
      <c r="O97" s="65">
        <v>127</v>
      </c>
      <c r="P97" s="65">
        <v>126.4</v>
      </c>
      <c r="Q97" s="65">
        <v>128.80000000000001</v>
      </c>
      <c r="R97" s="65">
        <v>128.69999999999999</v>
      </c>
      <c r="S97" s="65">
        <v>128.9</v>
      </c>
      <c r="T97" s="65">
        <v>128.80000000000001</v>
      </c>
      <c r="U97" s="65">
        <v>125.6</v>
      </c>
      <c r="V97" s="65">
        <v>131.19999999999999</v>
      </c>
      <c r="W97" s="65">
        <v>131.6</v>
      </c>
      <c r="X97" s="65">
        <v>130.9</v>
      </c>
      <c r="Y97" s="65">
        <v>129.6</v>
      </c>
      <c r="Z97" s="65">
        <v>130</v>
      </c>
      <c r="AA97" s="65">
        <v>130.9</v>
      </c>
      <c r="AB97" s="65">
        <v>131.4</v>
      </c>
      <c r="AC97" s="65">
        <v>129.69999999999999</v>
      </c>
      <c r="AD97" s="65">
        <v>130</v>
      </c>
      <c r="AE97" s="65">
        <v>132.19999999999999</v>
      </c>
      <c r="AF97" s="65">
        <v>132.6</v>
      </c>
      <c r="AG97" s="104"/>
      <c r="AH97" s="47">
        <f t="shared" si="10"/>
        <v>132.6</v>
      </c>
      <c r="AI97" s="48">
        <f t="shared" si="11"/>
        <v>125.6</v>
      </c>
    </row>
    <row r="98" spans="1:35" x14ac:dyDescent="0.25">
      <c r="A98" s="103" t="s">
        <v>106</v>
      </c>
      <c r="B98" s="65">
        <v>131.1</v>
      </c>
      <c r="C98" s="65">
        <v>129.9</v>
      </c>
      <c r="D98" s="65">
        <v>129.4</v>
      </c>
      <c r="E98" s="65">
        <v>130.6</v>
      </c>
      <c r="F98" s="65">
        <v>130.6</v>
      </c>
      <c r="G98" s="65">
        <v>128.4</v>
      </c>
      <c r="H98" s="65">
        <v>129.80000000000001</v>
      </c>
      <c r="I98" s="65">
        <v>127.7</v>
      </c>
      <c r="J98" s="65">
        <v>126.3</v>
      </c>
      <c r="K98" s="65">
        <v>127.2</v>
      </c>
      <c r="L98" s="65">
        <v>126.2</v>
      </c>
      <c r="M98" s="65">
        <v>127.3</v>
      </c>
      <c r="N98" s="65">
        <v>127.9</v>
      </c>
      <c r="O98" s="65">
        <v>126.1</v>
      </c>
      <c r="P98" s="65">
        <v>125.9</v>
      </c>
      <c r="Q98" s="65">
        <v>129</v>
      </c>
      <c r="R98" s="65">
        <v>129.36000000000001</v>
      </c>
      <c r="S98" s="65">
        <v>129.30000000000001</v>
      </c>
      <c r="T98" s="65">
        <v>127.6</v>
      </c>
      <c r="U98" s="65">
        <v>127.8</v>
      </c>
      <c r="V98" s="65">
        <v>129.4</v>
      </c>
      <c r="W98" s="65">
        <v>128.9</v>
      </c>
      <c r="X98" s="65">
        <v>126.7</v>
      </c>
      <c r="Y98" s="65">
        <v>127.9</v>
      </c>
      <c r="Z98" s="65">
        <v>130</v>
      </c>
      <c r="AA98" s="65">
        <v>130.6</v>
      </c>
      <c r="AB98" s="65">
        <v>128.30000000000001</v>
      </c>
      <c r="AC98" s="65">
        <v>126.1</v>
      </c>
      <c r="AD98" s="65">
        <v>128</v>
      </c>
      <c r="AE98" s="65">
        <v>130.9</v>
      </c>
      <c r="AF98" s="65">
        <v>131.9</v>
      </c>
      <c r="AG98" s="104"/>
      <c r="AH98" s="47">
        <f t="shared" si="10"/>
        <v>131.9</v>
      </c>
      <c r="AI98" s="48">
        <f t="shared" si="11"/>
        <v>125.9</v>
      </c>
    </row>
    <row r="99" spans="1:35" x14ac:dyDescent="0.25">
      <c r="A99" s="105" t="s">
        <v>107</v>
      </c>
      <c r="B99" s="65">
        <v>134.1</v>
      </c>
      <c r="C99" s="65">
        <v>132</v>
      </c>
      <c r="D99" s="65">
        <v>131.9</v>
      </c>
      <c r="E99" s="65">
        <v>132.69999999999999</v>
      </c>
      <c r="F99" s="65">
        <v>132.80000000000001</v>
      </c>
      <c r="G99" s="65">
        <v>130.6</v>
      </c>
      <c r="H99" s="65">
        <v>131.1</v>
      </c>
      <c r="I99" s="65">
        <v>131.1</v>
      </c>
      <c r="J99" s="65">
        <v>129.4</v>
      </c>
      <c r="K99" s="65">
        <v>130.1</v>
      </c>
      <c r="L99" s="65">
        <v>128.69999999999999</v>
      </c>
      <c r="M99" s="65">
        <v>131.30000000000001</v>
      </c>
      <c r="N99" s="65">
        <v>131</v>
      </c>
      <c r="O99" s="65">
        <v>130.30000000000001</v>
      </c>
      <c r="P99" s="65">
        <v>130.4</v>
      </c>
      <c r="Q99" s="65">
        <v>130.4</v>
      </c>
      <c r="R99" s="65">
        <v>131.5</v>
      </c>
      <c r="S99" s="65">
        <v>130.6</v>
      </c>
      <c r="T99" s="65">
        <v>131.1</v>
      </c>
      <c r="U99" s="65">
        <v>129.69999999999999</v>
      </c>
      <c r="V99" s="65">
        <v>130.80000000000001</v>
      </c>
      <c r="W99" s="65">
        <v>129.9</v>
      </c>
      <c r="X99" s="65">
        <v>127.7</v>
      </c>
      <c r="Y99" s="65">
        <v>132.6</v>
      </c>
      <c r="Z99" s="65">
        <v>131</v>
      </c>
      <c r="AA99" s="65">
        <v>133.6</v>
      </c>
      <c r="AB99" s="65">
        <v>132.19999999999999</v>
      </c>
      <c r="AC99" s="65">
        <v>130.69999999999999</v>
      </c>
      <c r="AD99" s="65">
        <v>132.69999999999999</v>
      </c>
      <c r="AE99" s="65">
        <v>133.5</v>
      </c>
      <c r="AF99" s="65">
        <v>133.19999999999999</v>
      </c>
      <c r="AG99" s="104"/>
      <c r="AH99" s="47">
        <f t="shared" si="10"/>
        <v>134.1</v>
      </c>
      <c r="AI99" s="48">
        <f t="shared" si="11"/>
        <v>127.7</v>
      </c>
    </row>
    <row r="100" spans="1:35" x14ac:dyDescent="0.25">
      <c r="A100" s="105" t="s">
        <v>108</v>
      </c>
      <c r="B100" s="106">
        <v>132.19999999999999</v>
      </c>
      <c r="C100" s="106">
        <v>128.4</v>
      </c>
      <c r="D100" s="106">
        <v>129.4</v>
      </c>
      <c r="E100" s="106">
        <v>131.6</v>
      </c>
      <c r="F100" s="106">
        <v>131.1</v>
      </c>
      <c r="G100" s="106">
        <v>133.9</v>
      </c>
      <c r="H100" s="106">
        <v>133.30000000000001</v>
      </c>
      <c r="I100" s="106">
        <v>130.6</v>
      </c>
      <c r="J100" s="106">
        <v>135.30000000000001</v>
      </c>
      <c r="K100" s="106">
        <v>133.69999999999999</v>
      </c>
      <c r="L100" s="106">
        <v>132.19999999999999</v>
      </c>
      <c r="M100" s="106">
        <v>131.1</v>
      </c>
      <c r="N100" s="106">
        <v>131.80000000000001</v>
      </c>
      <c r="O100" s="106">
        <v>131.80000000000001</v>
      </c>
      <c r="P100" s="106">
        <v>132.4</v>
      </c>
      <c r="Q100" s="106">
        <v>133.5</v>
      </c>
      <c r="R100" s="106">
        <v>131.6</v>
      </c>
      <c r="S100" s="106">
        <v>132.4</v>
      </c>
      <c r="T100" s="106">
        <v>133</v>
      </c>
      <c r="U100" s="106">
        <v>132.5</v>
      </c>
      <c r="V100" s="106">
        <v>134.80000000000001</v>
      </c>
      <c r="W100" s="106">
        <v>129.9</v>
      </c>
      <c r="X100" s="106">
        <v>133.1</v>
      </c>
      <c r="Y100" s="106">
        <v>133.4</v>
      </c>
      <c r="Z100" s="106">
        <v>134</v>
      </c>
      <c r="AA100" s="106">
        <v>134.4</v>
      </c>
      <c r="AB100" s="106">
        <v>135.80000000000001</v>
      </c>
      <c r="AC100" s="106">
        <v>135.5</v>
      </c>
      <c r="AD100" s="106">
        <v>133.19999999999999</v>
      </c>
      <c r="AE100" s="106">
        <v>135</v>
      </c>
      <c r="AF100" s="106">
        <v>133.69999999999999</v>
      </c>
      <c r="AG100" s="107"/>
      <c r="AH100" s="47">
        <f t="shared" si="10"/>
        <v>135.80000000000001</v>
      </c>
      <c r="AI100" s="48">
        <f t="shared" si="11"/>
        <v>128.4</v>
      </c>
    </row>
    <row r="101" spans="1:35" x14ac:dyDescent="0.25">
      <c r="A101" s="103" t="s">
        <v>109</v>
      </c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>
        <v>126.9</v>
      </c>
      <c r="Q101" s="65">
        <v>128.9</v>
      </c>
      <c r="R101" s="65">
        <v>127.7</v>
      </c>
      <c r="S101" s="65">
        <v>131.5</v>
      </c>
      <c r="T101" s="65">
        <v>129.4</v>
      </c>
      <c r="U101" s="65">
        <v>128.80000000000001</v>
      </c>
      <c r="V101" s="65">
        <v>125.5</v>
      </c>
      <c r="W101" s="65">
        <v>130</v>
      </c>
      <c r="X101" s="65">
        <v>129.1</v>
      </c>
      <c r="Y101" s="65">
        <v>128.30000000000001</v>
      </c>
      <c r="Z101" s="65">
        <v>133</v>
      </c>
      <c r="AA101" s="65">
        <v>132.80000000000001</v>
      </c>
      <c r="AB101" s="65">
        <v>131.5</v>
      </c>
      <c r="AC101" s="65">
        <v>128.30000000000001</v>
      </c>
      <c r="AD101" s="65">
        <v>131.5</v>
      </c>
      <c r="AE101" s="65">
        <v>130.1</v>
      </c>
      <c r="AF101" s="65">
        <v>138.19999999999999</v>
      </c>
      <c r="AG101" s="104"/>
      <c r="AH101" s="47">
        <f t="shared" si="10"/>
        <v>138.19999999999999</v>
      </c>
      <c r="AI101" s="48">
        <f t="shared" si="11"/>
        <v>125.5</v>
      </c>
    </row>
    <row r="102" spans="1:35" ht="15.75" thickBot="1" x14ac:dyDescent="0.3">
      <c r="A102" s="103" t="s">
        <v>110</v>
      </c>
      <c r="B102" s="92">
        <v>67</v>
      </c>
      <c r="C102" s="92">
        <v>66.5</v>
      </c>
      <c r="D102" s="92">
        <v>66.7</v>
      </c>
      <c r="E102" s="92">
        <v>67.099999999999994</v>
      </c>
      <c r="F102" s="92">
        <v>66.900000000000006</v>
      </c>
      <c r="G102" s="92">
        <v>66.900000000000006</v>
      </c>
      <c r="H102" s="92">
        <v>66.400000000000006</v>
      </c>
      <c r="I102" s="92">
        <v>65.7</v>
      </c>
      <c r="J102" s="92">
        <v>64.8</v>
      </c>
      <c r="K102" s="92">
        <v>64.900000000000006</v>
      </c>
      <c r="L102" s="92">
        <v>63.5</v>
      </c>
      <c r="M102" s="92">
        <v>63.7</v>
      </c>
      <c r="N102" s="92">
        <v>64.7</v>
      </c>
      <c r="O102" s="92">
        <v>63.7</v>
      </c>
      <c r="P102" s="92">
        <v>63.1</v>
      </c>
      <c r="Q102" s="92">
        <v>64.8</v>
      </c>
      <c r="R102" s="92">
        <v>64.7</v>
      </c>
      <c r="S102" s="92">
        <v>64.98</v>
      </c>
      <c r="T102" s="92">
        <v>64.8</v>
      </c>
      <c r="U102" s="92">
        <v>65.099999999999994</v>
      </c>
      <c r="V102" s="92">
        <v>65.7</v>
      </c>
      <c r="W102" s="92">
        <v>65.900000000000006</v>
      </c>
      <c r="X102" s="92">
        <v>65.599999999999994</v>
      </c>
      <c r="Y102" s="92">
        <v>65.099999999999994</v>
      </c>
      <c r="Z102" s="92">
        <v>65.2</v>
      </c>
      <c r="AA102" s="92">
        <v>65.8</v>
      </c>
      <c r="AB102" s="92">
        <v>66.099999999999994</v>
      </c>
      <c r="AC102" s="92">
        <v>65.3</v>
      </c>
      <c r="AD102" s="92">
        <v>65</v>
      </c>
      <c r="AE102" s="92">
        <v>66.5</v>
      </c>
      <c r="AF102" s="92">
        <v>66.599999999999994</v>
      </c>
      <c r="AG102" s="108"/>
      <c r="AH102" s="47">
        <f t="shared" si="10"/>
        <v>67.099999999999994</v>
      </c>
      <c r="AI102" s="48">
        <f t="shared" si="11"/>
        <v>63.1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 t="s">
        <v>529</v>
      </c>
      <c r="Z103" s="92"/>
      <c r="AA103" s="92"/>
      <c r="AB103" s="92"/>
      <c r="AC103" s="92"/>
      <c r="AD103" s="92"/>
      <c r="AE103" s="92"/>
      <c r="AF103" s="92"/>
      <c r="AG103" s="108"/>
      <c r="AH103" s="47">
        <f t="shared" si="10"/>
        <v>0</v>
      </c>
      <c r="AI103" s="48">
        <f t="shared" si="11"/>
        <v>0</v>
      </c>
    </row>
    <row r="104" spans="1:35" ht="15.75" thickBot="1" x14ac:dyDescent="0.3">
      <c r="A104" s="110" t="s">
        <v>112</v>
      </c>
      <c r="B104" s="111">
        <f t="shared" ref="B104:AF104" si="17">SUM(B16,B22,B25:B26,B52,B54:B55,B57,B59,B105:B109,B131,B137,B143,B152,B154,B166,B173,B176:B177,B184,B186,B188,B192:B194,B196:B198,B203,B209:B210,B212:B214,B222,B227)</f>
        <v>144.69999999999999</v>
      </c>
      <c r="C104" s="111">
        <f t="shared" si="17"/>
        <v>136.94</v>
      </c>
      <c r="D104" s="111">
        <f t="shared" si="17"/>
        <v>128.83999999999997</v>
      </c>
      <c r="E104" s="111">
        <f t="shared" si="17"/>
        <v>125.83999999999997</v>
      </c>
      <c r="F104" s="111">
        <f t="shared" si="17"/>
        <v>132.23999999999998</v>
      </c>
      <c r="G104" s="111">
        <f t="shared" si="17"/>
        <v>151.63999999999999</v>
      </c>
      <c r="H104" s="111">
        <f t="shared" si="17"/>
        <v>186.33999999999997</v>
      </c>
      <c r="I104" s="111">
        <f t="shared" si="17"/>
        <v>214.64</v>
      </c>
      <c r="J104" s="111">
        <f t="shared" si="17"/>
        <v>269.94</v>
      </c>
      <c r="K104" s="111">
        <f t="shared" si="17"/>
        <v>321.23999999999995</v>
      </c>
      <c r="L104" s="111">
        <f t="shared" si="17"/>
        <v>369.14</v>
      </c>
      <c r="M104" s="111">
        <f t="shared" si="17"/>
        <v>382.64</v>
      </c>
      <c r="N104" s="111">
        <f t="shared" si="17"/>
        <v>347.34000000000003</v>
      </c>
      <c r="O104" s="111">
        <f t="shared" si="17"/>
        <v>326.24</v>
      </c>
      <c r="P104" s="111">
        <v>42</v>
      </c>
      <c r="Q104" s="111">
        <f t="shared" si="17"/>
        <v>288.39999999999998</v>
      </c>
      <c r="R104" s="111">
        <f t="shared" si="17"/>
        <v>278.5</v>
      </c>
      <c r="S104" s="111">
        <f t="shared" si="17"/>
        <v>249.60000000000002</v>
      </c>
      <c r="T104" s="111">
        <f t="shared" si="17"/>
        <v>269</v>
      </c>
      <c r="U104" s="111">
        <f t="shared" si="17"/>
        <v>265.5</v>
      </c>
      <c r="V104" s="111">
        <f t="shared" si="17"/>
        <v>279</v>
      </c>
      <c r="W104" s="111">
        <f t="shared" si="17"/>
        <v>348.5</v>
      </c>
      <c r="X104" s="111">
        <f t="shared" si="17"/>
        <v>363.7</v>
      </c>
      <c r="Y104" s="111">
        <v>464.85</v>
      </c>
      <c r="Z104" s="111">
        <f t="shared" si="17"/>
        <v>388.7</v>
      </c>
      <c r="AA104" s="111">
        <f t="shared" si="17"/>
        <v>375.69999999999993</v>
      </c>
      <c r="AB104" s="111">
        <f t="shared" si="17"/>
        <v>355.3</v>
      </c>
      <c r="AC104" s="111">
        <f t="shared" si="17"/>
        <v>342.5</v>
      </c>
      <c r="AD104" s="111">
        <f t="shared" si="17"/>
        <v>309.8</v>
      </c>
      <c r="AE104" s="111">
        <f t="shared" si="17"/>
        <v>206.8</v>
      </c>
      <c r="AF104" s="111">
        <f t="shared" si="17"/>
        <v>152</v>
      </c>
      <c r="AG104" s="112"/>
      <c r="AH104" s="47">
        <f t="shared" si="10"/>
        <v>464.85</v>
      </c>
      <c r="AI104" s="48">
        <f t="shared" si="11"/>
        <v>42</v>
      </c>
    </row>
    <row r="105" spans="1:35" x14ac:dyDescent="0.25">
      <c r="A105" s="100" t="s">
        <v>113</v>
      </c>
      <c r="B105" s="113">
        <v>0</v>
      </c>
      <c r="C105" s="113">
        <v>-20.5</v>
      </c>
      <c r="D105" s="113">
        <v>-22.1</v>
      </c>
      <c r="E105" s="113">
        <v>-18.2</v>
      </c>
      <c r="F105" s="113">
        <v>-16.5</v>
      </c>
      <c r="G105" s="113">
        <v>-1.4</v>
      </c>
      <c r="H105" s="113">
        <v>8</v>
      </c>
      <c r="I105" s="113">
        <v>13.2</v>
      </c>
      <c r="J105" s="113">
        <v>27</v>
      </c>
      <c r="K105" s="113">
        <v>31</v>
      </c>
      <c r="L105" s="113">
        <v>47.1</v>
      </c>
      <c r="M105" s="113">
        <v>34.1</v>
      </c>
      <c r="N105" s="113">
        <v>28.7</v>
      </c>
      <c r="O105" s="113">
        <v>23</v>
      </c>
      <c r="P105" s="113">
        <v>22.8</v>
      </c>
      <c r="Q105" s="113">
        <v>17.7</v>
      </c>
      <c r="R105" s="113">
        <v>19.2</v>
      </c>
      <c r="S105" s="113">
        <v>22.7</v>
      </c>
      <c r="T105" s="113">
        <v>23.9</v>
      </c>
      <c r="U105" s="113">
        <v>18.100000000000001</v>
      </c>
      <c r="V105" s="113">
        <v>18</v>
      </c>
      <c r="W105" s="113">
        <v>33.700000000000003</v>
      </c>
      <c r="X105" s="113">
        <v>33.200000000000003</v>
      </c>
      <c r="Y105" s="113">
        <v>39.700000000000003</v>
      </c>
      <c r="Z105" s="113">
        <v>34.6</v>
      </c>
      <c r="AA105" s="113">
        <v>34.4</v>
      </c>
      <c r="AB105" s="113">
        <v>30</v>
      </c>
      <c r="AC105" s="113">
        <v>37.9</v>
      </c>
      <c r="AD105" s="113">
        <v>25.5</v>
      </c>
      <c r="AE105" s="113">
        <v>-1.8</v>
      </c>
      <c r="AF105" s="113">
        <v>-12.6</v>
      </c>
      <c r="AG105" s="114">
        <v>75</v>
      </c>
      <c r="AH105" s="47">
        <f t="shared" si="10"/>
        <v>47.1</v>
      </c>
      <c r="AI105" s="48">
        <f t="shared" si="11"/>
        <v>-22.1</v>
      </c>
    </row>
    <row r="106" spans="1:35" x14ac:dyDescent="0.25">
      <c r="A106" s="103" t="s">
        <v>114</v>
      </c>
      <c r="B106" s="115">
        <v>3.1</v>
      </c>
      <c r="C106" s="115">
        <v>-27.7</v>
      </c>
      <c r="D106" s="115">
        <v>-29.1</v>
      </c>
      <c r="E106" s="115">
        <v>-23.7</v>
      </c>
      <c r="F106" s="115">
        <v>-22.5</v>
      </c>
      <c r="G106" s="115">
        <v>-1.9</v>
      </c>
      <c r="H106" s="115">
        <v>9.8000000000000007</v>
      </c>
      <c r="I106" s="115">
        <v>10.199999999999999</v>
      </c>
      <c r="J106" s="115">
        <v>37.200000000000003</v>
      </c>
      <c r="K106" s="115">
        <v>38.299999999999997</v>
      </c>
      <c r="L106" s="115">
        <v>38.299999999999997</v>
      </c>
      <c r="M106" s="115">
        <v>40.5</v>
      </c>
      <c r="N106" s="115">
        <v>35.700000000000003</v>
      </c>
      <c r="O106" s="115">
        <v>27.1</v>
      </c>
      <c r="P106" s="115">
        <v>31.9</v>
      </c>
      <c r="Q106" s="115">
        <v>23.9</v>
      </c>
      <c r="R106" s="115">
        <v>26.3</v>
      </c>
      <c r="S106" s="115">
        <v>30.7</v>
      </c>
      <c r="T106" s="115">
        <v>33.200000000000003</v>
      </c>
      <c r="U106" s="115">
        <v>24.8</v>
      </c>
      <c r="V106" s="115">
        <v>21</v>
      </c>
      <c r="W106" s="115">
        <v>40.6</v>
      </c>
      <c r="X106" s="115">
        <v>39.700000000000003</v>
      </c>
      <c r="Y106" s="115">
        <v>48.7</v>
      </c>
      <c r="Z106" s="115">
        <v>42</v>
      </c>
      <c r="AA106" s="115">
        <v>41.7</v>
      </c>
      <c r="AB106" s="115">
        <v>35</v>
      </c>
      <c r="AC106" s="115">
        <v>46.2</v>
      </c>
      <c r="AD106" s="115">
        <v>30.4</v>
      </c>
      <c r="AE106" s="115">
        <v>-3.8</v>
      </c>
      <c r="AF106" s="115">
        <v>-13.5</v>
      </c>
      <c r="AG106" s="114">
        <v>240</v>
      </c>
      <c r="AH106" s="47">
        <f t="shared" si="10"/>
        <v>48.7</v>
      </c>
      <c r="AI106" s="48">
        <f t="shared" si="11"/>
        <v>-29.1</v>
      </c>
    </row>
    <row r="107" spans="1:35" x14ac:dyDescent="0.25">
      <c r="A107" s="103" t="s">
        <v>115</v>
      </c>
      <c r="B107" s="115">
        <v>-46</v>
      </c>
      <c r="C107" s="115">
        <v>-17.899999999999999</v>
      </c>
      <c r="D107" s="115">
        <v>-20.8</v>
      </c>
      <c r="E107" s="115">
        <f>-11.2-11.6</f>
        <v>-22.799999999999997</v>
      </c>
      <c r="F107" s="115">
        <f>-9.5-11.8</f>
        <v>-21.3</v>
      </c>
      <c r="G107" s="115">
        <f>-18.1-17.8</f>
        <v>-35.900000000000006</v>
      </c>
      <c r="H107" s="115">
        <f>-15.2-17.6</f>
        <v>-32.799999999999997</v>
      </c>
      <c r="I107" s="115">
        <f>-10.5-11.6</f>
        <v>-22.1</v>
      </c>
      <c r="J107" s="115">
        <f>-6.4-7.2</f>
        <v>-13.600000000000001</v>
      </c>
      <c r="K107" s="115">
        <f>9.5+10.9</f>
        <v>20.399999999999999</v>
      </c>
      <c r="L107" s="115">
        <v>62</v>
      </c>
      <c r="M107" s="115">
        <v>76.900000000000006</v>
      </c>
      <c r="N107" s="115">
        <f>33+36</f>
        <v>69</v>
      </c>
      <c r="O107" s="115">
        <v>77.599999999999994</v>
      </c>
      <c r="P107" s="115">
        <v>13</v>
      </c>
      <c r="Q107" s="115">
        <v>3</v>
      </c>
      <c r="R107" s="115">
        <v>-3.8</v>
      </c>
      <c r="S107" s="115">
        <f>-21.3-6.9</f>
        <v>-28.200000000000003</v>
      </c>
      <c r="T107" s="115">
        <f>-20.2-4.2</f>
        <v>-24.4</v>
      </c>
      <c r="U107" s="115">
        <f>-25.1-2.9</f>
        <v>-28</v>
      </c>
      <c r="V107" s="115">
        <v>0</v>
      </c>
      <c r="W107" s="115">
        <f>13.7+29.6</f>
        <v>43.3</v>
      </c>
      <c r="X107" s="115">
        <f>15.6+32.3</f>
        <v>47.9</v>
      </c>
      <c r="Y107" s="115">
        <v>46.5</v>
      </c>
      <c r="Z107" s="115">
        <f>26.1+32</f>
        <v>58.1</v>
      </c>
      <c r="AA107" s="115">
        <f>25.9+35.2</f>
        <v>61.1</v>
      </c>
      <c r="AB107" s="115">
        <v>72</v>
      </c>
      <c r="AC107" s="115">
        <v>21</v>
      </c>
      <c r="AD107" s="115">
        <v>-0.7</v>
      </c>
      <c r="AE107" s="115">
        <v>-25</v>
      </c>
      <c r="AF107" s="115">
        <v>-33</v>
      </c>
      <c r="AG107" s="114">
        <v>240</v>
      </c>
      <c r="AH107" s="47">
        <f t="shared" si="10"/>
        <v>77.599999999999994</v>
      </c>
      <c r="AI107" s="48">
        <f t="shared" si="11"/>
        <v>-46</v>
      </c>
    </row>
    <row r="108" spans="1:35" x14ac:dyDescent="0.25">
      <c r="A108" s="103" t="s">
        <v>116</v>
      </c>
      <c r="B108" s="115">
        <v>-4</v>
      </c>
      <c r="C108" s="115">
        <v>-4.0999999999999996</v>
      </c>
      <c r="D108" s="115">
        <v>-5.4</v>
      </c>
      <c r="E108" s="115">
        <v>-4.0999999999999996</v>
      </c>
      <c r="F108" s="115">
        <v>-6.4</v>
      </c>
      <c r="G108" s="115">
        <v>-4.8</v>
      </c>
      <c r="H108" s="115">
        <v>-4</v>
      </c>
      <c r="I108" s="115">
        <v>0.6</v>
      </c>
      <c r="J108" s="115">
        <v>5.3</v>
      </c>
      <c r="K108" s="115">
        <v>16.399999999999999</v>
      </c>
      <c r="L108" s="115">
        <v>25.2</v>
      </c>
      <c r="M108" s="115">
        <v>25.8</v>
      </c>
      <c r="N108" s="115">
        <v>26.1</v>
      </c>
      <c r="O108" s="115">
        <v>24.8</v>
      </c>
      <c r="P108" s="115">
        <v>9.5</v>
      </c>
      <c r="Q108" s="115">
        <v>24.9</v>
      </c>
      <c r="R108" s="115">
        <v>23</v>
      </c>
      <c r="S108" s="115">
        <v>21.9</v>
      </c>
      <c r="T108" s="115">
        <v>25.1</v>
      </c>
      <c r="U108" s="115">
        <v>42.7</v>
      </c>
      <c r="V108" s="115">
        <v>42</v>
      </c>
      <c r="W108" s="115">
        <v>45</v>
      </c>
      <c r="X108" s="115">
        <v>45.9</v>
      </c>
      <c r="Y108" s="115">
        <v>47.7</v>
      </c>
      <c r="Z108" s="115">
        <v>40</v>
      </c>
      <c r="AA108" s="115">
        <v>37.1</v>
      </c>
      <c r="AB108" s="115">
        <v>27.1</v>
      </c>
      <c r="AC108" s="115">
        <v>18.2</v>
      </c>
      <c r="AD108" s="115">
        <v>29</v>
      </c>
      <c r="AE108" s="115">
        <v>26.5</v>
      </c>
      <c r="AF108" s="115">
        <v>8.8000000000000007</v>
      </c>
      <c r="AG108" s="114">
        <v>60</v>
      </c>
      <c r="AH108" s="47">
        <f t="shared" si="10"/>
        <v>47.7</v>
      </c>
      <c r="AI108" s="48">
        <f t="shared" si="11"/>
        <v>-6.4</v>
      </c>
    </row>
    <row r="109" spans="1:35" x14ac:dyDescent="0.25">
      <c r="A109" s="116" t="s">
        <v>117</v>
      </c>
      <c r="B109" s="117">
        <v>81.2</v>
      </c>
      <c r="C109" s="117">
        <v>95.8</v>
      </c>
      <c r="D109" s="117">
        <v>94.9</v>
      </c>
      <c r="E109" s="117">
        <v>85.6</v>
      </c>
      <c r="F109" s="117">
        <v>89.7</v>
      </c>
      <c r="G109" s="117">
        <v>86.4</v>
      </c>
      <c r="H109" s="117">
        <v>96.3</v>
      </c>
      <c r="I109" s="117">
        <v>103.5</v>
      </c>
      <c r="J109" s="117">
        <v>105</v>
      </c>
      <c r="K109" s="117">
        <v>105.9</v>
      </c>
      <c r="L109" s="117">
        <v>87.3</v>
      </c>
      <c r="M109" s="117">
        <v>94</v>
      </c>
      <c r="N109" s="117">
        <v>76.5</v>
      </c>
      <c r="O109" s="117">
        <v>64.5</v>
      </c>
      <c r="P109" s="117">
        <v>116.3</v>
      </c>
      <c r="Q109" s="117">
        <v>108.6</v>
      </c>
      <c r="R109" s="117">
        <v>103.5</v>
      </c>
      <c r="S109" s="117">
        <v>92.2</v>
      </c>
      <c r="T109" s="117">
        <v>100.9</v>
      </c>
      <c r="U109" s="117">
        <v>97.6</v>
      </c>
      <c r="V109" s="117">
        <v>91</v>
      </c>
      <c r="W109" s="117">
        <v>78.900000000000006</v>
      </c>
      <c r="X109" s="117">
        <v>90</v>
      </c>
      <c r="Y109" s="117">
        <v>111.9</v>
      </c>
      <c r="Z109" s="117">
        <v>107</v>
      </c>
      <c r="AA109" s="117">
        <v>94.4</v>
      </c>
      <c r="AB109" s="117">
        <v>84.2</v>
      </c>
      <c r="AC109" s="117">
        <v>112.4</v>
      </c>
      <c r="AD109" s="117">
        <v>118.8</v>
      </c>
      <c r="AE109" s="117">
        <v>104.1</v>
      </c>
      <c r="AF109" s="117">
        <v>95.5</v>
      </c>
      <c r="AG109" s="118">
        <v>120</v>
      </c>
      <c r="AH109" s="47">
        <f t="shared" si="10"/>
        <v>118.8</v>
      </c>
      <c r="AI109" s="48">
        <f t="shared" si="11"/>
        <v>64.5</v>
      </c>
    </row>
    <row r="110" spans="1:35" x14ac:dyDescent="0.25">
      <c r="A110" s="116" t="s">
        <v>118</v>
      </c>
      <c r="B110" s="117">
        <v>89</v>
      </c>
      <c r="C110" s="117">
        <v>100.5</v>
      </c>
      <c r="D110" s="117">
        <v>98.8</v>
      </c>
      <c r="E110" s="117">
        <v>89</v>
      </c>
      <c r="F110" s="117">
        <v>94</v>
      </c>
      <c r="G110" s="117">
        <v>95</v>
      </c>
      <c r="H110" s="117">
        <v>97.7</v>
      </c>
      <c r="I110" s="117">
        <v>100.7</v>
      </c>
      <c r="J110" s="117">
        <v>94.9</v>
      </c>
      <c r="K110" s="117">
        <v>79.3</v>
      </c>
      <c r="L110" s="117">
        <v>78.7</v>
      </c>
      <c r="M110" s="117">
        <v>93.4</v>
      </c>
      <c r="N110" s="117">
        <v>83.1</v>
      </c>
      <c r="O110" s="117">
        <v>96.5</v>
      </c>
      <c r="P110" s="117">
        <v>91.4</v>
      </c>
      <c r="Q110" s="117">
        <v>98.5</v>
      </c>
      <c r="R110" s="117">
        <v>94</v>
      </c>
      <c r="S110" s="117">
        <v>91.9</v>
      </c>
      <c r="T110" s="117">
        <v>94.2</v>
      </c>
      <c r="U110" s="117">
        <v>90.6</v>
      </c>
      <c r="V110" s="117">
        <v>76</v>
      </c>
      <c r="W110" s="117">
        <v>65</v>
      </c>
      <c r="X110" s="117">
        <v>68.900000000000006</v>
      </c>
      <c r="Y110" s="117">
        <v>66.5</v>
      </c>
      <c r="Z110" s="117">
        <v>72</v>
      </c>
      <c r="AA110" s="117">
        <v>78.3</v>
      </c>
      <c r="AB110" s="117">
        <v>89.5</v>
      </c>
      <c r="AC110" s="117">
        <v>84.2</v>
      </c>
      <c r="AD110" s="117">
        <v>100.7</v>
      </c>
      <c r="AE110" s="117">
        <v>97.7</v>
      </c>
      <c r="AF110" s="117">
        <v>98.6</v>
      </c>
      <c r="AG110" s="118"/>
      <c r="AH110" s="47">
        <f t="shared" si="10"/>
        <v>100.7</v>
      </c>
      <c r="AI110" s="48">
        <f t="shared" si="11"/>
        <v>65</v>
      </c>
    </row>
    <row r="111" spans="1:35" x14ac:dyDescent="0.25">
      <c r="A111" s="116" t="s">
        <v>119</v>
      </c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  <c r="AB111" s="117">
        <v>14.4</v>
      </c>
      <c r="AC111" s="117">
        <v>8.3000000000000007</v>
      </c>
      <c r="AD111" s="117"/>
      <c r="AE111" s="117"/>
      <c r="AF111" s="117"/>
      <c r="AG111" s="119"/>
      <c r="AH111" s="47">
        <f t="shared" si="10"/>
        <v>14.4</v>
      </c>
      <c r="AI111" s="48">
        <f t="shared" si="11"/>
        <v>8.3000000000000007</v>
      </c>
    </row>
    <row r="112" spans="1:35" x14ac:dyDescent="0.25">
      <c r="A112" s="120" t="s">
        <v>120</v>
      </c>
      <c r="B112" s="106">
        <v>14.5</v>
      </c>
      <c r="C112" s="106">
        <v>18.2</v>
      </c>
      <c r="D112" s="106">
        <v>23.1</v>
      </c>
      <c r="E112" s="106">
        <v>25.3</v>
      </c>
      <c r="F112" s="106">
        <v>23.3</v>
      </c>
      <c r="G112" s="106">
        <v>16.899999999999999</v>
      </c>
      <c r="H112" s="106">
        <v>8.1999999999999993</v>
      </c>
      <c r="I112" s="106">
        <v>3.6</v>
      </c>
      <c r="J112" s="106">
        <v>-10</v>
      </c>
      <c r="K112" s="106">
        <v>-30</v>
      </c>
      <c r="L112" s="106">
        <v>-42.2</v>
      </c>
      <c r="M112" s="106">
        <v>-40.799999999999997</v>
      </c>
      <c r="N112" s="106">
        <v>-28</v>
      </c>
      <c r="O112" s="106">
        <v>-19.899999999999999</v>
      </c>
      <c r="P112" s="106">
        <v>-14.7</v>
      </c>
      <c r="Q112" s="106">
        <v>-12.7</v>
      </c>
      <c r="R112" s="106">
        <v>-3.9</v>
      </c>
      <c r="S112" s="106">
        <v>-12.8</v>
      </c>
      <c r="T112" s="106">
        <v>-16.3</v>
      </c>
      <c r="U112" s="106">
        <v>-15.9</v>
      </c>
      <c r="V112" s="106">
        <v>25</v>
      </c>
      <c r="W112" s="106">
        <v>56.2</v>
      </c>
      <c r="X112" s="106">
        <v>-68.2</v>
      </c>
      <c r="Y112" s="106">
        <v>-78</v>
      </c>
      <c r="Z112" s="106">
        <v>-58</v>
      </c>
      <c r="AA112" s="106">
        <v>-37.799999999999997</v>
      </c>
      <c r="AB112" s="106">
        <v>-29.1</v>
      </c>
      <c r="AC112" s="106">
        <v>-23.4</v>
      </c>
      <c r="AD112" s="106">
        <v>-13.4</v>
      </c>
      <c r="AE112" s="106">
        <v>5.7</v>
      </c>
      <c r="AF112" s="106">
        <v>10.5</v>
      </c>
      <c r="AG112" s="119"/>
      <c r="AH112" s="47">
        <f t="shared" si="10"/>
        <v>56.2</v>
      </c>
      <c r="AI112" s="48">
        <f t="shared" si="11"/>
        <v>-78</v>
      </c>
    </row>
    <row r="113" spans="1:37" ht="15.75" thickBot="1" x14ac:dyDescent="0.3">
      <c r="A113" s="120" t="s">
        <v>121</v>
      </c>
      <c r="B113" s="106">
        <v>21.1</v>
      </c>
      <c r="C113" s="106">
        <v>5.6</v>
      </c>
      <c r="D113" s="106">
        <v>9.1999999999999993</v>
      </c>
      <c r="E113" s="106">
        <v>10.4</v>
      </c>
      <c r="F113" s="106">
        <v>8.6999999999999993</v>
      </c>
      <c r="G113" s="106">
        <v>15.3</v>
      </c>
      <c r="H113" s="106">
        <v>11.7</v>
      </c>
      <c r="I113" s="106">
        <v>7.1</v>
      </c>
      <c r="J113" s="106">
        <v>15.1</v>
      </c>
      <c r="K113" s="106">
        <v>-18.399999999999999</v>
      </c>
      <c r="L113" s="106">
        <v>-42.3</v>
      </c>
      <c r="M113" s="106">
        <v>-55.1</v>
      </c>
      <c r="N113" s="106">
        <v>-50</v>
      </c>
      <c r="O113" s="106">
        <v>-58</v>
      </c>
      <c r="P113" s="106">
        <v>-11.8</v>
      </c>
      <c r="Q113" s="106">
        <v>5.0999999999999996</v>
      </c>
      <c r="R113" s="106">
        <v>11.7</v>
      </c>
      <c r="S113" s="106">
        <v>16.100000000000001</v>
      </c>
      <c r="T113" s="106">
        <v>14.8</v>
      </c>
      <c r="U113" s="106">
        <v>15.5</v>
      </c>
      <c r="V113" s="106">
        <v>4.5</v>
      </c>
      <c r="W113" s="106">
        <v>-29.9</v>
      </c>
      <c r="X113" s="106">
        <v>-34.1</v>
      </c>
      <c r="Y113" s="106">
        <v>-40</v>
      </c>
      <c r="Z113" s="106">
        <v>-46</v>
      </c>
      <c r="AA113" s="106">
        <v>-41.3</v>
      </c>
      <c r="AB113" s="106">
        <v>-51.6</v>
      </c>
      <c r="AC113" s="106">
        <v>-15</v>
      </c>
      <c r="AD113" s="106">
        <v>1</v>
      </c>
      <c r="AE113" s="106">
        <v>7.9</v>
      </c>
      <c r="AF113" s="106">
        <v>7.7</v>
      </c>
      <c r="AG113" s="119"/>
      <c r="AH113" s="47">
        <f t="shared" si="10"/>
        <v>21.1</v>
      </c>
      <c r="AI113" s="48">
        <f t="shared" si="11"/>
        <v>-58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8">SUM(B115:B219)</f>
        <v>0</v>
      </c>
      <c r="C220" s="136">
        <f t="shared" si="18"/>
        <v>0</v>
      </c>
      <c r="D220" s="136">
        <f t="shared" si="18"/>
        <v>0</v>
      </c>
      <c r="E220" s="136">
        <f t="shared" si="18"/>
        <v>0</v>
      </c>
      <c r="F220" s="136">
        <f t="shared" si="18"/>
        <v>0</v>
      </c>
      <c r="G220" s="136">
        <f t="shared" si="18"/>
        <v>0</v>
      </c>
      <c r="H220" s="136">
        <f t="shared" si="18"/>
        <v>0</v>
      </c>
      <c r="I220" s="136">
        <f t="shared" si="18"/>
        <v>0</v>
      </c>
      <c r="J220" s="136">
        <f t="shared" si="18"/>
        <v>0</v>
      </c>
      <c r="K220" s="136">
        <f t="shared" si="18"/>
        <v>0</v>
      </c>
      <c r="L220" s="136">
        <f t="shared" si="18"/>
        <v>0</v>
      </c>
      <c r="M220" s="136">
        <f t="shared" si="18"/>
        <v>0</v>
      </c>
      <c r="N220" s="136">
        <f t="shared" si="18"/>
        <v>0</v>
      </c>
      <c r="O220" s="136">
        <f t="shared" si="18"/>
        <v>0</v>
      </c>
      <c r="P220" s="136">
        <f t="shared" si="18"/>
        <v>0</v>
      </c>
      <c r="Q220" s="136">
        <f t="shared" si="18"/>
        <v>0</v>
      </c>
      <c r="R220" s="136">
        <f t="shared" si="18"/>
        <v>0</v>
      </c>
      <c r="S220" s="136">
        <f t="shared" si="18"/>
        <v>0</v>
      </c>
      <c r="T220" s="136">
        <f t="shared" si="18"/>
        <v>0</v>
      </c>
      <c r="U220" s="136">
        <f t="shared" si="18"/>
        <v>0</v>
      </c>
      <c r="V220" s="136">
        <f t="shared" si="18"/>
        <v>0</v>
      </c>
      <c r="W220" s="136">
        <f t="shared" si="18"/>
        <v>0</v>
      </c>
      <c r="X220" s="136">
        <f t="shared" si="18"/>
        <v>0</v>
      </c>
      <c r="Y220" s="136">
        <f t="shared" si="18"/>
        <v>0</v>
      </c>
      <c r="Z220" s="136">
        <f t="shared" si="18"/>
        <v>0</v>
      </c>
      <c r="AA220" s="136">
        <f t="shared" si="18"/>
        <v>0</v>
      </c>
      <c r="AB220" s="136">
        <f t="shared" si="18"/>
        <v>0</v>
      </c>
      <c r="AC220" s="136">
        <f t="shared" si="18"/>
        <v>0</v>
      </c>
      <c r="AD220" s="136">
        <f t="shared" si="18"/>
        <v>0</v>
      </c>
      <c r="AE220" s="136">
        <f t="shared" si="18"/>
        <v>0</v>
      </c>
      <c r="AF220" s="137">
        <f t="shared" si="18"/>
        <v>0</v>
      </c>
      <c r="AG220" s="138">
        <f t="shared" si="18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9">AF222</f>
        <v>0</v>
      </c>
      <c r="C222" s="140">
        <v>0.3</v>
      </c>
      <c r="D222" s="140">
        <f t="shared" ref="D222:P227" si="20">C222</f>
        <v>0.3</v>
      </c>
      <c r="E222" s="140">
        <f t="shared" si="20"/>
        <v>0.3</v>
      </c>
      <c r="F222" s="140">
        <f t="shared" si="20"/>
        <v>0.3</v>
      </c>
      <c r="G222" s="140">
        <f t="shared" si="20"/>
        <v>0.3</v>
      </c>
      <c r="H222" s="140">
        <f t="shared" si="20"/>
        <v>0.3</v>
      </c>
      <c r="I222" s="140">
        <f t="shared" si="20"/>
        <v>0.3</v>
      </c>
      <c r="J222" s="140">
        <f t="shared" si="20"/>
        <v>0.3</v>
      </c>
      <c r="K222" s="140">
        <f t="shared" si="20"/>
        <v>0.3</v>
      </c>
      <c r="L222" s="140">
        <f t="shared" si="20"/>
        <v>0.3</v>
      </c>
      <c r="M222" s="140">
        <f t="shared" si="20"/>
        <v>0.3</v>
      </c>
      <c r="N222" s="140">
        <f t="shared" si="20"/>
        <v>0.3</v>
      </c>
      <c r="O222" s="140">
        <f t="shared" si="20"/>
        <v>0.3</v>
      </c>
      <c r="P222" s="140">
        <f t="shared" si="20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9"/>
        <v>0</v>
      </c>
      <c r="C223" s="128">
        <v>0.4</v>
      </c>
      <c r="D223" s="128">
        <f t="shared" si="20"/>
        <v>0.4</v>
      </c>
      <c r="E223" s="128">
        <f t="shared" si="20"/>
        <v>0.4</v>
      </c>
      <c r="F223" s="128">
        <f t="shared" si="20"/>
        <v>0.4</v>
      </c>
      <c r="G223" s="128">
        <f t="shared" si="20"/>
        <v>0.4</v>
      </c>
      <c r="H223" s="128">
        <f t="shared" si="20"/>
        <v>0.4</v>
      </c>
      <c r="I223" s="128">
        <f t="shared" si="20"/>
        <v>0.4</v>
      </c>
      <c r="J223" s="128">
        <f t="shared" si="20"/>
        <v>0.4</v>
      </c>
      <c r="K223" s="128">
        <f t="shared" si="20"/>
        <v>0.4</v>
      </c>
      <c r="L223" s="128">
        <f t="shared" si="20"/>
        <v>0.4</v>
      </c>
      <c r="M223" s="128">
        <f t="shared" si="20"/>
        <v>0.4</v>
      </c>
      <c r="N223" s="128">
        <f t="shared" si="20"/>
        <v>0.4</v>
      </c>
      <c r="O223" s="128">
        <f t="shared" si="20"/>
        <v>0.4</v>
      </c>
      <c r="P223" s="128">
        <f t="shared" si="20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9"/>
        <v>0</v>
      </c>
      <c r="C224" s="128">
        <v>1.5</v>
      </c>
      <c r="D224" s="128">
        <f t="shared" si="20"/>
        <v>1.5</v>
      </c>
      <c r="E224" s="128">
        <f t="shared" si="20"/>
        <v>1.5</v>
      </c>
      <c r="F224" s="128">
        <f t="shared" si="20"/>
        <v>1.5</v>
      </c>
      <c r="G224" s="128">
        <f t="shared" si="20"/>
        <v>1.5</v>
      </c>
      <c r="H224" s="128">
        <f t="shared" si="20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20"/>
        <v>1.5</v>
      </c>
      <c r="K224" s="128">
        <f t="shared" ca="1" si="20"/>
        <v>1.5</v>
      </c>
      <c r="L224" s="128">
        <f t="shared" ca="1" si="20"/>
        <v>1.5</v>
      </c>
      <c r="M224" s="128">
        <f t="shared" ca="1" si="20"/>
        <v>1.5</v>
      </c>
      <c r="N224" s="128">
        <f t="shared" ca="1" si="20"/>
        <v>1.5</v>
      </c>
      <c r="O224" s="128">
        <f t="shared" ca="1" si="20"/>
        <v>1.5</v>
      </c>
      <c r="P224" s="128">
        <f t="shared" ca="1" si="20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9"/>
        <v>0</v>
      </c>
      <c r="C225" s="128">
        <v>0.3</v>
      </c>
      <c r="D225" s="128">
        <f t="shared" si="20"/>
        <v>0.3</v>
      </c>
      <c r="E225" s="128">
        <f t="shared" si="20"/>
        <v>0.3</v>
      </c>
      <c r="F225" s="128">
        <f t="shared" si="20"/>
        <v>0.3</v>
      </c>
      <c r="G225" s="128">
        <f t="shared" si="20"/>
        <v>0.3</v>
      </c>
      <c r="H225" s="128">
        <f t="shared" si="20"/>
        <v>0.3</v>
      </c>
      <c r="I225" s="128">
        <f t="shared" si="20"/>
        <v>0.3</v>
      </c>
      <c r="J225" s="128">
        <f t="shared" si="20"/>
        <v>0.3</v>
      </c>
      <c r="K225" s="128">
        <f t="shared" si="20"/>
        <v>0.3</v>
      </c>
      <c r="L225" s="128">
        <f t="shared" si="20"/>
        <v>0.3</v>
      </c>
      <c r="M225" s="128">
        <f t="shared" si="20"/>
        <v>0.3</v>
      </c>
      <c r="N225" s="128">
        <f t="shared" si="20"/>
        <v>0.3</v>
      </c>
      <c r="O225" s="128">
        <f t="shared" si="20"/>
        <v>0.3</v>
      </c>
      <c r="P225" s="128">
        <f t="shared" si="20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9"/>
        <v>0</v>
      </c>
      <c r="C226" s="128">
        <v>0.4</v>
      </c>
      <c r="D226" s="128">
        <f t="shared" si="20"/>
        <v>0.4</v>
      </c>
      <c r="E226" s="128">
        <f t="shared" si="20"/>
        <v>0.4</v>
      </c>
      <c r="F226" s="128">
        <f t="shared" si="20"/>
        <v>0.4</v>
      </c>
      <c r="G226" s="128">
        <f t="shared" si="20"/>
        <v>0.4</v>
      </c>
      <c r="H226" s="128">
        <f t="shared" si="20"/>
        <v>0.4</v>
      </c>
      <c r="I226" s="128">
        <f t="shared" si="20"/>
        <v>0.4</v>
      </c>
      <c r="J226" s="128">
        <f t="shared" si="20"/>
        <v>0.4</v>
      </c>
      <c r="K226" s="128">
        <f t="shared" si="20"/>
        <v>0.4</v>
      </c>
      <c r="L226" s="128">
        <f t="shared" si="20"/>
        <v>0.4</v>
      </c>
      <c r="M226" s="128">
        <f t="shared" si="20"/>
        <v>0.4</v>
      </c>
      <c r="N226" s="128">
        <f t="shared" si="20"/>
        <v>0.4</v>
      </c>
      <c r="O226" s="128">
        <f t="shared" si="20"/>
        <v>0.4</v>
      </c>
      <c r="P226" s="128">
        <f t="shared" si="20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9"/>
        <v>0</v>
      </c>
      <c r="C227" s="132">
        <v>0.64</v>
      </c>
      <c r="D227" s="132">
        <f t="shared" si="20"/>
        <v>0.64</v>
      </c>
      <c r="E227" s="132">
        <f t="shared" si="20"/>
        <v>0.64</v>
      </c>
      <c r="F227" s="132">
        <f t="shared" si="20"/>
        <v>0.64</v>
      </c>
      <c r="G227" s="132">
        <f t="shared" si="20"/>
        <v>0.64</v>
      </c>
      <c r="H227" s="132">
        <f t="shared" si="20"/>
        <v>0.64</v>
      </c>
      <c r="I227" s="132">
        <f t="shared" si="20"/>
        <v>0.64</v>
      </c>
      <c r="J227" s="132">
        <f t="shared" si="20"/>
        <v>0.64</v>
      </c>
      <c r="K227" s="132">
        <f t="shared" si="20"/>
        <v>0.64</v>
      </c>
      <c r="L227" s="132">
        <f t="shared" si="20"/>
        <v>0.64</v>
      </c>
      <c r="M227" s="132">
        <f t="shared" si="20"/>
        <v>0.64</v>
      </c>
      <c r="N227" s="132">
        <f t="shared" si="20"/>
        <v>0.64</v>
      </c>
      <c r="O227" s="132">
        <f t="shared" si="20"/>
        <v>0.64</v>
      </c>
      <c r="P227" s="132">
        <f t="shared" si="20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21">SUM(B222:B227)</f>
        <v>0</v>
      </c>
      <c r="C228" s="136">
        <f t="shared" si="21"/>
        <v>3.54</v>
      </c>
      <c r="D228" s="136">
        <f t="shared" si="21"/>
        <v>3.54</v>
      </c>
      <c r="E228" s="136">
        <f t="shared" si="21"/>
        <v>3.54</v>
      </c>
      <c r="F228" s="136">
        <f t="shared" si="21"/>
        <v>3.54</v>
      </c>
      <c r="G228" s="136">
        <f t="shared" si="21"/>
        <v>3.54</v>
      </c>
      <c r="H228" s="136">
        <f t="shared" si="21"/>
        <v>3.54</v>
      </c>
      <c r="I228" s="136">
        <f t="shared" ca="1" si="21"/>
        <v>3.54</v>
      </c>
      <c r="J228" s="136">
        <f t="shared" ca="1" si="21"/>
        <v>3.54</v>
      </c>
      <c r="K228" s="136">
        <f t="shared" ca="1" si="21"/>
        <v>3.54</v>
      </c>
      <c r="L228" s="136">
        <f t="shared" ca="1" si="21"/>
        <v>3.54</v>
      </c>
      <c r="M228" s="136">
        <f t="shared" ca="1" si="21"/>
        <v>3.54</v>
      </c>
      <c r="N228" s="136">
        <f t="shared" ca="1" si="21"/>
        <v>3.54</v>
      </c>
      <c r="O228" s="136">
        <f t="shared" ca="1" si="21"/>
        <v>3.54</v>
      </c>
      <c r="P228" s="136">
        <f t="shared" ca="1" si="21"/>
        <v>3.54</v>
      </c>
      <c r="Q228" s="136">
        <f t="shared" si="21"/>
        <v>0</v>
      </c>
      <c r="R228" s="136">
        <f t="shared" si="21"/>
        <v>0</v>
      </c>
      <c r="S228" s="136">
        <f t="shared" si="21"/>
        <v>0</v>
      </c>
      <c r="T228" s="136">
        <f t="shared" si="21"/>
        <v>0</v>
      </c>
      <c r="U228" s="136">
        <f t="shared" si="21"/>
        <v>0</v>
      </c>
      <c r="V228" s="136">
        <f t="shared" si="21"/>
        <v>0</v>
      </c>
      <c r="W228" s="136">
        <f t="shared" si="21"/>
        <v>0</v>
      </c>
      <c r="X228" s="136">
        <f t="shared" si="21"/>
        <v>0</v>
      </c>
      <c r="Y228" s="136">
        <f t="shared" si="21"/>
        <v>0</v>
      </c>
      <c r="Z228" s="136">
        <f t="shared" si="21"/>
        <v>0</v>
      </c>
      <c r="AA228" s="136">
        <f t="shared" si="21"/>
        <v>0</v>
      </c>
      <c r="AB228" s="136">
        <f t="shared" si="21"/>
        <v>0</v>
      </c>
      <c r="AC228" s="136">
        <f t="shared" si="21"/>
        <v>0</v>
      </c>
      <c r="AD228" s="136">
        <f t="shared" si="21"/>
        <v>0</v>
      </c>
      <c r="AE228" s="136">
        <f t="shared" si="21"/>
        <v>0</v>
      </c>
      <c r="AF228" s="136">
        <f t="shared" si="21"/>
        <v>0</v>
      </c>
      <c r="AG228" s="145">
        <f t="shared" si="21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1446.3400000000001</v>
      </c>
      <c r="C237" s="161">
        <f>INDEX(G9:N9,1,MATCH(MAX(G85:N85),G85:N85,0))</f>
        <v>0.3125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23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str">
        <f ca="1">"Pie Chart of Daily Peak Demand(Inclusive of Export) of Nepal ("&amp;A4&amp;" "&amp;B4&amp;")"</f>
        <v>Pie Chart of Daily Peak Demand(Inclusive of Export) of Nepal (Nepali Date: 2079/09/23)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2079/09/23)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2">B85</f>
        <v>1061.8400000000001</v>
      </c>
      <c r="U242" s="170">
        <f t="shared" si="22"/>
        <v>1048.6399999999999</v>
      </c>
      <c r="V242" s="170">
        <f t="shared" si="22"/>
        <v>1027.44</v>
      </c>
      <c r="W242" s="170">
        <f t="shared" si="22"/>
        <v>1020.34</v>
      </c>
      <c r="X242" s="170">
        <f t="shared" si="22"/>
        <v>1032.54</v>
      </c>
      <c r="Y242" s="170">
        <f t="shared" si="22"/>
        <v>1071.44</v>
      </c>
      <c r="Z242" s="170">
        <f t="shared" si="22"/>
        <v>1133.54</v>
      </c>
      <c r="AA242" s="170">
        <f t="shared" si="22"/>
        <v>1209.24</v>
      </c>
      <c r="AB242" s="170">
        <f t="shared" si="22"/>
        <v>1270.74</v>
      </c>
      <c r="AC242" s="170">
        <f t="shared" si="22"/>
        <v>1420.8400000000001</v>
      </c>
      <c r="AD242" s="170">
        <f t="shared" si="22"/>
        <v>1446.3400000000001</v>
      </c>
      <c r="AE242" s="170">
        <f t="shared" si="22"/>
        <v>1438.54</v>
      </c>
      <c r="AF242" s="170">
        <f t="shared" si="22"/>
        <v>1411.8400000000001</v>
      </c>
      <c r="AG242" s="170">
        <f t="shared" si="22"/>
        <v>1405.44</v>
      </c>
      <c r="AH242" s="170">
        <f t="shared" si="22"/>
        <v>1315.14</v>
      </c>
      <c r="AI242" s="170">
        <f t="shared" si="22"/>
        <v>1293.8400000000001</v>
      </c>
      <c r="AJ242" s="170">
        <f t="shared" si="22"/>
        <v>1269.8400000000001</v>
      </c>
      <c r="AK242" s="170">
        <f t="shared" si="22"/>
        <v>1273.8400000000001</v>
      </c>
      <c r="AL242" s="170">
        <f t="shared" si="22"/>
        <v>1311.54</v>
      </c>
      <c r="AM242" s="170">
        <f t="shared" si="22"/>
        <v>1295.5500000000002</v>
      </c>
      <c r="AN242" s="170">
        <f t="shared" si="22"/>
        <v>1187.1400000000001</v>
      </c>
      <c r="AO242" s="170">
        <f t="shared" si="22"/>
        <v>1157.6400000000001</v>
      </c>
      <c r="AP242" s="170">
        <f t="shared" si="22"/>
        <v>1167.6400000000001</v>
      </c>
      <c r="AQ242" s="170">
        <f t="shared" si="22"/>
        <v>1611.9</v>
      </c>
      <c r="AR242" s="170">
        <f t="shared" si="22"/>
        <v>1579.3400000000001</v>
      </c>
      <c r="AS242" s="170">
        <f t="shared" si="22"/>
        <v>1501.6399999999999</v>
      </c>
      <c r="AT242" s="170">
        <f t="shared" si="22"/>
        <v>1428.3400000000001</v>
      </c>
      <c r="AU242" s="170">
        <f t="shared" si="22"/>
        <v>1264.3400000000001</v>
      </c>
      <c r="AV242" s="170">
        <f t="shared" si="22"/>
        <v>1303.54</v>
      </c>
      <c r="AW242" s="170">
        <f t="shared" si="22"/>
        <v>1150.4399999999998</v>
      </c>
      <c r="AX242" s="170">
        <f t="shared" si="22"/>
        <v>1028.6399999999999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3">C227</f>
        <v>0.64</v>
      </c>
      <c r="C263" s="173">
        <f t="shared" si="23"/>
        <v>0.64</v>
      </c>
      <c r="D263" s="173">
        <f t="shared" si="23"/>
        <v>0.64</v>
      </c>
      <c r="E263" s="173">
        <f t="shared" si="23"/>
        <v>0.64</v>
      </c>
      <c r="F263" s="173">
        <f t="shared" si="23"/>
        <v>0.64</v>
      </c>
      <c r="G263" s="173">
        <f t="shared" si="23"/>
        <v>0.64</v>
      </c>
      <c r="H263" s="173">
        <f t="shared" si="23"/>
        <v>0.64</v>
      </c>
      <c r="I263" s="173">
        <f t="shared" si="23"/>
        <v>0.64</v>
      </c>
      <c r="J263" s="173">
        <f t="shared" si="23"/>
        <v>0.64</v>
      </c>
      <c r="K263" s="173">
        <f t="shared" si="23"/>
        <v>0.64</v>
      </c>
      <c r="L263" s="173">
        <f t="shared" si="23"/>
        <v>0.64</v>
      </c>
      <c r="M263" s="173">
        <f t="shared" si="23"/>
        <v>0.64</v>
      </c>
      <c r="N263" s="173">
        <f t="shared" si="23"/>
        <v>0.64</v>
      </c>
      <c r="O263" s="173">
        <f t="shared" si="23"/>
        <v>0.64</v>
      </c>
      <c r="P263" s="173">
        <f t="shared" si="23"/>
        <v>0</v>
      </c>
      <c r="Q263" s="173">
        <f t="shared" si="23"/>
        <v>0</v>
      </c>
      <c r="R263" s="173">
        <f t="shared" si="23"/>
        <v>0</v>
      </c>
      <c r="S263" s="173">
        <f t="shared" si="23"/>
        <v>0</v>
      </c>
      <c r="T263" s="173">
        <f t="shared" si="23"/>
        <v>0</v>
      </c>
      <c r="U263" s="173">
        <f t="shared" si="23"/>
        <v>0</v>
      </c>
      <c r="V263" s="173">
        <f t="shared" si="23"/>
        <v>0</v>
      </c>
      <c r="W263" s="173">
        <f t="shared" si="23"/>
        <v>0</v>
      </c>
      <c r="X263" s="173">
        <f t="shared" si="23"/>
        <v>0</v>
      </c>
      <c r="Y263" s="173">
        <f t="shared" si="23"/>
        <v>0</v>
      </c>
      <c r="Z263" s="173">
        <f t="shared" si="23"/>
        <v>0</v>
      </c>
      <c r="AA263" s="173">
        <f t="shared" si="23"/>
        <v>0</v>
      </c>
      <c r="AB263" s="173">
        <f t="shared" si="23"/>
        <v>0</v>
      </c>
      <c r="AC263" s="173">
        <f t="shared" si="23"/>
        <v>0</v>
      </c>
      <c r="AD263" s="173">
        <f t="shared" si="23"/>
        <v>0</v>
      </c>
      <c r="AE263" s="173">
        <f t="shared" si="23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4">IF(B231&lt;100,"",B231-520)</f>
        <v/>
      </c>
      <c r="C264" s="174" t="str">
        <f t="shared" si="24"/>
        <v/>
      </c>
      <c r="D264" s="174" t="str">
        <f t="shared" si="24"/>
        <v/>
      </c>
      <c r="E264" s="174" t="str">
        <f t="shared" si="24"/>
        <v/>
      </c>
      <c r="F264" s="174" t="str">
        <f t="shared" si="24"/>
        <v/>
      </c>
      <c r="G264" s="174" t="str">
        <f t="shared" si="24"/>
        <v/>
      </c>
      <c r="H264" s="174" t="str">
        <f t="shared" si="24"/>
        <v/>
      </c>
      <c r="I264" s="174" t="str">
        <f t="shared" si="24"/>
        <v/>
      </c>
      <c r="J264" s="174" t="str">
        <f t="shared" si="24"/>
        <v/>
      </c>
      <c r="K264" s="174" t="str">
        <f t="shared" si="24"/>
        <v/>
      </c>
      <c r="L264" s="174" t="str">
        <f t="shared" si="24"/>
        <v/>
      </c>
      <c r="M264" s="174" t="str">
        <f t="shared" si="24"/>
        <v/>
      </c>
      <c r="N264" s="174" t="str">
        <f t="shared" si="24"/>
        <v/>
      </c>
      <c r="O264" s="174" t="str">
        <f t="shared" si="24"/>
        <v/>
      </c>
      <c r="P264" s="174" t="str">
        <f t="shared" si="24"/>
        <v/>
      </c>
      <c r="Q264" s="174" t="str">
        <f t="shared" si="24"/>
        <v/>
      </c>
      <c r="R264" s="174" t="str">
        <f t="shared" si="24"/>
        <v/>
      </c>
      <c r="S264" s="174" t="str">
        <f t="shared" si="24"/>
        <v/>
      </c>
      <c r="T264" s="174" t="str">
        <f t="shared" si="24"/>
        <v/>
      </c>
      <c r="U264" s="174" t="str">
        <f t="shared" si="24"/>
        <v/>
      </c>
      <c r="V264" s="174" t="str">
        <f t="shared" si="24"/>
        <v/>
      </c>
      <c r="W264" s="174" t="str">
        <f t="shared" si="24"/>
        <v/>
      </c>
      <c r="X264" s="174" t="str">
        <f t="shared" si="24"/>
        <v/>
      </c>
      <c r="Y264" s="174" t="str">
        <f t="shared" si="24"/>
        <v/>
      </c>
      <c r="Z264" s="174" t="str">
        <f t="shared" si="24"/>
        <v/>
      </c>
      <c r="AA264" s="174" t="str">
        <f t="shared" si="24"/>
        <v/>
      </c>
      <c r="AB264" s="174" t="str">
        <f t="shared" si="24"/>
        <v/>
      </c>
      <c r="AC264" s="174" t="str">
        <f t="shared" si="24"/>
        <v/>
      </c>
      <c r="AD264" s="174" t="str">
        <f t="shared" si="24"/>
        <v/>
      </c>
      <c r="AE264" s="174" t="str">
        <f t="shared" si="24"/>
        <v/>
      </c>
      <c r="AF264" s="174" t="str">
        <f t="shared" si="24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5">IF(B232&lt;100,"",B232-620)</f>
        <v/>
      </c>
      <c r="C265" s="174" t="str">
        <f t="shared" si="25"/>
        <v/>
      </c>
      <c r="D265" s="174" t="str">
        <f t="shared" si="25"/>
        <v/>
      </c>
      <c r="E265" s="174" t="str">
        <f t="shared" si="25"/>
        <v/>
      </c>
      <c r="F265" s="174" t="str">
        <f t="shared" si="25"/>
        <v/>
      </c>
      <c r="G265" s="174" t="str">
        <f t="shared" si="25"/>
        <v/>
      </c>
      <c r="H265" s="174" t="str">
        <f t="shared" si="25"/>
        <v/>
      </c>
      <c r="I265" s="174" t="str">
        <f t="shared" si="25"/>
        <v/>
      </c>
      <c r="J265" s="174" t="str">
        <f t="shared" si="25"/>
        <v/>
      </c>
      <c r="K265" s="174" t="str">
        <f t="shared" si="25"/>
        <v/>
      </c>
      <c r="L265" s="174" t="str">
        <f t="shared" si="25"/>
        <v/>
      </c>
      <c r="M265" s="174" t="str">
        <f t="shared" si="25"/>
        <v/>
      </c>
      <c r="N265" s="174" t="str">
        <f t="shared" si="25"/>
        <v/>
      </c>
      <c r="O265" s="174" t="str">
        <f t="shared" si="25"/>
        <v/>
      </c>
      <c r="P265" s="174" t="str">
        <f t="shared" si="25"/>
        <v/>
      </c>
      <c r="Q265" s="174" t="str">
        <f t="shared" si="25"/>
        <v/>
      </c>
      <c r="R265" s="174" t="str">
        <f t="shared" si="25"/>
        <v/>
      </c>
      <c r="S265" s="174" t="str">
        <f t="shared" si="25"/>
        <v/>
      </c>
      <c r="T265" s="174" t="str">
        <f t="shared" si="25"/>
        <v/>
      </c>
      <c r="U265" s="174" t="str">
        <f t="shared" si="25"/>
        <v/>
      </c>
      <c r="V265" s="174" t="str">
        <f t="shared" si="25"/>
        <v/>
      </c>
      <c r="W265" s="174" t="str">
        <f t="shared" si="25"/>
        <v/>
      </c>
      <c r="X265" s="174" t="str">
        <f t="shared" si="25"/>
        <v/>
      </c>
      <c r="Y265" s="174" t="str">
        <f t="shared" si="25"/>
        <v/>
      </c>
      <c r="Z265" s="174" t="str">
        <f t="shared" si="25"/>
        <v/>
      </c>
      <c r="AA265" s="174" t="str">
        <f t="shared" si="25"/>
        <v/>
      </c>
      <c r="AB265" s="174" t="str">
        <f t="shared" si="25"/>
        <v/>
      </c>
      <c r="AC265" s="174" t="str">
        <f t="shared" si="25"/>
        <v/>
      </c>
      <c r="AD265" s="174" t="str">
        <f t="shared" si="25"/>
        <v/>
      </c>
      <c r="AE265" s="174" t="str">
        <f t="shared" si="25"/>
        <v/>
      </c>
      <c r="AF265" s="174" t="str">
        <f t="shared" si="25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6">IF(B233&lt;100,"",B233-330)</f>
        <v/>
      </c>
      <c r="C266" s="174" t="str">
        <f t="shared" si="26"/>
        <v/>
      </c>
      <c r="D266" s="174" t="str">
        <f t="shared" si="26"/>
        <v/>
      </c>
      <c r="E266" s="174" t="str">
        <f t="shared" si="26"/>
        <v/>
      </c>
      <c r="F266" s="174" t="str">
        <f t="shared" si="26"/>
        <v/>
      </c>
      <c r="G266" s="174" t="str">
        <f t="shared" si="26"/>
        <v/>
      </c>
      <c r="H266" s="174" t="str">
        <f t="shared" si="26"/>
        <v/>
      </c>
      <c r="I266" s="174" t="str">
        <f t="shared" si="26"/>
        <v/>
      </c>
      <c r="J266" s="174" t="str">
        <f t="shared" si="26"/>
        <v/>
      </c>
      <c r="K266" s="174" t="str">
        <f t="shared" si="26"/>
        <v/>
      </c>
      <c r="L266" s="174" t="str">
        <f t="shared" si="26"/>
        <v/>
      </c>
      <c r="M266" s="174" t="str">
        <f t="shared" si="26"/>
        <v/>
      </c>
      <c r="N266" s="174" t="str">
        <f t="shared" si="26"/>
        <v/>
      </c>
      <c r="O266" s="174" t="str">
        <f t="shared" si="26"/>
        <v/>
      </c>
      <c r="P266" s="174" t="str">
        <f t="shared" si="26"/>
        <v/>
      </c>
      <c r="Q266" s="174" t="str">
        <f t="shared" si="26"/>
        <v/>
      </c>
      <c r="R266" s="174" t="str">
        <f t="shared" si="26"/>
        <v/>
      </c>
      <c r="S266" s="174" t="str">
        <f t="shared" si="26"/>
        <v/>
      </c>
      <c r="T266" s="174" t="str">
        <f t="shared" si="26"/>
        <v/>
      </c>
      <c r="U266" s="174" t="str">
        <f t="shared" si="26"/>
        <v/>
      </c>
      <c r="V266" s="174" t="str">
        <f t="shared" si="26"/>
        <v/>
      </c>
      <c r="W266" s="174" t="str">
        <f t="shared" si="26"/>
        <v/>
      </c>
      <c r="X266" s="174" t="str">
        <f t="shared" si="26"/>
        <v/>
      </c>
      <c r="Y266" s="174" t="str">
        <f t="shared" si="26"/>
        <v/>
      </c>
      <c r="Z266" s="174" t="str">
        <f t="shared" si="26"/>
        <v/>
      </c>
      <c r="AA266" s="174" t="str">
        <f t="shared" si="26"/>
        <v/>
      </c>
      <c r="AB266" s="174" t="str">
        <f t="shared" si="26"/>
        <v/>
      </c>
      <c r="AC266" s="174" t="str">
        <f t="shared" si="26"/>
        <v/>
      </c>
      <c r="AD266" s="174" t="str">
        <f t="shared" si="26"/>
        <v/>
      </c>
      <c r="AE266" s="174" t="str">
        <f t="shared" si="26"/>
        <v/>
      </c>
      <c r="AF266" s="174" t="str">
        <f t="shared" si="26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7">IF(B234&lt;100,"",B234-1500)</f>
        <v/>
      </c>
      <c r="C267" s="174" t="str">
        <f t="shared" si="27"/>
        <v/>
      </c>
      <c r="D267" s="174" t="str">
        <f t="shared" si="27"/>
        <v/>
      </c>
      <c r="E267" s="174" t="str">
        <f t="shared" si="27"/>
        <v/>
      </c>
      <c r="F267" s="174" t="str">
        <f t="shared" si="27"/>
        <v/>
      </c>
      <c r="G267" s="174" t="str">
        <f t="shared" si="27"/>
        <v/>
      </c>
      <c r="H267" s="174" t="str">
        <f t="shared" si="27"/>
        <v/>
      </c>
      <c r="I267" s="174" t="str">
        <f t="shared" si="27"/>
        <v/>
      </c>
      <c r="J267" s="174" t="str">
        <f t="shared" si="27"/>
        <v/>
      </c>
      <c r="K267" s="174" t="str">
        <f t="shared" si="27"/>
        <v/>
      </c>
      <c r="L267" s="174" t="str">
        <f t="shared" si="27"/>
        <v/>
      </c>
      <c r="M267" s="174" t="str">
        <f t="shared" si="27"/>
        <v/>
      </c>
      <c r="N267" s="174" t="str">
        <f t="shared" si="27"/>
        <v/>
      </c>
      <c r="O267" s="174" t="str">
        <f t="shared" si="27"/>
        <v/>
      </c>
      <c r="P267" s="174" t="str">
        <f t="shared" si="27"/>
        <v/>
      </c>
      <c r="Q267" s="174" t="str">
        <f t="shared" si="27"/>
        <v/>
      </c>
      <c r="R267" s="174" t="str">
        <f t="shared" si="27"/>
        <v/>
      </c>
      <c r="S267" s="174" t="str">
        <f t="shared" si="27"/>
        <v/>
      </c>
      <c r="T267" s="174" t="str">
        <f t="shared" si="27"/>
        <v/>
      </c>
      <c r="U267" s="174" t="str">
        <f t="shared" si="27"/>
        <v/>
      </c>
      <c r="V267" s="174" t="str">
        <f t="shared" si="27"/>
        <v/>
      </c>
      <c r="W267" s="174" t="str">
        <f t="shared" si="27"/>
        <v/>
      </c>
      <c r="X267" s="174" t="str">
        <f t="shared" si="27"/>
        <v/>
      </c>
      <c r="Y267" s="174" t="str">
        <f t="shared" si="27"/>
        <v/>
      </c>
      <c r="Z267" s="174" t="str">
        <f t="shared" si="27"/>
        <v/>
      </c>
      <c r="AA267" s="174" t="str">
        <f t="shared" si="27"/>
        <v/>
      </c>
      <c r="AB267" s="174" t="str">
        <f t="shared" si="27"/>
        <v/>
      </c>
      <c r="AC267" s="174" t="str">
        <f t="shared" si="27"/>
        <v/>
      </c>
      <c r="AD267" s="174" t="str">
        <f t="shared" si="27"/>
        <v/>
      </c>
      <c r="AE267" s="174" t="str">
        <f t="shared" si="27"/>
        <v/>
      </c>
      <c r="AF267" s="174" t="str">
        <f t="shared" si="27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5:AF105 D107:AF112">
    <cfRule type="expression" dxfId="3522" priority="234">
      <formula>B$9&gt;=20/24</formula>
    </cfRule>
    <cfRule type="expression" dxfId="3521" priority="235">
      <formula>AND(B$9&gt;=14/24,B$9&lt;20/24)</formula>
    </cfRule>
    <cfRule type="expression" dxfId="3520" priority="236">
      <formula>AND(B$9&gt;=8/24,B$9&lt;14/24)</formula>
    </cfRule>
    <cfRule type="expression" dxfId="3519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G61">
    <cfRule type="expression" dxfId="3518" priority="232">
      <formula>AG61&gt;$AG61</formula>
    </cfRule>
  </conditionalFormatting>
  <conditionalFormatting sqref="A95:A105 A55:A82 A91:A93 A198:A228 A42:A53 A114:A185 A38:A39 A87:A89 A84:A85 A107:A109 A35:A36 A17:A18 A11:A15 A20:A33">
    <cfRule type="expression" dxfId="3517" priority="231">
      <formula>$AH11=0</formula>
    </cfRule>
  </conditionalFormatting>
  <conditionalFormatting sqref="A110">
    <cfRule type="expression" dxfId="3516" priority="230">
      <formula>$AH110=0</formula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3515" priority="228">
      <formula>$AH41=0</formula>
    </cfRule>
  </conditionalFormatting>
  <conditionalFormatting sqref="A94">
    <cfRule type="expression" dxfId="3514" priority="227">
      <formula>$AH94=0</formula>
    </cfRule>
  </conditionalFormatting>
  <conditionalFormatting sqref="A16">
    <cfRule type="expression" dxfId="3513" priority="226">
      <formula>$AH16=0</formula>
    </cfRule>
  </conditionalFormatting>
  <conditionalFormatting sqref="A192:A197">
    <cfRule type="expression" dxfId="3512" priority="225">
      <formula>$AH192=0</formula>
    </cfRule>
  </conditionalFormatting>
  <conditionalFormatting sqref="A186:A191">
    <cfRule type="expression" dxfId="3511" priority="224">
      <formula>$AH186=0</formula>
    </cfRule>
  </conditionalFormatting>
  <conditionalFormatting sqref="A54">
    <cfRule type="expression" dxfId="3510" priority="223">
      <formula>$AH54=0</formula>
    </cfRule>
  </conditionalFormatting>
  <conditionalFormatting sqref="A90">
    <cfRule type="expression" dxfId="3509" priority="222">
      <formula>$AH90=0</formula>
    </cfRule>
  </conditionalFormatting>
  <conditionalFormatting sqref="E95:X95 AD95:AF95">
    <cfRule type="expression" dxfId="3508" priority="218">
      <formula>E$9&gt;=20/24</formula>
    </cfRule>
    <cfRule type="expression" dxfId="3507" priority="219">
      <formula>AND(E$9&gt;=14/24,E$9&lt;20/24)</formula>
    </cfRule>
    <cfRule type="expression" dxfId="3506" priority="220">
      <formula>AND(E$9&gt;=8/24,E$9&lt;14/24)</formula>
    </cfRule>
    <cfRule type="expression" dxfId="3505" priority="221">
      <formula>E$9&lt;8/24</formula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504" priority="240">
      <formula>C$9&gt;=20/24</formula>
    </cfRule>
    <cfRule type="expression" dxfId="3503" priority="241">
      <formula>AND(C$9&gt;=14/24,C$9&lt;20/24)</formula>
    </cfRule>
    <cfRule type="expression" dxfId="3502" priority="242">
      <formula>AND(C$9&gt;=8/24,C$9&lt;14/24)</formula>
    </cfRule>
    <cfRule type="expression" dxfId="3501" priority="243">
      <formula>C$9&lt;8/24</formula>
    </cfRule>
  </conditionalFormatting>
  <conditionalFormatting sqref="A229">
    <cfRule type="expression" dxfId="3500" priority="244">
      <formula>$AH229=0</formula>
    </cfRule>
  </conditionalFormatting>
  <conditionalFormatting sqref="AG241">
    <cfRule type="expression" dxfId="3499" priority="245">
      <formula>B$9&gt;=20/24</formula>
    </cfRule>
    <cfRule type="expression" dxfId="3498" priority="246">
      <formula>AND(B$9&gt;=14/24,B$9&lt;20/24)</formula>
    </cfRule>
    <cfRule type="expression" dxfId="3497" priority="247">
      <formula>AND(B$9&gt;=8/24,B$9&lt;14/24)</formula>
    </cfRule>
    <cfRule type="expression" dxfId="3496" priority="248">
      <formula>B$9&lt;8/24</formula>
    </cfRule>
  </conditionalFormatting>
  <conditionalFormatting sqref="S8">
    <cfRule type="expression" dxfId="3495" priority="213">
      <formula>U$9&gt;=20/24</formula>
    </cfRule>
    <cfRule type="expression" dxfId="3494" priority="214">
      <formula>AND(U$9&gt;=14/24,U$9&lt;20/24)</formula>
    </cfRule>
    <cfRule type="expression" dxfId="3493" priority="215">
      <formula>AND(U$9&gt;=8/24,U$9&lt;14/24)</formula>
    </cfRule>
    <cfRule type="expression" dxfId="3492" priority="216">
      <formula>U$9&lt;8/24</formula>
    </cfRule>
  </conditionalFormatting>
  <conditionalFormatting sqref="AB8">
    <cfRule type="expression" dxfId="3491" priority="209">
      <formula>AD$9&gt;=20/24</formula>
    </cfRule>
    <cfRule type="expression" dxfId="3490" priority="210">
      <formula>AND(AD$9&gt;=14/24,AD$9&lt;20/24)</formula>
    </cfRule>
    <cfRule type="expression" dxfId="3489" priority="211">
      <formula>AND(AD$9&gt;=8/24,AD$9&lt;14/24)</formula>
    </cfRule>
    <cfRule type="expression" dxfId="3488" priority="212">
      <formula>AD$9&lt;8/24</formula>
    </cfRule>
  </conditionalFormatting>
  <conditionalFormatting sqref="AH241:AX241">
    <cfRule type="expression" dxfId="3487" priority="249">
      <formula>AG$9&gt;=20/24</formula>
    </cfRule>
    <cfRule type="expression" dxfId="3486" priority="250">
      <formula>AND(AG$9&gt;=14/24,AG$9&lt;20/24)</formula>
    </cfRule>
    <cfRule type="expression" dxfId="3485" priority="251">
      <formula>AND(AG$9&gt;=8/24,AG$9&lt;14/24)</formula>
    </cfRule>
    <cfRule type="expression" dxfId="3484" priority="252">
      <formula>AG$9&lt;8/24</formula>
    </cfRule>
  </conditionalFormatting>
  <conditionalFormatting sqref="T241">
    <cfRule type="expression" dxfId="3483" priority="253">
      <formula>AX$9&gt;=20/24</formula>
    </cfRule>
    <cfRule type="expression" dxfId="3482" priority="254">
      <formula>AND(AX$9&gt;=14/24,AX$9&lt;20/24)</formula>
    </cfRule>
    <cfRule type="expression" dxfId="3481" priority="255">
      <formula>AND(AX$9&gt;=8/24,AX$9&lt;14/24)</formula>
    </cfRule>
    <cfRule type="expression" dxfId="3480" priority="256">
      <formula>AX$9&lt;8/24</formula>
    </cfRule>
  </conditionalFormatting>
  <conditionalFormatting sqref="A111:A112">
    <cfRule type="expression" dxfId="3479" priority="208">
      <formula>$AH111=0</formula>
    </cfRule>
  </conditionalFormatting>
  <conditionalFormatting sqref="M50:R56 S53:U56 E67:AF67 V54:AB56 AC55:AF56 AC50:AF53">
    <cfRule type="expression" dxfId="3478" priority="204">
      <formula>E$9&gt;=20/24</formula>
    </cfRule>
    <cfRule type="expression" dxfId="3477" priority="205">
      <formula>AND(E$9&gt;=14/24,E$9&lt;20/24)</formula>
    </cfRule>
    <cfRule type="expression" dxfId="3476" priority="206">
      <formula>AND(E$9&gt;=8/24,E$9&lt;14/24)</formula>
    </cfRule>
    <cfRule type="expression" dxfId="3475" priority="207">
      <formula>E$9&lt;8/24</formula>
    </cfRule>
  </conditionalFormatting>
  <conditionalFormatting sqref="AC49:AF49 M49:R49">
    <cfRule type="expression" dxfId="3474" priority="200">
      <formula>M$9&gt;=20/24</formula>
    </cfRule>
    <cfRule type="expression" dxfId="3473" priority="201">
      <formula>AND(M$9&gt;=14/24,M$9&lt;20/24)</formula>
    </cfRule>
    <cfRule type="expression" dxfId="3472" priority="202">
      <formula>AND(M$9&gt;=8/24,M$9&lt;14/24)</formula>
    </cfRule>
    <cfRule type="expression" dxfId="3471" priority="203">
      <formula>M$9&lt;8/24</formula>
    </cfRule>
  </conditionalFormatting>
  <conditionalFormatting sqref="M49:R56 S53:U56 V54:AB56 AC55:AF56 AC49:AF53">
    <cfRule type="expression" dxfId="3470" priority="199">
      <formula>M49&gt;$AG49</formula>
    </cfRule>
  </conditionalFormatting>
  <conditionalFormatting sqref="D82:AF82 M96:X102 Y43:AF43 X92:AF92 AD96:AF102 E68:X69 Y63:AF65 Y68:AF70">
    <cfRule type="expression" dxfId="3469" priority="195">
      <formula>D$9&gt;=20/24</formula>
    </cfRule>
    <cfRule type="expression" dxfId="3468" priority="196">
      <formula>AND(D$9&gt;=14/24,D$9&lt;20/24)</formula>
    </cfRule>
    <cfRule type="expression" dxfId="3467" priority="197">
      <formula>AND(D$9&gt;=8/24,D$9&lt;14/24)</formula>
    </cfRule>
    <cfRule type="expression" dxfId="3466" priority="198">
      <formula>D$9&lt;8/24</formula>
    </cfRule>
  </conditionalFormatting>
  <conditionalFormatting sqref="Y43:AF43 Y63:AF65">
    <cfRule type="expression" dxfId="3465" priority="194">
      <formula>Y43&gt;$AG43</formula>
    </cfRule>
  </conditionalFormatting>
  <conditionalFormatting sqref="S49:U52 V49:AB53">
    <cfRule type="expression" dxfId="3464" priority="190">
      <formula>S$9&gt;=20/24</formula>
    </cfRule>
    <cfRule type="expression" dxfId="3463" priority="191">
      <formula>AND(S$9&gt;=14/24,S$9&lt;20/24)</formula>
    </cfRule>
    <cfRule type="expression" dxfId="3462" priority="192">
      <formula>AND(S$9&gt;=8/24,S$9&lt;14/24)</formula>
    </cfRule>
    <cfRule type="expression" dxfId="3461" priority="193">
      <formula>S$9&lt;8/24</formula>
    </cfRule>
  </conditionalFormatting>
  <conditionalFormatting sqref="S49:U52 V49:AB53">
    <cfRule type="expression" dxfId="3460" priority="189">
      <formula>S49&gt;$AG49</formula>
    </cfRule>
  </conditionalFormatting>
  <conditionalFormatting sqref="C93:AF93 C84:AF84">
    <cfRule type="expression" dxfId="3459" priority="185">
      <formula>C$9&gt;=20/24</formula>
    </cfRule>
    <cfRule type="expression" dxfId="3458" priority="186">
      <formula>AND(C$9&gt;=14/24,C$9&lt;20/24)</formula>
    </cfRule>
    <cfRule type="expression" dxfId="3457" priority="187">
      <formula>AND(C$9&gt;=8/24,C$9&lt;14/24)</formula>
    </cfRule>
    <cfRule type="expression" dxfId="3456" priority="188">
      <formula>C$9&lt;8/24</formula>
    </cfRule>
  </conditionalFormatting>
  <conditionalFormatting sqref="T43:X43">
    <cfRule type="expression" dxfId="3455" priority="181">
      <formula>T$9&gt;=20/24</formula>
    </cfRule>
    <cfRule type="expression" dxfId="3454" priority="182">
      <formula>AND(T$9&gt;=14/24,T$9&lt;20/24)</formula>
    </cfRule>
    <cfRule type="expression" dxfId="3453" priority="183">
      <formula>AND(T$9&gt;=8/24,T$9&lt;14/24)</formula>
    </cfRule>
    <cfRule type="expression" dxfId="3452" priority="184">
      <formula>T$9&lt;8/24</formula>
    </cfRule>
  </conditionalFormatting>
  <conditionalFormatting sqref="T43:X43">
    <cfRule type="expression" dxfId="3451" priority="180">
      <formula>T43&gt;$AG43</formula>
    </cfRule>
  </conditionalFormatting>
  <conditionalFormatting sqref="E50:L51">
    <cfRule type="expression" dxfId="3450" priority="176">
      <formula>E$9&gt;=20/24</formula>
    </cfRule>
    <cfRule type="expression" dxfId="3449" priority="177">
      <formula>AND(E$9&gt;=14/24,E$9&lt;20/24)</formula>
    </cfRule>
    <cfRule type="expression" dxfId="3448" priority="178">
      <formula>AND(E$9&gt;=8/24,E$9&lt;14/24)</formula>
    </cfRule>
    <cfRule type="expression" dxfId="3447" priority="179">
      <formula>E$9&lt;8/24</formula>
    </cfRule>
  </conditionalFormatting>
  <conditionalFormatting sqref="E49:L49">
    <cfRule type="expression" dxfId="3446" priority="172">
      <formula>E$9&gt;=20/24</formula>
    </cfRule>
    <cfRule type="expression" dxfId="3445" priority="173">
      <formula>AND(E$9&gt;=14/24,E$9&lt;20/24)</formula>
    </cfRule>
    <cfRule type="expression" dxfId="3444" priority="174">
      <formula>AND(E$9&gt;=8/24,E$9&lt;14/24)</formula>
    </cfRule>
    <cfRule type="expression" dxfId="3443" priority="175">
      <formula>E$9&lt;8/24</formula>
    </cfRule>
  </conditionalFormatting>
  <conditionalFormatting sqref="E49:L51">
    <cfRule type="expression" dxfId="3442" priority="171">
      <formula>E49&gt;$AG49</formula>
    </cfRule>
  </conditionalFormatting>
  <conditionalFormatting sqref="AG66 AG83 E96:L102 S63:X65">
    <cfRule type="expression" dxfId="3441" priority="167">
      <formula>E$9&gt;=20/24</formula>
    </cfRule>
    <cfRule type="expression" dxfId="3440" priority="168">
      <formula>AND(E$9&gt;=14/24,E$9&lt;20/24)</formula>
    </cfRule>
    <cfRule type="expression" dxfId="3439" priority="169">
      <formula>AND(E$9&gt;=8/24,E$9&lt;14/24)</formula>
    </cfRule>
    <cfRule type="expression" dxfId="3438" priority="170">
      <formula>E$9&lt;8/24</formula>
    </cfRule>
  </conditionalFormatting>
  <conditionalFormatting sqref="AG44 AG62 AG66 S63:X65">
    <cfRule type="expression" dxfId="3437" priority="166">
      <formula>S44&gt;$AG44</formula>
    </cfRule>
  </conditionalFormatting>
  <conditionalFormatting sqref="AC54:AF54">
    <cfRule type="expression" dxfId="3436" priority="162">
      <formula>AC$9&gt;=20/24</formula>
    </cfRule>
    <cfRule type="expression" dxfId="3435" priority="163">
      <formula>AND(AC$9&gt;=14/24,AC$9&lt;20/24)</formula>
    </cfRule>
    <cfRule type="expression" dxfId="3434" priority="164">
      <formula>AND(AC$9&gt;=8/24,AC$9&lt;14/24)</formula>
    </cfRule>
    <cfRule type="expression" dxfId="3433" priority="165">
      <formula>AC$9&lt;8/24</formula>
    </cfRule>
  </conditionalFormatting>
  <conditionalFormatting sqref="AC54:AF54">
    <cfRule type="expression" dxfId="3432" priority="161">
      <formula>AC54&gt;$AG54</formula>
    </cfRule>
  </conditionalFormatting>
  <conditionalFormatting sqref="A40">
    <cfRule type="expression" dxfId="3431" priority="160">
      <formula>$AH40=0</formula>
    </cfRule>
  </conditionalFormatting>
  <conditionalFormatting sqref="X87:AF91">
    <cfRule type="expression" dxfId="3430" priority="156">
      <formula>X$9&gt;=20/24</formula>
    </cfRule>
    <cfRule type="expression" dxfId="3429" priority="157">
      <formula>AND(X$9&gt;=14/24,X$9&lt;20/24)</formula>
    </cfRule>
    <cfRule type="expression" dxfId="3428" priority="158">
      <formula>AND(X$9&gt;=8/24,X$9&lt;14/24)</formula>
    </cfRule>
    <cfRule type="expression" dxfId="3427" priority="159">
      <formula>X$9&lt;8/24</formula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E45:AF47">
    <cfRule type="expression" dxfId="3426" priority="152">
      <formula>E$9&gt;=20/24</formula>
    </cfRule>
    <cfRule type="expression" dxfId="3425" priority="153">
      <formula>AND(E$9&gt;=14/24,E$9&lt;20/24)</formula>
    </cfRule>
    <cfRule type="expression" dxfId="3424" priority="154">
      <formula>AND(E$9&gt;=8/24,E$9&lt;14/24)</formula>
    </cfRule>
    <cfRule type="expression" dxfId="3423" priority="155">
      <formula>E$9&lt;8/24</formula>
    </cfRule>
  </conditionalFormatting>
  <conditionalFormatting sqref="E45:AF47">
    <cfRule type="expression" dxfId="3422" priority="151">
      <formula>E45&gt;$AG45</formula>
    </cfRule>
  </conditionalFormatting>
  <conditionalFormatting sqref="AG48">
    <cfRule type="expression" dxfId="3421" priority="147">
      <formula>AG$9&gt;=20/24</formula>
    </cfRule>
    <cfRule type="expression" dxfId="3420" priority="148">
      <formula>AND(AG$9&gt;=14/24,AG$9&lt;20/24)</formula>
    </cfRule>
    <cfRule type="expression" dxfId="3419" priority="149">
      <formula>AND(AG$9&gt;=8/24,AG$9&lt;14/24)</formula>
    </cfRule>
    <cfRule type="expression" dxfId="3418" priority="150">
      <formula>AG$9&lt;8/24</formula>
    </cfRule>
  </conditionalFormatting>
  <conditionalFormatting sqref="AG48">
    <cfRule type="expression" dxfId="3417" priority="146">
      <formula>AG48&gt;$AG48</formula>
    </cfRule>
  </conditionalFormatting>
  <conditionalFormatting sqref="C103:AF103">
    <cfRule type="expression" dxfId="3416" priority="142">
      <formula>C$9&gt;=20/24</formula>
    </cfRule>
    <cfRule type="expression" dxfId="3415" priority="143">
      <formula>AND(C$9&gt;=14/24,C$9&lt;20/24)</formula>
    </cfRule>
    <cfRule type="expression" dxfId="3414" priority="144">
      <formula>AND(C$9&gt;=8/24,C$9&lt;14/24)</formula>
    </cfRule>
    <cfRule type="expression" dxfId="3413" priority="145">
      <formula>C$9&lt;8/24</formula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3412" priority="140">
      <formula>$AH37=0</formula>
    </cfRule>
  </conditionalFormatting>
  <conditionalFormatting sqref="A86">
    <cfRule type="expression" dxfId="3411" priority="138">
      <formula>$AH86=0</formula>
    </cfRule>
  </conditionalFormatting>
  <conditionalFormatting sqref="A83">
    <cfRule type="expression" dxfId="3410" priority="139">
      <formula>$AH83=0</formula>
    </cfRule>
  </conditionalFormatting>
  <conditionalFormatting sqref="A113">
    <cfRule type="expression" dxfId="3409" priority="129">
      <formula>$AH113=0</formula>
    </cfRule>
  </conditionalFormatting>
  <conditionalFormatting sqref="D106:AF106">
    <cfRule type="expression" dxfId="3408" priority="125">
      <formula>D$9&gt;=20/24</formula>
    </cfRule>
    <cfRule type="expression" dxfId="3407" priority="126">
      <formula>AND(D$9&gt;=14/24,D$9&lt;20/24)</formula>
    </cfRule>
    <cfRule type="expression" dxfId="3406" priority="127">
      <formula>AND(D$9&gt;=8/24,D$9&lt;14/24)</formula>
    </cfRule>
    <cfRule type="expression" dxfId="3405" priority="128">
      <formula>D$9&lt;8/24</formula>
    </cfRule>
  </conditionalFormatting>
  <conditionalFormatting sqref="A106">
    <cfRule type="expression" dxfId="3404" priority="124">
      <formula>$AH106=0</formula>
    </cfRule>
  </conditionalFormatting>
  <conditionalFormatting sqref="A19">
    <cfRule type="expression" dxfId="3403" priority="122">
      <formula>$AH19=0</formula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402" priority="120">
      <formula>$AH34=0</formula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3401" priority="116">
      <formula>Y$9&gt;=20/24</formula>
    </cfRule>
    <cfRule type="expression" dxfId="3400" priority="117">
      <formula>AND(Y$9&gt;=14/24,Y$9&lt;20/24)</formula>
    </cfRule>
    <cfRule type="expression" dxfId="3399" priority="118">
      <formula>AND(Y$9&gt;=8/24,Y$9&lt;14/24)</formula>
    </cfRule>
    <cfRule type="expression" dxfId="3398" priority="119">
      <formula>Y$9&lt;8/24</formula>
    </cfRule>
  </conditionalFormatting>
  <conditionalFormatting sqref="Y96:AC102">
    <cfRule type="expression" dxfId="3397" priority="112">
      <formula>Y$9&gt;=20/24</formula>
    </cfRule>
    <cfRule type="expression" dxfId="3396" priority="113">
      <formula>AND(Y$9&gt;=14/24,Y$9&lt;20/24)</formula>
    </cfRule>
    <cfRule type="expression" dxfId="3395" priority="114">
      <formula>AND(Y$9&gt;=8/24,Y$9&lt;14/24)</formula>
    </cfRule>
    <cfRule type="expression" dxfId="3394" priority="115">
      <formula>Y$9&lt;8/24</formula>
    </cfRule>
  </conditionalFormatting>
  <conditionalFormatting sqref="B105:C105 B107:C112 B15:AF40">
    <cfRule type="expression" dxfId="3393" priority="108">
      <formula>B$9&gt;=20/24</formula>
    </cfRule>
    <cfRule type="expression" dxfId="3392" priority="109">
      <formula>AND(B$9&gt;=14/24,B$9&lt;20/24)</formula>
    </cfRule>
    <cfRule type="expression" dxfId="3391" priority="110">
      <formula>AND(B$9&gt;=8/24,B$9&lt;14/24)</formula>
    </cfRule>
    <cfRule type="expression" dxfId="3390" priority="111">
      <formula>B$9&lt;8/24</formula>
    </cfRule>
  </conditionalFormatting>
  <conditionalFormatting sqref="B43:S43">
    <cfRule type="expression" dxfId="3389" priority="104">
      <formula>B$9&gt;=20/24</formula>
    </cfRule>
    <cfRule type="expression" dxfId="3388" priority="105">
      <formula>AND(B$9&gt;=14/24,B$9&lt;20/24)</formula>
    </cfRule>
    <cfRule type="expression" dxfId="3387" priority="106">
      <formula>AND(B$9&gt;=8/24,B$9&lt;14/24)</formula>
    </cfRule>
    <cfRule type="expression" dxfId="3386" priority="107">
      <formula>B$9&lt;8/24</formula>
    </cfRule>
  </conditionalFormatting>
  <conditionalFormatting sqref="B43:S43 B15:AF40">
    <cfRule type="expression" dxfId="3385" priority="103">
      <formula>B15&gt;$AG15</formula>
    </cfRule>
  </conditionalFormatting>
  <conditionalFormatting sqref="B95:D95">
    <cfRule type="expression" dxfId="3384" priority="99">
      <formula>B$9&gt;=20/24</formula>
    </cfRule>
    <cfRule type="expression" dxfId="3383" priority="100">
      <formula>AND(B$9&gt;=14/24,B$9&lt;20/24)</formula>
    </cfRule>
    <cfRule type="expression" dxfId="3382" priority="101">
      <formula>AND(B$9&gt;=8/24,B$9&lt;14/24)</formula>
    </cfRule>
    <cfRule type="expression" dxfId="3381" priority="102">
      <formula>B$9&lt;8/24</formula>
    </cfRule>
  </conditionalFormatting>
  <conditionalFormatting sqref="B67:D67 B50:D51">
    <cfRule type="expression" dxfId="3380" priority="95">
      <formula>B$9&gt;=20/24</formula>
    </cfRule>
    <cfRule type="expression" dxfId="3379" priority="96">
      <formula>AND(B$9&gt;=14/24,B$9&lt;20/24)</formula>
    </cfRule>
    <cfRule type="expression" dxfId="3378" priority="97">
      <formula>AND(B$9&gt;=8/24,B$9&lt;14/24)</formula>
    </cfRule>
    <cfRule type="expression" dxfId="3377" priority="98">
      <formula>B$9&lt;8/24</formula>
    </cfRule>
  </conditionalFormatting>
  <conditionalFormatting sqref="B49:D49">
    <cfRule type="expression" dxfId="3376" priority="91">
      <formula>B$9&gt;=20/24</formula>
    </cfRule>
    <cfRule type="expression" dxfId="3375" priority="92">
      <formula>AND(B$9&gt;=14/24,B$9&lt;20/24)</formula>
    </cfRule>
    <cfRule type="expression" dxfId="3374" priority="93">
      <formula>AND(B$9&gt;=8/24,B$9&lt;14/24)</formula>
    </cfRule>
    <cfRule type="expression" dxfId="3373" priority="94">
      <formula>B$9&lt;8/24</formula>
    </cfRule>
  </conditionalFormatting>
  <conditionalFormatting sqref="B49:D51">
    <cfRule type="expression" dxfId="3372" priority="90">
      <formula>B49&gt;$AG49</formula>
    </cfRule>
  </conditionalFormatting>
  <conditionalFormatting sqref="B82:C82 B96:D102 B92:W92 B79:AF81 B68:D72 B63:R65 E70:X72 Y71:AF72">
    <cfRule type="expression" dxfId="3371" priority="86">
      <formula>B$9&gt;=20/24</formula>
    </cfRule>
    <cfRule type="expression" dxfId="3370" priority="87">
      <formula>AND(B$9&gt;=14/24,B$9&lt;20/24)</formula>
    </cfRule>
    <cfRule type="expression" dxfId="3369" priority="88">
      <formula>AND(B$9&gt;=8/24,B$9&lt;14/24)</formula>
    </cfRule>
    <cfRule type="expression" dxfId="3368" priority="89">
      <formula>B$9&lt;8/24</formula>
    </cfRule>
  </conditionalFormatting>
  <conditionalFormatting sqref="B52:L53 B63:R65">
    <cfRule type="expression" dxfId="3367" priority="85">
      <formula>B52&gt;$AG52</formula>
    </cfRule>
  </conditionalFormatting>
  <conditionalFormatting sqref="B54:L54">
    <cfRule type="expression" dxfId="3366" priority="81">
      <formula>B$9&gt;=20/24</formula>
    </cfRule>
    <cfRule type="expression" dxfId="3365" priority="82">
      <formula>AND(B$9&gt;=14/24,B$9&lt;20/24)</formula>
    </cfRule>
    <cfRule type="expression" dxfId="3364" priority="83">
      <formula>AND(B$9&gt;=8/24,B$9&lt;14/24)</formula>
    </cfRule>
    <cfRule type="expression" dxfId="3363" priority="84">
      <formula>B$9&lt;8/24</formula>
    </cfRule>
  </conditionalFormatting>
  <conditionalFormatting sqref="B54:L54">
    <cfRule type="expression" dxfId="3362" priority="80">
      <formula>B54&gt;$AG54</formula>
    </cfRule>
  </conditionalFormatting>
  <conditionalFormatting sqref="B84 B93">
    <cfRule type="expression" dxfId="3361" priority="76">
      <formula>B$9&gt;=20/24</formula>
    </cfRule>
    <cfRule type="expression" dxfId="3360" priority="77">
      <formula>AND(B$9&gt;=14/24,B$9&lt;20/24)</formula>
    </cfRule>
    <cfRule type="expression" dxfId="3359" priority="78">
      <formula>AND(B$9&gt;=8/24,B$9&lt;14/24)</formula>
    </cfRule>
    <cfRule type="expression" dxfId="3358" priority="79">
      <formula>B$9&lt;8/24</formula>
    </cfRule>
  </conditionalFormatting>
  <conditionalFormatting sqref="B42:AF42">
    <cfRule type="expression" dxfId="3357" priority="72">
      <formula>B$9&gt;=20/24</formula>
    </cfRule>
    <cfRule type="expression" dxfId="3356" priority="73">
      <formula>AND(B$9&gt;=14/24,B$9&lt;20/24)</formula>
    </cfRule>
    <cfRule type="expression" dxfId="3355" priority="74">
      <formula>AND(B$9&gt;=8/24,B$9&lt;14/24)</formula>
    </cfRule>
    <cfRule type="expression" dxfId="3354" priority="75">
      <formula>B$9&lt;8/24</formula>
    </cfRule>
  </conditionalFormatting>
  <conditionalFormatting sqref="B42:AF42">
    <cfRule type="expression" dxfId="3353" priority="71">
      <formula>B42&gt;$AG42</formula>
    </cfRule>
  </conditionalFormatting>
  <conditionalFormatting sqref="B66:AF66 B83:AF83 B85:AF85 B94:AF94">
    <cfRule type="expression" dxfId="3352" priority="67">
      <formula>B$9&gt;=20/24</formula>
    </cfRule>
    <cfRule type="expression" dxfId="3351" priority="68">
      <formula>AND(B$9&gt;=14/24,B$9&lt;20/24)</formula>
    </cfRule>
    <cfRule type="expression" dxfId="3350" priority="69">
      <formula>AND(B$9&gt;=8/24,B$9&lt;14/24)</formula>
    </cfRule>
    <cfRule type="expression" dxfId="3349" priority="70">
      <formula>B$9&lt;8/24</formula>
    </cfRule>
  </conditionalFormatting>
  <conditionalFormatting sqref="B61:AF62 B66:AF66 B44:AF44">
    <cfRule type="expression" dxfId="3348" priority="66">
      <formula>B44&gt;$AG44</formula>
    </cfRule>
  </conditionalFormatting>
  <conditionalFormatting sqref="B78:AF78">
    <cfRule type="expression" dxfId="3347" priority="62">
      <formula>B$9&gt;=20/24</formula>
    </cfRule>
    <cfRule type="expression" dxfId="3346" priority="63">
      <formula>AND(B$9&gt;=14/24,B$9&lt;20/24)</formula>
    </cfRule>
    <cfRule type="expression" dxfId="3345" priority="64">
      <formula>AND(B$9&gt;=8/24,B$9&lt;14/24)</formula>
    </cfRule>
    <cfRule type="expression" dxfId="3344" priority="65">
      <formula>B$9&lt;8/24</formula>
    </cfRule>
  </conditionalFormatting>
  <conditionalFormatting sqref="B87:W91">
    <cfRule type="expression" dxfId="3343" priority="58">
      <formula>B$9&gt;=20/24</formula>
    </cfRule>
    <cfRule type="expression" dxfId="3342" priority="59">
      <formula>AND(B$9&gt;=14/24,B$9&lt;20/24)</formula>
    </cfRule>
    <cfRule type="expression" dxfId="3341" priority="60">
      <formula>AND(B$9&gt;=8/24,B$9&lt;14/24)</formula>
    </cfRule>
    <cfRule type="expression" dxfId="3340" priority="61">
      <formula>B$9&lt;8/24</formula>
    </cfRule>
  </conditionalFormatting>
  <conditionalFormatting sqref="B45:D47">
    <cfRule type="expression" dxfId="3339" priority="54">
      <formula>B$9&gt;=20/24</formula>
    </cfRule>
    <cfRule type="expression" dxfId="3338" priority="55">
      <formula>AND(B$9&gt;=14/24,B$9&lt;20/24)</formula>
    </cfRule>
    <cfRule type="expression" dxfId="3337" priority="56">
      <formula>AND(B$9&gt;=8/24,B$9&lt;14/24)</formula>
    </cfRule>
    <cfRule type="expression" dxfId="3336" priority="57">
      <formula>B$9&lt;8/24</formula>
    </cfRule>
  </conditionalFormatting>
  <conditionalFormatting sqref="B45:D47">
    <cfRule type="expression" dxfId="3335" priority="53">
      <formula>B45&gt;$AG45</formula>
    </cfRule>
  </conditionalFormatting>
  <conditionalFormatting sqref="B48:AF48">
    <cfRule type="expression" dxfId="3334" priority="49">
      <formula>B$9&gt;=20/24</formula>
    </cfRule>
    <cfRule type="expression" dxfId="3333" priority="50">
      <formula>AND(B$9&gt;=14/24,B$9&lt;20/24)</formula>
    </cfRule>
    <cfRule type="expression" dxfId="3332" priority="51">
      <formula>AND(B$9&gt;=8/24,B$9&lt;14/24)</formula>
    </cfRule>
    <cfRule type="expression" dxfId="3331" priority="52">
      <formula>B$9&lt;8/24</formula>
    </cfRule>
  </conditionalFormatting>
  <conditionalFormatting sqref="B48:AF48">
    <cfRule type="expression" dxfId="3330" priority="48">
      <formula>B48&gt;$AG48</formula>
    </cfRule>
  </conditionalFormatting>
  <conditionalFormatting sqref="B103">
    <cfRule type="expression" dxfId="3329" priority="44">
      <formula>B$9&gt;=20/24</formula>
    </cfRule>
    <cfRule type="expression" dxfId="3328" priority="45">
      <formula>AND(B$9&gt;=14/24,B$9&lt;20/24)</formula>
    </cfRule>
    <cfRule type="expression" dxfId="3327" priority="46">
      <formula>AND(B$9&gt;=8/24,B$9&lt;14/24)</formula>
    </cfRule>
    <cfRule type="expression" dxfId="3326" priority="47">
      <formula>B$9&lt;8/24</formula>
    </cfRule>
  </conditionalFormatting>
  <conditionalFormatting sqref="B106:C106">
    <cfRule type="expression" dxfId="3325" priority="32">
      <formula>B$9&gt;=20/24</formula>
    </cfRule>
    <cfRule type="expression" dxfId="3324" priority="33">
      <formula>AND(B$9&gt;=14/24,B$9&lt;20/24)</formula>
    </cfRule>
    <cfRule type="expression" dxfId="3323" priority="34">
      <formula>AND(B$9&gt;=8/24,B$9&lt;14/24)</formula>
    </cfRule>
    <cfRule type="expression" dxfId="3322" priority="35">
      <formula>B$9&lt;8/24</formula>
    </cfRule>
  </conditionalFormatting>
  <conditionalFormatting sqref="B55:L60 M57:AF60">
    <cfRule type="expression" dxfId="3321" priority="28">
      <formula>B$9&gt;=20/24</formula>
    </cfRule>
    <cfRule type="expression" dxfId="3320" priority="29">
      <formula>AND(B$9&gt;=14/24,B$9&lt;20/24)</formula>
    </cfRule>
    <cfRule type="expression" dxfId="3319" priority="30">
      <formula>AND(B$9&gt;=8/24,B$9&lt;14/24)</formula>
    </cfRule>
    <cfRule type="expression" dxfId="3318" priority="31">
      <formula>B$9&lt;8/24</formula>
    </cfRule>
  </conditionalFormatting>
  <conditionalFormatting sqref="B55:L60 M57:AF60">
    <cfRule type="expression" dxfId="3317" priority="27">
      <formula>B55&gt;$AG55</formula>
    </cfRule>
  </conditionalFormatting>
  <conditionalFormatting sqref="B41:AF41 B12:AF14">
    <cfRule type="expression" dxfId="3316" priority="26">
      <formula>B12&gt;$AG12</formula>
    </cfRule>
  </conditionalFormatting>
  <conditionalFormatting sqref="B11:AF11">
    <cfRule type="expression" dxfId="3315" priority="22">
      <formula>B$9&gt;=20/24</formula>
    </cfRule>
    <cfRule type="expression" dxfId="3314" priority="23">
      <formula>AND(B$9&gt;=14/24,B$9&lt;20/24)</formula>
    </cfRule>
    <cfRule type="expression" dxfId="3313" priority="24">
      <formula>AND(B$9&gt;=8/24,B$9&lt;14/24)</formula>
    </cfRule>
    <cfRule type="expression" dxfId="3312" priority="25">
      <formula>B$9&lt;8/24</formula>
    </cfRule>
  </conditionalFormatting>
  <conditionalFormatting sqref="B11:AF11">
    <cfRule type="expression" dxfId="3311" priority="21">
      <formula>B11&gt;$AG11</formula>
    </cfRule>
  </conditionalFormatting>
  <conditionalFormatting sqref="B12:AF14">
    <cfRule type="expression" dxfId="3310" priority="17">
      <formula>B$9&gt;=20/24</formula>
    </cfRule>
    <cfRule type="expression" dxfId="3309" priority="18">
      <formula>AND(B$9&gt;=14/24,B$9&lt;20/24)</formula>
    </cfRule>
    <cfRule type="expression" dxfId="3308" priority="19">
      <formula>AND(B$9&gt;=8/24,B$9&lt;14/24)</formula>
    </cfRule>
    <cfRule type="expression" dxfId="3307" priority="20">
      <formula>B$9&lt;8/24</formula>
    </cfRule>
  </conditionalFormatting>
  <conditionalFormatting sqref="B41:AF41">
    <cfRule type="expression" dxfId="3306" priority="13">
      <formula>B$9&gt;=20/24</formula>
    </cfRule>
    <cfRule type="expression" dxfId="3305" priority="14">
      <formula>AND(B$9&gt;=14/24,B$9&lt;20/24)</formula>
    </cfRule>
    <cfRule type="expression" dxfId="3304" priority="15">
      <formula>AND(B$9&gt;=8/24,B$9&lt;14/24)</formula>
    </cfRule>
    <cfRule type="expression" dxfId="3303" priority="16">
      <formula>B$9&lt;8/24</formula>
    </cfRule>
  </conditionalFormatting>
  <conditionalFormatting sqref="B73:AF77">
    <cfRule type="expression" dxfId="3302" priority="9">
      <formula>B$9&gt;=20/24</formula>
    </cfRule>
    <cfRule type="expression" dxfId="3301" priority="10">
      <formula>AND(B$9&gt;=14/24,B$9&lt;20/24)</formula>
    </cfRule>
    <cfRule type="expression" dxfId="3300" priority="11">
      <formula>AND(B$9&gt;=8/24,B$9&lt;14/24)</formula>
    </cfRule>
    <cfRule type="expression" dxfId="3299" priority="12">
      <formula>B$9&lt;8/24</formula>
    </cfRule>
  </conditionalFormatting>
  <conditionalFormatting sqref="AL74:AN74 AL80:AN80 AN75:AN76">
    <cfRule type="expression" dxfId="3298" priority="5">
      <formula>AL$9&gt;=20/24</formula>
    </cfRule>
    <cfRule type="expression" dxfId="3297" priority="6">
      <formula>AND(AL$9&gt;=14/24,AL$9&lt;20/24)</formula>
    </cfRule>
    <cfRule type="expression" dxfId="3296" priority="7">
      <formula>AND(AL$9&gt;=8/24,AL$9&lt;14/24)</formula>
    </cfRule>
    <cfRule type="expression" dxfId="3295" priority="8">
      <formula>AL$9&lt;8/24</formula>
    </cfRule>
  </conditionalFormatting>
  <conditionalFormatting sqref="AN77:AN78">
    <cfRule type="expression" dxfId="3294" priority="1">
      <formula>AN$9&gt;=20/24</formula>
    </cfRule>
    <cfRule type="expression" dxfId="3293" priority="2">
      <formula>AND(AN$9&gt;=14/24,AN$9&lt;20/24)</formula>
    </cfRule>
    <cfRule type="expression" dxfId="3292" priority="3">
      <formula>AND(AN$9&gt;=8/24,AN$9&lt;14/24)</formula>
    </cfRule>
    <cfRule type="expression" dxfId="3291" priority="4">
      <formula>AN$9&lt;8/24</formula>
    </cfRule>
  </conditionalFormatting>
  <conditionalFormatting sqref="AL75:AM79">
    <cfRule type="expression" dxfId="3290" priority="258">
      <formula>AJ$9&gt;=20/24</formula>
    </cfRule>
    <cfRule type="expression" dxfId="3289" priority="259">
      <formula>AND(AJ$9&gt;=14/24,AJ$9&lt;20/24)</formula>
    </cfRule>
    <cfRule type="expression" dxfId="3288" priority="260">
      <formula>AND(AJ$9&gt;=8/24,AJ$9&lt;14/24)</formula>
    </cfRule>
    <cfRule type="expression" dxfId="3287" priority="261">
      <formula>AJ$9&lt;8/24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4" id="{3984ED06-8482-4327-B810-83C631A4710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CBA195C5-91EE-4237-A2FD-35A198FAD2A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DE69F41D-D91C-425F-9CF2-B708994F227C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1DE98ACC-754B-4156-AF43-B966FDAF3ED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30" id="{59EA410D-2CEF-4E0E-B88D-D5CB413C959F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4664081D-7CB9-4358-A62C-A1414C868D8D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16DEA4AB-5CB3-417C-8B2C-01656CD4EF50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BD867F24-FA3C-4C2E-A6F6-253194E6BA5D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40" id="{9B291C74-251B-4FBF-9E65-0645537116B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B886A3D2-1C34-4896-8CF4-1ABC8576C3E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" id="{0B6E4DD9-3CC2-4235-BB86-48CD386CF18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" id="{9A712673-9325-4ACC-8694-3CA1A95D679F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6" id="{43001A14-DA56-401A-BB13-8DCEA4FD3EBF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A08FB59A-BB06-47E5-890D-050CC188E93F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08929839-160F-49CD-9E9D-9CB87E56BEF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9F0AFDFE-8980-4C2D-B063-D4680ED080CA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J274"/>
  <sheetViews>
    <sheetView workbookViewId="0">
      <pane ySplit="10" topLeftCell="A54" activePane="bottomLeft" state="frozen"/>
      <selection activeCell="U80" sqref="U80"/>
      <selection pane="bottomLeft" activeCell="K111" sqref="K111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/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str">
        <f ca="1">"2079/"&amp;"10/"&amp;INT(MID(CELL("filename",D6),FIND("]",CELL("filename",D6))+1,200))</f>
        <v>2079/10/24</v>
      </c>
      <c r="C4" s="771"/>
      <c r="D4" s="771"/>
      <c r="E4" s="772" t="str">
        <f ca="1">"2079/"&amp;"10/"&amp;INT(MID(CELL("filename",G6),FIND("]",CELL("filename",G6))+1,200))</f>
        <v>2079/10/24</v>
      </c>
      <c r="F4" s="772"/>
      <c r="G4" s="772"/>
      <c r="H4" s="772" t="str">
        <f ca="1">TEXT(E4,"dddd")</f>
        <v>Tuesday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480.6</v>
      </c>
      <c r="C5" s="30">
        <f t="shared" si="0"/>
        <v>494.20000000000005</v>
      </c>
      <c r="D5" s="30">
        <f t="shared" si="0"/>
        <v>499.3</v>
      </c>
      <c r="E5" s="30">
        <f t="shared" si="0"/>
        <v>528.6</v>
      </c>
      <c r="F5" s="30">
        <f t="shared" si="0"/>
        <v>511.59999999999997</v>
      </c>
      <c r="G5" s="30">
        <f t="shared" si="0"/>
        <v>516.29999999999995</v>
      </c>
      <c r="H5" s="30">
        <f t="shared" si="0"/>
        <v>510</v>
      </c>
      <c r="I5" s="30">
        <f t="shared" si="0"/>
        <v>498.29999999999995</v>
      </c>
      <c r="J5" s="30">
        <f t="shared" si="0"/>
        <v>415.9</v>
      </c>
      <c r="K5" s="30">
        <f t="shared" si="0"/>
        <v>433</v>
      </c>
      <c r="L5" s="30">
        <f t="shared" si="0"/>
        <v>496.40000000000003</v>
      </c>
      <c r="M5" s="30">
        <f t="shared" si="0"/>
        <v>477.2</v>
      </c>
      <c r="N5" s="30">
        <f t="shared" si="0"/>
        <v>450.4</v>
      </c>
      <c r="O5" s="30">
        <f t="shared" si="0"/>
        <v>465.1</v>
      </c>
      <c r="P5" s="30">
        <f t="shared" si="0"/>
        <v>444.6</v>
      </c>
      <c r="Q5" s="30">
        <f t="shared" si="0"/>
        <v>482.6</v>
      </c>
      <c r="R5" s="30">
        <f t="shared" si="0"/>
        <v>472.7</v>
      </c>
      <c r="S5" s="30">
        <f t="shared" si="0"/>
        <v>503.5</v>
      </c>
      <c r="T5" s="30">
        <f t="shared" si="0"/>
        <v>480</v>
      </c>
      <c r="U5" s="30">
        <f t="shared" si="0"/>
        <v>485.9</v>
      </c>
      <c r="V5" s="30">
        <f t="shared" si="0"/>
        <v>518.5</v>
      </c>
      <c r="W5" s="30">
        <f t="shared" si="0"/>
        <v>486.3</v>
      </c>
      <c r="X5" s="30">
        <f t="shared" si="0"/>
        <v>459.2</v>
      </c>
      <c r="Y5" s="30">
        <f t="shared" si="0"/>
        <v>433.2</v>
      </c>
      <c r="Z5" s="30">
        <f t="shared" si="0"/>
        <v>438.5</v>
      </c>
      <c r="AA5" s="30">
        <f t="shared" si="0"/>
        <v>443.8</v>
      </c>
      <c r="AB5" s="30">
        <f t="shared" si="0"/>
        <v>448.3</v>
      </c>
      <c r="AC5" s="30">
        <f t="shared" si="0"/>
        <v>410.3</v>
      </c>
      <c r="AD5" s="30">
        <f t="shared" si="0"/>
        <v>461</v>
      </c>
      <c r="AE5" s="30">
        <f t="shared" si="0"/>
        <v>461.3</v>
      </c>
      <c r="AF5" s="30">
        <f>B78</f>
        <v>492.70000000000005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1564MW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Load=998</v>
      </c>
      <c r="B7" s="35">
        <f t="shared" ref="B7:AF7" si="1">B85</f>
        <v>1017.94</v>
      </c>
      <c r="C7" s="35">
        <f t="shared" si="1"/>
        <v>1008.34</v>
      </c>
      <c r="D7" s="35">
        <f t="shared" si="1"/>
        <v>1007.1400000000001</v>
      </c>
      <c r="E7" s="35">
        <f t="shared" si="1"/>
        <v>998.24</v>
      </c>
      <c r="F7" s="35">
        <f t="shared" si="1"/>
        <v>1026.24</v>
      </c>
      <c r="G7" s="35">
        <f t="shared" si="1"/>
        <v>1063.1400000000001</v>
      </c>
      <c r="H7" s="35">
        <f t="shared" si="1"/>
        <v>1184.04</v>
      </c>
      <c r="I7" s="35">
        <f t="shared" si="1"/>
        <v>1170.24</v>
      </c>
      <c r="J7" s="35">
        <f t="shared" si="1"/>
        <v>1228.54</v>
      </c>
      <c r="K7" s="35">
        <f t="shared" si="1"/>
        <v>1448.74</v>
      </c>
      <c r="L7" s="35">
        <f t="shared" si="1"/>
        <v>1542.1399999999999</v>
      </c>
      <c r="M7" s="35">
        <f t="shared" si="1"/>
        <v>1563.94</v>
      </c>
      <c r="N7" s="35">
        <f>N85</f>
        <v>1468.54</v>
      </c>
      <c r="O7" s="35">
        <f t="shared" si="1"/>
        <v>1388.6399999999999</v>
      </c>
      <c r="P7" s="35">
        <f t="shared" si="1"/>
        <v>1278.3400000000001</v>
      </c>
      <c r="Q7" s="35">
        <f t="shared" si="1"/>
        <v>1315.1399999999999</v>
      </c>
      <c r="R7" s="35">
        <f t="shared" si="1"/>
        <v>1315.6399999999999</v>
      </c>
      <c r="S7" s="35">
        <f t="shared" si="1"/>
        <v>1282.94</v>
      </c>
      <c r="T7" s="35">
        <f t="shared" si="1"/>
        <v>1347.1399999999999</v>
      </c>
      <c r="U7" s="35">
        <f t="shared" si="1"/>
        <v>1331.8400000000001</v>
      </c>
      <c r="V7" s="35">
        <f t="shared" si="1"/>
        <v>1219.2399999999998</v>
      </c>
      <c r="W7" s="35">
        <f t="shared" si="1"/>
        <v>1205.94</v>
      </c>
      <c r="X7" s="35">
        <f t="shared" si="1"/>
        <v>1490.74</v>
      </c>
      <c r="Y7" s="35">
        <f t="shared" si="1"/>
        <v>1619.5400000000002</v>
      </c>
      <c r="Z7" s="35">
        <f t="shared" si="1"/>
        <v>1575.3400000000001</v>
      </c>
      <c r="AA7" s="35">
        <f t="shared" si="1"/>
        <v>1513.3400000000001</v>
      </c>
      <c r="AB7" s="35">
        <f t="shared" si="1"/>
        <v>1398.94</v>
      </c>
      <c r="AC7" s="35">
        <f t="shared" si="1"/>
        <v>1370.84</v>
      </c>
      <c r="AD7" s="35">
        <f t="shared" si="1"/>
        <v>1259.6399999999999</v>
      </c>
      <c r="AE7" s="35">
        <f t="shared" si="1"/>
        <v>1160.6399999999999</v>
      </c>
      <c r="AF7" s="35">
        <f t="shared" si="1"/>
        <v>1028.54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15.6</v>
      </c>
      <c r="C11" s="45">
        <v>15.6</v>
      </c>
      <c r="D11" s="45">
        <v>15.6</v>
      </c>
      <c r="E11" s="45">
        <v>18.100000000000001</v>
      </c>
      <c r="F11" s="45">
        <v>16.7</v>
      </c>
      <c r="G11" s="45">
        <v>16.899999999999999</v>
      </c>
      <c r="H11" s="45">
        <v>19</v>
      </c>
      <c r="I11" s="45">
        <v>19.5</v>
      </c>
      <c r="J11" s="45">
        <v>19.600000000000001</v>
      </c>
      <c r="K11" s="45">
        <v>17.100000000000001</v>
      </c>
      <c r="L11" s="45">
        <v>17.2</v>
      </c>
      <c r="M11" s="45">
        <v>17.2</v>
      </c>
      <c r="N11" s="45">
        <v>16.399999999999999</v>
      </c>
      <c r="O11" s="45">
        <v>16.399999999999999</v>
      </c>
      <c r="P11" s="45">
        <v>16.399999999999999</v>
      </c>
      <c r="Q11" s="45">
        <v>16.399999999999999</v>
      </c>
      <c r="R11" s="45">
        <v>16.399999999999999</v>
      </c>
      <c r="S11" s="45">
        <v>16</v>
      </c>
      <c r="T11" s="45">
        <v>15.5</v>
      </c>
      <c r="U11" s="45">
        <v>15.1</v>
      </c>
      <c r="V11" s="45">
        <v>14.3</v>
      </c>
      <c r="W11" s="45">
        <v>14.7</v>
      </c>
      <c r="X11" s="45">
        <v>14.7</v>
      </c>
      <c r="Y11" s="668">
        <v>16.7</v>
      </c>
      <c r="Z11" s="45">
        <v>16.600000000000001</v>
      </c>
      <c r="AA11" s="45">
        <v>16.5</v>
      </c>
      <c r="AB11" s="45">
        <v>16.5</v>
      </c>
      <c r="AC11" s="45">
        <v>16.8</v>
      </c>
      <c r="AD11" s="45">
        <v>16.8</v>
      </c>
      <c r="AE11" s="45">
        <v>16.8</v>
      </c>
      <c r="AF11" s="45">
        <v>16.8</v>
      </c>
      <c r="AG11" s="46">
        <v>52.4</v>
      </c>
      <c r="AH11" s="47">
        <f t="shared" ref="AH11:AH74" si="2">MAX(B11:AF11)</f>
        <v>19.600000000000001</v>
      </c>
      <c r="AI11" s="48">
        <f t="shared" ref="AI11:AI74" si="3">MIN(B11:AF11)</f>
        <v>14.3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32.700000000000003</v>
      </c>
      <c r="C12" s="45">
        <v>32.700000000000003</v>
      </c>
      <c r="D12" s="45">
        <v>32.700000000000003</v>
      </c>
      <c r="E12" s="45">
        <v>33.200000000000003</v>
      </c>
      <c r="F12" s="45">
        <v>33</v>
      </c>
      <c r="G12" s="45">
        <v>33</v>
      </c>
      <c r="H12" s="45">
        <v>33</v>
      </c>
      <c r="I12" s="45">
        <v>33</v>
      </c>
      <c r="J12" s="45">
        <v>33</v>
      </c>
      <c r="K12" s="45">
        <v>33.200000000000003</v>
      </c>
      <c r="L12" s="45">
        <v>32.4</v>
      </c>
      <c r="M12" s="45">
        <v>32.4</v>
      </c>
      <c r="N12" s="45">
        <v>33</v>
      </c>
      <c r="O12" s="45">
        <v>33</v>
      </c>
      <c r="P12" s="45">
        <v>33</v>
      </c>
      <c r="Q12" s="45">
        <v>33</v>
      </c>
      <c r="R12" s="45">
        <v>33</v>
      </c>
      <c r="S12" s="45">
        <v>32.9</v>
      </c>
      <c r="T12" s="45">
        <v>32.799999999999997</v>
      </c>
      <c r="U12" s="45">
        <v>33</v>
      </c>
      <c r="V12" s="45">
        <v>32.200000000000003</v>
      </c>
      <c r="W12" s="45">
        <v>32.1</v>
      </c>
      <c r="X12" s="45">
        <v>32.6</v>
      </c>
      <c r="Y12" s="667">
        <v>33</v>
      </c>
      <c r="Z12" s="45">
        <v>32.799999999999997</v>
      </c>
      <c r="AA12" s="45">
        <v>32.9</v>
      </c>
      <c r="AB12" s="45">
        <v>32.9</v>
      </c>
      <c r="AC12" s="45">
        <v>32.9</v>
      </c>
      <c r="AD12" s="45">
        <v>32.9</v>
      </c>
      <c r="AE12" s="45">
        <v>32.9</v>
      </c>
      <c r="AF12" s="45">
        <v>32.9</v>
      </c>
      <c r="AG12" s="50">
        <v>50</v>
      </c>
      <c r="AH12" s="47">
        <f t="shared" si="2"/>
        <v>33.200000000000003</v>
      </c>
      <c r="AI12" s="48">
        <f t="shared" si="3"/>
        <v>32.1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19.2</v>
      </c>
      <c r="C13" s="45">
        <v>19.2</v>
      </c>
      <c r="D13" s="45">
        <v>19.2</v>
      </c>
      <c r="E13" s="45">
        <v>19</v>
      </c>
      <c r="F13" s="45">
        <v>19</v>
      </c>
      <c r="G13" s="45">
        <v>16.5</v>
      </c>
      <c r="H13" s="45">
        <v>16.5</v>
      </c>
      <c r="I13" s="45">
        <v>18.8</v>
      </c>
      <c r="J13" s="45">
        <v>18.7</v>
      </c>
      <c r="K13" s="45">
        <v>16.399999999999999</v>
      </c>
      <c r="L13" s="45">
        <v>16</v>
      </c>
      <c r="M13" s="45">
        <v>16</v>
      </c>
      <c r="N13" s="45">
        <v>19.2</v>
      </c>
      <c r="O13" s="45">
        <v>19.2</v>
      </c>
      <c r="P13" s="45">
        <v>19.2</v>
      </c>
      <c r="Q13" s="45">
        <v>19.2</v>
      </c>
      <c r="R13" s="45">
        <v>19.2</v>
      </c>
      <c r="S13" s="45">
        <v>19.2</v>
      </c>
      <c r="T13" s="45">
        <v>16.2</v>
      </c>
      <c r="U13" s="45">
        <v>19.100000000000001</v>
      </c>
      <c r="V13" s="45">
        <v>15.5</v>
      </c>
      <c r="W13" s="45">
        <v>19.100000000000001</v>
      </c>
      <c r="X13" s="45">
        <v>19</v>
      </c>
      <c r="Y13" s="667">
        <v>19.100000000000001</v>
      </c>
      <c r="Z13" s="45">
        <v>19.100000000000001</v>
      </c>
      <c r="AA13" s="45">
        <v>19.100000000000001</v>
      </c>
      <c r="AB13" s="45">
        <v>19.100000000000001</v>
      </c>
      <c r="AC13" s="45">
        <v>19.399999999999999</v>
      </c>
      <c r="AD13" s="45">
        <v>19.399999999999999</v>
      </c>
      <c r="AE13" s="45">
        <v>19.399999999999999</v>
      </c>
      <c r="AF13" s="45">
        <v>19.399999999999999</v>
      </c>
      <c r="AG13" s="50">
        <v>45</v>
      </c>
      <c r="AH13" s="47">
        <f t="shared" si="2"/>
        <v>19.399999999999999</v>
      </c>
      <c r="AI13" s="48">
        <f t="shared" si="3"/>
        <v>15.5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0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666">
        <v>0</v>
      </c>
      <c r="Z14" s="666">
        <v>0</v>
      </c>
      <c r="AA14" s="666">
        <v>0</v>
      </c>
      <c r="AB14" s="666">
        <v>0</v>
      </c>
      <c r="AC14" s="45">
        <v>0</v>
      </c>
      <c r="AD14" s="45">
        <v>0</v>
      </c>
      <c r="AE14" s="45">
        <v>0</v>
      </c>
      <c r="AF14" s="45">
        <v>0</v>
      </c>
      <c r="AG14" s="50">
        <v>42</v>
      </c>
      <c r="AH14" s="47">
        <f t="shared" si="2"/>
        <v>0</v>
      </c>
      <c r="AI14" s="48">
        <f t="shared" si="3"/>
        <v>0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13</v>
      </c>
      <c r="C15" s="45">
        <v>13</v>
      </c>
      <c r="D15" s="45">
        <v>13</v>
      </c>
      <c r="E15" s="45">
        <v>13</v>
      </c>
      <c r="F15" s="45">
        <v>13</v>
      </c>
      <c r="G15" s="45">
        <v>13</v>
      </c>
      <c r="H15" s="45">
        <v>13</v>
      </c>
      <c r="I15" s="45">
        <v>13</v>
      </c>
      <c r="J15" s="45">
        <v>13</v>
      </c>
      <c r="K15" s="45">
        <v>13</v>
      </c>
      <c r="L15" s="45">
        <v>13</v>
      </c>
      <c r="M15" s="45">
        <v>13</v>
      </c>
      <c r="N15" s="45">
        <v>13</v>
      </c>
      <c r="O15" s="45">
        <v>13</v>
      </c>
      <c r="P15" s="45">
        <v>13</v>
      </c>
      <c r="Q15" s="45">
        <v>13</v>
      </c>
      <c r="R15" s="45">
        <v>13</v>
      </c>
      <c r="S15" s="45">
        <v>13</v>
      </c>
      <c r="T15" s="45">
        <v>13</v>
      </c>
      <c r="U15" s="45">
        <v>13</v>
      </c>
      <c r="V15" s="45">
        <v>13</v>
      </c>
      <c r="W15" s="45">
        <v>13</v>
      </c>
      <c r="X15" s="45">
        <v>13</v>
      </c>
      <c r="Y15" s="666">
        <v>13</v>
      </c>
      <c r="Z15" s="666">
        <v>13</v>
      </c>
      <c r="AA15" s="666">
        <v>13</v>
      </c>
      <c r="AB15" s="666">
        <v>13</v>
      </c>
      <c r="AC15" s="45">
        <v>13</v>
      </c>
      <c r="AD15" s="45">
        <v>13</v>
      </c>
      <c r="AE15" s="45">
        <v>13</v>
      </c>
      <c r="AF15" s="45">
        <v>13</v>
      </c>
      <c r="AG15" s="50">
        <v>36</v>
      </c>
      <c r="AH15" s="47">
        <f t="shared" si="2"/>
        <v>13</v>
      </c>
      <c r="AI15" s="48">
        <f t="shared" si="3"/>
        <v>13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8.4</v>
      </c>
      <c r="C16" s="45">
        <v>8.4</v>
      </c>
      <c r="D16" s="45">
        <v>8.4</v>
      </c>
      <c r="E16" s="45">
        <v>8.6</v>
      </c>
      <c r="F16" s="45">
        <v>8.6</v>
      </c>
      <c r="G16" s="45">
        <v>8.6</v>
      </c>
      <c r="H16" s="45">
        <v>8.6</v>
      </c>
      <c r="I16" s="45">
        <v>8.6</v>
      </c>
      <c r="J16" s="45">
        <v>8.6</v>
      </c>
      <c r="K16" s="45">
        <v>8.6</v>
      </c>
      <c r="L16" s="45">
        <v>8.6</v>
      </c>
      <c r="M16" s="45">
        <v>8.6</v>
      </c>
      <c r="N16" s="45">
        <v>8.1</v>
      </c>
      <c r="O16" s="45">
        <v>8.1</v>
      </c>
      <c r="P16" s="45">
        <v>8.1</v>
      </c>
      <c r="Q16" s="45">
        <v>8.1</v>
      </c>
      <c r="R16" s="45">
        <v>8.1</v>
      </c>
      <c r="S16" s="45">
        <v>8.1</v>
      </c>
      <c r="T16" s="45">
        <v>8.1</v>
      </c>
      <c r="U16" s="45">
        <v>8.1</v>
      </c>
      <c r="V16" s="45">
        <v>8.1</v>
      </c>
      <c r="W16" s="45">
        <v>8.1</v>
      </c>
      <c r="X16" s="45">
        <v>8.1</v>
      </c>
      <c r="Y16" s="667">
        <v>8.6999999999999993</v>
      </c>
      <c r="Z16" s="667">
        <v>8.6999999999999993</v>
      </c>
      <c r="AA16" s="667">
        <v>8.6999999999999993</v>
      </c>
      <c r="AB16" s="667">
        <v>8.6999999999999993</v>
      </c>
      <c r="AC16" s="45">
        <v>8.6999999999999993</v>
      </c>
      <c r="AD16" s="45">
        <v>8.6999999999999993</v>
      </c>
      <c r="AE16" s="45">
        <v>8.6999999999999993</v>
      </c>
      <c r="AF16" s="45">
        <v>8.6999999999999993</v>
      </c>
      <c r="AG16" s="51">
        <v>30</v>
      </c>
      <c r="AH16" s="47">
        <f t="shared" si="2"/>
        <v>8.6999999999999993</v>
      </c>
      <c r="AI16" s="48">
        <f t="shared" si="3"/>
        <v>8.1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7.9</v>
      </c>
      <c r="C17" s="45">
        <v>7.9</v>
      </c>
      <c r="D17" s="45">
        <v>7.9</v>
      </c>
      <c r="E17" s="45">
        <v>8.1</v>
      </c>
      <c r="F17" s="45">
        <v>8.1</v>
      </c>
      <c r="G17" s="45">
        <v>8.1</v>
      </c>
      <c r="H17" s="45">
        <v>8.1</v>
      </c>
      <c r="I17" s="45">
        <v>8.1</v>
      </c>
      <c r="J17" s="45">
        <v>8.1</v>
      </c>
      <c r="K17" s="45">
        <v>8.1</v>
      </c>
      <c r="L17" s="45">
        <v>8.1</v>
      </c>
      <c r="M17" s="45">
        <v>8.1</v>
      </c>
      <c r="N17" s="45">
        <v>6.9</v>
      </c>
      <c r="O17" s="45">
        <v>6.9</v>
      </c>
      <c r="P17" s="45">
        <v>6.9</v>
      </c>
      <c r="Q17" s="45">
        <v>6.9</v>
      </c>
      <c r="R17" s="45">
        <v>6.9</v>
      </c>
      <c r="S17" s="45">
        <v>6.9</v>
      </c>
      <c r="T17" s="45">
        <v>6.9</v>
      </c>
      <c r="U17" s="45">
        <v>6.9</v>
      </c>
      <c r="V17" s="45">
        <v>6.9</v>
      </c>
      <c r="W17" s="45">
        <v>6.9</v>
      </c>
      <c r="X17" s="45">
        <v>6.9</v>
      </c>
      <c r="Y17" s="666">
        <v>7.5</v>
      </c>
      <c r="Z17" s="666">
        <v>7.5</v>
      </c>
      <c r="AA17" s="666">
        <v>7.5</v>
      </c>
      <c r="AB17" s="666">
        <v>7.5</v>
      </c>
      <c r="AC17" s="666">
        <v>7.5</v>
      </c>
      <c r="AD17" s="666">
        <v>7.5</v>
      </c>
      <c r="AE17" s="666">
        <v>7.5</v>
      </c>
      <c r="AF17" s="666">
        <v>7.5</v>
      </c>
      <c r="AG17" s="50">
        <v>24.2</v>
      </c>
      <c r="AH17" s="47">
        <f t="shared" si="2"/>
        <v>8.1</v>
      </c>
      <c r="AI17" s="48">
        <f t="shared" si="3"/>
        <v>6.9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666">
        <v>8</v>
      </c>
      <c r="Z18" s="666">
        <v>8</v>
      </c>
      <c r="AA18" s="666">
        <v>8</v>
      </c>
      <c r="AB18" s="666">
        <v>8</v>
      </c>
      <c r="AC18" s="666">
        <v>8</v>
      </c>
      <c r="AD18" s="666">
        <v>8</v>
      </c>
      <c r="AE18" s="666">
        <v>8</v>
      </c>
      <c r="AF18" s="666">
        <v>8</v>
      </c>
      <c r="AG18" s="50">
        <v>28</v>
      </c>
      <c r="AH18" s="47">
        <f t="shared" si="2"/>
        <v>8</v>
      </c>
      <c r="AI18" s="48">
        <f t="shared" si="3"/>
        <v>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666">
        <v>13</v>
      </c>
      <c r="Z19" s="666">
        <v>13</v>
      </c>
      <c r="AA19" s="666">
        <v>13</v>
      </c>
      <c r="AB19" s="666">
        <v>13</v>
      </c>
      <c r="AC19" s="666">
        <v>13</v>
      </c>
      <c r="AD19" s="666">
        <v>13</v>
      </c>
      <c r="AE19" s="666">
        <v>13</v>
      </c>
      <c r="AF19" s="666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9.4</v>
      </c>
      <c r="C20" s="45">
        <v>9.4</v>
      </c>
      <c r="D20" s="45">
        <v>9.4</v>
      </c>
      <c r="E20" s="45">
        <v>9.4</v>
      </c>
      <c r="F20" s="45">
        <v>9.4</v>
      </c>
      <c r="G20" s="45">
        <v>9.4</v>
      </c>
      <c r="H20" s="45">
        <v>9.4</v>
      </c>
      <c r="I20" s="45">
        <v>9.4</v>
      </c>
      <c r="J20" s="45">
        <v>9.4</v>
      </c>
      <c r="K20" s="45">
        <v>9.4</v>
      </c>
      <c r="L20" s="45">
        <v>9.4</v>
      </c>
      <c r="M20" s="45">
        <v>9.4</v>
      </c>
      <c r="N20" s="45">
        <v>9.4</v>
      </c>
      <c r="O20" s="45">
        <v>9.4</v>
      </c>
      <c r="P20" s="45">
        <v>9.4</v>
      </c>
      <c r="Q20" s="45">
        <v>9.4</v>
      </c>
      <c r="R20" s="45">
        <v>9.4</v>
      </c>
      <c r="S20" s="45">
        <v>9.4</v>
      </c>
      <c r="T20" s="45">
        <v>9.4</v>
      </c>
      <c r="U20" s="45">
        <v>9.4</v>
      </c>
      <c r="V20" s="45">
        <v>9.4</v>
      </c>
      <c r="W20" s="45">
        <v>9.4</v>
      </c>
      <c r="X20" s="45">
        <v>9.4</v>
      </c>
      <c r="Y20" s="666">
        <v>9.4</v>
      </c>
      <c r="Z20" s="666">
        <v>9.4</v>
      </c>
      <c r="AA20" s="666">
        <v>9.4</v>
      </c>
      <c r="AB20" s="666">
        <v>9.4</v>
      </c>
      <c r="AC20" s="666">
        <v>9.4</v>
      </c>
      <c r="AD20" s="666">
        <v>9.4</v>
      </c>
      <c r="AE20" s="666">
        <v>9.4</v>
      </c>
      <c r="AF20" s="666">
        <v>9.4</v>
      </c>
      <c r="AG20" s="50">
        <v>25</v>
      </c>
      <c r="AH20" s="47">
        <f t="shared" si="2"/>
        <v>9.4</v>
      </c>
      <c r="AI20" s="48">
        <f t="shared" si="3"/>
        <v>9.4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666">
        <v>10</v>
      </c>
      <c r="Z21" s="666">
        <v>10</v>
      </c>
      <c r="AA21" s="666">
        <v>10</v>
      </c>
      <c r="AB21" s="666">
        <v>10</v>
      </c>
      <c r="AC21" s="666">
        <v>10</v>
      </c>
      <c r="AD21" s="666">
        <v>10</v>
      </c>
      <c r="AE21" s="666">
        <v>10</v>
      </c>
      <c r="AF21" s="666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666">
        <v>11</v>
      </c>
      <c r="Z22" s="666">
        <v>11</v>
      </c>
      <c r="AA22" s="666">
        <v>11</v>
      </c>
      <c r="AB22" s="666">
        <v>11</v>
      </c>
      <c r="AC22" s="666">
        <v>11</v>
      </c>
      <c r="AD22" s="666">
        <v>11</v>
      </c>
      <c r="AE22" s="666">
        <v>11</v>
      </c>
      <c r="AF22" s="666">
        <v>11</v>
      </c>
      <c r="AG22" s="50">
        <v>25</v>
      </c>
      <c r="AH22" s="47">
        <f t="shared" si="2"/>
        <v>11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666">
        <v>13</v>
      </c>
      <c r="Z23" s="666">
        <v>13</v>
      </c>
      <c r="AA23" s="666">
        <v>13</v>
      </c>
      <c r="AB23" s="666">
        <v>13</v>
      </c>
      <c r="AC23" s="666">
        <v>13</v>
      </c>
      <c r="AD23" s="666">
        <v>13</v>
      </c>
      <c r="AE23" s="666">
        <v>13</v>
      </c>
      <c r="AF23" s="666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7.9</v>
      </c>
      <c r="C24" s="45">
        <v>7.9</v>
      </c>
      <c r="D24" s="45">
        <v>7.9</v>
      </c>
      <c r="E24" s="45">
        <v>7.9</v>
      </c>
      <c r="F24" s="45">
        <v>7.9</v>
      </c>
      <c r="G24" s="45">
        <v>7.9</v>
      </c>
      <c r="H24" s="45">
        <v>7.9</v>
      </c>
      <c r="I24" s="45">
        <v>7.9</v>
      </c>
      <c r="J24" s="45">
        <v>7.9</v>
      </c>
      <c r="K24" s="45">
        <v>7.9</v>
      </c>
      <c r="L24" s="45">
        <v>7.9</v>
      </c>
      <c r="M24" s="45">
        <v>7.9</v>
      </c>
      <c r="N24" s="45">
        <v>7.2</v>
      </c>
      <c r="O24" s="45">
        <v>7.2</v>
      </c>
      <c r="P24" s="45">
        <v>7.2</v>
      </c>
      <c r="Q24" s="45">
        <v>7.2</v>
      </c>
      <c r="R24" s="45">
        <v>7.2</v>
      </c>
      <c r="S24" s="45">
        <v>7.2</v>
      </c>
      <c r="T24" s="45">
        <v>7.2</v>
      </c>
      <c r="U24" s="45">
        <v>7.2</v>
      </c>
      <c r="V24" s="45">
        <v>7.2</v>
      </c>
      <c r="W24" s="45">
        <v>7.2</v>
      </c>
      <c r="X24" s="45">
        <v>7.2</v>
      </c>
      <c r="Y24" s="666">
        <v>7.2</v>
      </c>
      <c r="Z24" s="666">
        <v>7.2</v>
      </c>
      <c r="AA24" s="666">
        <v>7.2</v>
      </c>
      <c r="AB24" s="666">
        <v>7.2</v>
      </c>
      <c r="AC24" s="666">
        <v>7.2</v>
      </c>
      <c r="AD24" s="666">
        <v>7.2</v>
      </c>
      <c r="AE24" s="666">
        <v>7.2</v>
      </c>
      <c r="AF24" s="666">
        <v>7.2</v>
      </c>
      <c r="AG24" s="50">
        <v>23.5</v>
      </c>
      <c r="AH24" s="47">
        <f t="shared" si="2"/>
        <v>7.9</v>
      </c>
      <c r="AI24" s="48">
        <f t="shared" si="3"/>
        <v>7.2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666">
        <v>7</v>
      </c>
      <c r="Z25" s="666">
        <v>7</v>
      </c>
      <c r="AA25" s="666">
        <v>7</v>
      </c>
      <c r="AB25" s="666">
        <v>7</v>
      </c>
      <c r="AC25" s="666">
        <v>7</v>
      </c>
      <c r="AD25" s="666">
        <v>7</v>
      </c>
      <c r="AE25" s="666">
        <v>7</v>
      </c>
      <c r="AF25" s="666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666">
        <v>7</v>
      </c>
      <c r="Z26" s="666">
        <v>7</v>
      </c>
      <c r="AA26" s="666">
        <v>7</v>
      </c>
      <c r="AB26" s="666">
        <v>7</v>
      </c>
      <c r="AC26" s="666">
        <v>7</v>
      </c>
      <c r="AD26" s="666">
        <v>7</v>
      </c>
      <c r="AE26" s="666">
        <v>7</v>
      </c>
      <c r="AF26" s="666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666">
        <v>8</v>
      </c>
      <c r="Z27" s="666">
        <v>8</v>
      </c>
      <c r="AA27" s="666">
        <v>8</v>
      </c>
      <c r="AB27" s="666">
        <v>8</v>
      </c>
      <c r="AC27" s="666">
        <v>8</v>
      </c>
      <c r="AD27" s="666">
        <v>8</v>
      </c>
      <c r="AE27" s="666">
        <v>8</v>
      </c>
      <c r="AF27" s="666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8</v>
      </c>
      <c r="C28" s="45">
        <v>8</v>
      </c>
      <c r="D28" s="45">
        <v>8</v>
      </c>
      <c r="E28" s="45">
        <v>8</v>
      </c>
      <c r="F28" s="45">
        <v>8</v>
      </c>
      <c r="G28" s="45">
        <v>8</v>
      </c>
      <c r="H28" s="45">
        <v>8</v>
      </c>
      <c r="I28" s="45">
        <v>8</v>
      </c>
      <c r="J28" s="45">
        <v>8</v>
      </c>
      <c r="K28" s="45">
        <v>8</v>
      </c>
      <c r="L28" s="45">
        <v>8</v>
      </c>
      <c r="M28" s="45">
        <v>8</v>
      </c>
      <c r="N28" s="45">
        <v>8</v>
      </c>
      <c r="O28" s="45">
        <v>8</v>
      </c>
      <c r="P28" s="45">
        <v>8</v>
      </c>
      <c r="Q28" s="45">
        <v>8</v>
      </c>
      <c r="R28" s="45">
        <v>8</v>
      </c>
      <c r="S28" s="45">
        <v>8</v>
      </c>
      <c r="T28" s="45">
        <v>8</v>
      </c>
      <c r="U28" s="45">
        <v>8</v>
      </c>
      <c r="V28" s="45">
        <v>8</v>
      </c>
      <c r="W28" s="45">
        <v>8</v>
      </c>
      <c r="X28" s="45">
        <v>8</v>
      </c>
      <c r="Y28" s="666">
        <v>8</v>
      </c>
      <c r="Z28" s="666">
        <v>8</v>
      </c>
      <c r="AA28" s="666">
        <v>8</v>
      </c>
      <c r="AB28" s="666">
        <v>8</v>
      </c>
      <c r="AC28" s="666">
        <v>8</v>
      </c>
      <c r="AD28" s="666">
        <v>8</v>
      </c>
      <c r="AE28" s="666">
        <v>8</v>
      </c>
      <c r="AF28" s="666">
        <v>8</v>
      </c>
      <c r="AG28" s="50">
        <v>22</v>
      </c>
      <c r="AH28" s="47">
        <f t="shared" si="2"/>
        <v>8</v>
      </c>
      <c r="AI28" s="48">
        <f t="shared" si="3"/>
        <v>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666">
        <v>7</v>
      </c>
      <c r="Z29" s="666">
        <v>7</v>
      </c>
      <c r="AA29" s="666">
        <v>7</v>
      </c>
      <c r="AB29" s="666">
        <v>7</v>
      </c>
      <c r="AC29" s="666">
        <v>7</v>
      </c>
      <c r="AD29" s="666">
        <v>7</v>
      </c>
      <c r="AE29" s="666">
        <v>7</v>
      </c>
      <c r="AF29" s="666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666">
        <v>3.8</v>
      </c>
      <c r="Z30" s="666">
        <v>3.8</v>
      </c>
      <c r="AA30" s="666">
        <v>3.8</v>
      </c>
      <c r="AB30" s="666">
        <v>3.8</v>
      </c>
      <c r="AC30" s="666">
        <v>3.8</v>
      </c>
      <c r="AD30" s="666">
        <v>3.8</v>
      </c>
      <c r="AE30" s="666">
        <v>3.8</v>
      </c>
      <c r="AF30" s="666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666">
        <v>6.2</v>
      </c>
      <c r="Z31" s="666">
        <v>6.2</v>
      </c>
      <c r="AA31" s="666">
        <v>6.2</v>
      </c>
      <c r="AB31" s="666">
        <v>6.2</v>
      </c>
      <c r="AC31" s="666">
        <v>6.2</v>
      </c>
      <c r="AD31" s="666">
        <v>6.2</v>
      </c>
      <c r="AE31" s="666">
        <v>6.2</v>
      </c>
      <c r="AF31" s="666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666">
        <v>0</v>
      </c>
      <c r="Z32" s="666">
        <v>0</v>
      </c>
      <c r="AA32" s="666">
        <v>0</v>
      </c>
      <c r="AB32" s="666">
        <v>0</v>
      </c>
      <c r="AC32" s="666">
        <v>0</v>
      </c>
      <c r="AD32" s="666">
        <v>0</v>
      </c>
      <c r="AE32" s="666">
        <v>0</v>
      </c>
      <c r="AF32" s="666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666">
        <v>5</v>
      </c>
      <c r="Z33" s="666">
        <v>5</v>
      </c>
      <c r="AA33" s="666">
        <v>5</v>
      </c>
      <c r="AB33" s="666">
        <v>5</v>
      </c>
      <c r="AC33" s="666">
        <v>5</v>
      </c>
      <c r="AD33" s="666">
        <v>5</v>
      </c>
      <c r="AE33" s="666">
        <v>5</v>
      </c>
      <c r="AF33" s="666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666">
        <v>7</v>
      </c>
      <c r="Z34" s="666">
        <v>7</v>
      </c>
      <c r="AA34" s="666">
        <v>7</v>
      </c>
      <c r="AB34" s="666">
        <v>7</v>
      </c>
      <c r="AC34" s="666">
        <v>7</v>
      </c>
      <c r="AD34" s="666">
        <v>7</v>
      </c>
      <c r="AE34" s="666">
        <v>7</v>
      </c>
      <c r="AF34" s="666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>
        <v>10</v>
      </c>
      <c r="L35" s="45">
        <v>10</v>
      </c>
      <c r="M35" s="45">
        <v>10</v>
      </c>
      <c r="N35" s="45">
        <v>10</v>
      </c>
      <c r="O35" s="45">
        <v>10</v>
      </c>
      <c r="P35" s="45">
        <v>10</v>
      </c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666">
        <v>10</v>
      </c>
      <c r="Z35" s="666">
        <v>10</v>
      </c>
      <c r="AA35" s="666">
        <v>10</v>
      </c>
      <c r="AB35" s="666">
        <v>10</v>
      </c>
      <c r="AC35" s="666">
        <v>10</v>
      </c>
      <c r="AD35" s="666">
        <v>10</v>
      </c>
      <c r="AE35" s="666">
        <v>10</v>
      </c>
      <c r="AF35" s="666">
        <v>10</v>
      </c>
      <c r="AG35" s="50">
        <v>12</v>
      </c>
      <c r="AH35" s="47">
        <f t="shared" si="2"/>
        <v>10</v>
      </c>
      <c r="AI35" s="48">
        <f t="shared" si="3"/>
        <v>10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666">
        <v>7</v>
      </c>
      <c r="Z36" s="666">
        <v>7</v>
      </c>
      <c r="AA36" s="666">
        <v>7</v>
      </c>
      <c r="AB36" s="666">
        <v>7</v>
      </c>
      <c r="AC36" s="666">
        <v>7</v>
      </c>
      <c r="AD36" s="666">
        <v>7</v>
      </c>
      <c r="AE36" s="666">
        <v>7</v>
      </c>
      <c r="AF36" s="666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666">
        <v>6</v>
      </c>
      <c r="Z37" s="666">
        <v>6</v>
      </c>
      <c r="AA37" s="666">
        <v>6</v>
      </c>
      <c r="AB37" s="666">
        <v>6</v>
      </c>
      <c r="AC37" s="666">
        <v>6</v>
      </c>
      <c r="AD37" s="666">
        <v>6</v>
      </c>
      <c r="AE37" s="666">
        <v>6</v>
      </c>
      <c r="AF37" s="666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666">
        <v>5.2</v>
      </c>
      <c r="Z38" s="666">
        <v>5.2</v>
      </c>
      <c r="AA38" s="666">
        <v>5.2</v>
      </c>
      <c r="AB38" s="666">
        <v>5.2</v>
      </c>
      <c r="AC38" s="666">
        <v>5.2</v>
      </c>
      <c r="AD38" s="666">
        <v>5.2</v>
      </c>
      <c r="AE38" s="666">
        <v>5.2</v>
      </c>
      <c r="AF38" s="666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666">
        <v>8.5</v>
      </c>
      <c r="Z39" s="666">
        <v>8.5</v>
      </c>
      <c r="AA39" s="666">
        <v>8.5</v>
      </c>
      <c r="AB39" s="666">
        <v>8.5</v>
      </c>
      <c r="AC39" s="666">
        <v>8.5</v>
      </c>
      <c r="AD39" s="666">
        <v>8.5</v>
      </c>
      <c r="AE39" s="666">
        <v>8.5</v>
      </c>
      <c r="AF39" s="666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666">
        <v>4</v>
      </c>
      <c r="Z40" s="666">
        <v>4</v>
      </c>
      <c r="AA40" s="666">
        <v>4</v>
      </c>
      <c r="AB40" s="666">
        <v>4</v>
      </c>
      <c r="AC40" s="666">
        <v>4</v>
      </c>
      <c r="AD40" s="666">
        <v>4</v>
      </c>
      <c r="AE40" s="666">
        <v>4</v>
      </c>
      <c r="AF40" s="666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666">
        <v>0</v>
      </c>
      <c r="Z41" s="666">
        <v>0</v>
      </c>
      <c r="AA41" s="666">
        <v>0</v>
      </c>
      <c r="AB41" s="666">
        <v>0</v>
      </c>
      <c r="AC41" s="666">
        <v>0</v>
      </c>
      <c r="AD41" s="666">
        <v>0</v>
      </c>
      <c r="AE41" s="666">
        <v>0</v>
      </c>
      <c r="AF41" s="666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100</v>
      </c>
      <c r="C42" s="56">
        <v>100</v>
      </c>
      <c r="D42" s="56">
        <v>100</v>
      </c>
      <c r="E42" s="56">
        <v>100</v>
      </c>
      <c r="F42" s="56">
        <v>100</v>
      </c>
      <c r="G42" s="56">
        <v>100</v>
      </c>
      <c r="H42" s="56">
        <v>100</v>
      </c>
      <c r="I42" s="56">
        <v>100</v>
      </c>
      <c r="J42" s="56">
        <v>100</v>
      </c>
      <c r="K42" s="56">
        <v>100</v>
      </c>
      <c r="L42" s="56">
        <v>100</v>
      </c>
      <c r="M42" s="56">
        <v>100</v>
      </c>
      <c r="N42" s="56">
        <v>100</v>
      </c>
      <c r="O42" s="56">
        <v>100</v>
      </c>
      <c r="P42" s="56">
        <v>100</v>
      </c>
      <c r="Q42" s="56">
        <v>100</v>
      </c>
      <c r="R42" s="56">
        <v>100</v>
      </c>
      <c r="S42" s="56">
        <v>100</v>
      </c>
      <c r="T42" s="56">
        <v>100</v>
      </c>
      <c r="U42" s="56">
        <v>100</v>
      </c>
      <c r="V42" s="56">
        <v>100</v>
      </c>
      <c r="W42" s="56">
        <v>100</v>
      </c>
      <c r="X42" s="56">
        <v>100</v>
      </c>
      <c r="Y42" s="669">
        <v>100</v>
      </c>
      <c r="Z42" s="669">
        <v>100</v>
      </c>
      <c r="AA42" s="669">
        <v>100</v>
      </c>
      <c r="AB42" s="669">
        <v>100</v>
      </c>
      <c r="AC42" s="669">
        <v>100</v>
      </c>
      <c r="AD42" s="669">
        <v>100</v>
      </c>
      <c r="AE42" s="669">
        <v>100</v>
      </c>
      <c r="AF42" s="669">
        <v>100</v>
      </c>
      <c r="AG42" s="54">
        <v>85</v>
      </c>
      <c r="AH42" s="47">
        <f t="shared" si="2"/>
        <v>100</v>
      </c>
      <c r="AI42" s="48">
        <f t="shared" si="3"/>
        <v>100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672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:AG44" si="4">SUM(B11:B42)</f>
        <v>368.8</v>
      </c>
      <c r="C44" s="60">
        <f t="shared" si="4"/>
        <v>368.8</v>
      </c>
      <c r="D44" s="60">
        <f t="shared" si="4"/>
        <v>368.8</v>
      </c>
      <c r="E44" s="60">
        <f t="shared" si="4"/>
        <v>372</v>
      </c>
      <c r="F44" s="60">
        <f t="shared" si="4"/>
        <v>370.4</v>
      </c>
      <c r="G44" s="60">
        <f t="shared" si="4"/>
        <v>368.1</v>
      </c>
      <c r="H44" s="60">
        <f t="shared" si="4"/>
        <v>370.2</v>
      </c>
      <c r="I44" s="60">
        <f t="shared" si="4"/>
        <v>373</v>
      </c>
      <c r="J44" s="60">
        <f t="shared" ref="J44" si="5">SUM(J11:J42)</f>
        <v>373</v>
      </c>
      <c r="K44" s="60">
        <f t="shared" si="4"/>
        <v>368.4</v>
      </c>
      <c r="L44" s="60">
        <f t="shared" si="4"/>
        <v>367.29999999999995</v>
      </c>
      <c r="M44" s="60">
        <f t="shared" si="4"/>
        <v>367.29999999999995</v>
      </c>
      <c r="N44" s="60">
        <f t="shared" ref="N44" si="6">SUM(N11:N42)</f>
        <v>367.9</v>
      </c>
      <c r="O44" s="60">
        <f t="shared" si="4"/>
        <v>367.9</v>
      </c>
      <c r="P44" s="60">
        <f t="shared" si="4"/>
        <v>367.9</v>
      </c>
      <c r="Q44" s="60">
        <f t="shared" si="4"/>
        <v>367.9</v>
      </c>
      <c r="R44" s="60">
        <f t="shared" si="4"/>
        <v>367.9</v>
      </c>
      <c r="S44" s="60">
        <f t="shared" si="4"/>
        <v>367.4</v>
      </c>
      <c r="T44" s="60">
        <f t="shared" si="4"/>
        <v>363.79999999999995</v>
      </c>
      <c r="U44" s="60">
        <f t="shared" si="4"/>
        <v>366.5</v>
      </c>
      <c r="V44" s="60">
        <f t="shared" si="4"/>
        <v>361.29999999999995</v>
      </c>
      <c r="W44" s="60">
        <f t="shared" si="4"/>
        <v>365.2</v>
      </c>
      <c r="X44" s="60">
        <f t="shared" si="4"/>
        <v>365.59999999999997</v>
      </c>
      <c r="Y44" s="60">
        <f t="shared" si="4"/>
        <v>369.3</v>
      </c>
      <c r="Z44" s="60">
        <f t="shared" si="4"/>
        <v>369</v>
      </c>
      <c r="AA44" s="60">
        <f t="shared" si="4"/>
        <v>369</v>
      </c>
      <c r="AB44" s="60">
        <f t="shared" si="4"/>
        <v>369</v>
      </c>
      <c r="AC44" s="60">
        <f t="shared" si="4"/>
        <v>369.59999999999997</v>
      </c>
      <c r="AD44" s="60">
        <f t="shared" si="4"/>
        <v>369.59999999999997</v>
      </c>
      <c r="AE44" s="60">
        <f t="shared" si="4"/>
        <v>369.59999999999997</v>
      </c>
      <c r="AF44" s="60">
        <f t="shared" si="4"/>
        <v>369.59999999999997</v>
      </c>
      <c r="AG44" s="61">
        <f t="shared" si="4"/>
        <v>814.78000000000009</v>
      </c>
      <c r="AH44" s="47">
        <f t="shared" si="2"/>
        <v>373</v>
      </c>
      <c r="AI44" s="48">
        <f t="shared" si="3"/>
        <v>361.29999999999995</v>
      </c>
      <c r="AK44" s="49"/>
    </row>
    <row r="45" spans="1:88" x14ac:dyDescent="0.25">
      <c r="A45" s="62" t="s">
        <v>53</v>
      </c>
      <c r="B45" s="45">
        <v>30</v>
      </c>
      <c r="C45" s="45">
        <v>30</v>
      </c>
      <c r="D45" s="45">
        <v>15</v>
      </c>
      <c r="E45" s="45">
        <v>0</v>
      </c>
      <c r="F45" s="45">
        <v>0</v>
      </c>
      <c r="G45" s="45">
        <v>15</v>
      </c>
      <c r="H45" s="45">
        <v>76</v>
      </c>
      <c r="I45" s="45">
        <v>40</v>
      </c>
      <c r="J45" s="45">
        <v>60</v>
      </c>
      <c r="K45" s="45">
        <v>170</v>
      </c>
      <c r="L45" s="45">
        <v>180</v>
      </c>
      <c r="M45" s="45">
        <v>190</v>
      </c>
      <c r="N45" s="45">
        <v>130</v>
      </c>
      <c r="O45" s="45">
        <v>130</v>
      </c>
      <c r="P45" s="45">
        <v>110</v>
      </c>
      <c r="Q45" s="45">
        <v>125</v>
      </c>
      <c r="R45" s="45">
        <v>100</v>
      </c>
      <c r="S45" s="45">
        <v>95</v>
      </c>
      <c r="T45" s="45">
        <v>105</v>
      </c>
      <c r="U45" s="45">
        <v>105</v>
      </c>
      <c r="V45" s="45">
        <v>30</v>
      </c>
      <c r="W45" s="45">
        <v>30</v>
      </c>
      <c r="X45" s="45">
        <v>110</v>
      </c>
      <c r="Y45" s="670">
        <v>175</v>
      </c>
      <c r="Z45" s="45">
        <v>160</v>
      </c>
      <c r="AA45" s="45">
        <v>120</v>
      </c>
      <c r="AB45" s="45">
        <v>100</v>
      </c>
      <c r="AC45" s="45">
        <v>120</v>
      </c>
      <c r="AD45" s="45">
        <v>140</v>
      </c>
      <c r="AE45" s="45">
        <v>100</v>
      </c>
      <c r="AF45" s="45">
        <v>50</v>
      </c>
      <c r="AG45" s="51">
        <v>456</v>
      </c>
      <c r="AH45" s="47">
        <f t="shared" si="2"/>
        <v>190</v>
      </c>
      <c r="AI45" s="48">
        <f t="shared" si="3"/>
        <v>0</v>
      </c>
      <c r="AK45" s="49"/>
    </row>
    <row r="46" spans="1:88" x14ac:dyDescent="0.25">
      <c r="A46" s="64" t="s">
        <v>54</v>
      </c>
      <c r="B46" s="65">
        <v>28</v>
      </c>
      <c r="C46" s="65">
        <v>28</v>
      </c>
      <c r="D46" s="65">
        <v>28</v>
      </c>
      <c r="E46" s="65">
        <v>28</v>
      </c>
      <c r="F46" s="65">
        <v>28</v>
      </c>
      <c r="G46" s="65">
        <v>28</v>
      </c>
      <c r="H46" s="65">
        <v>28</v>
      </c>
      <c r="I46" s="65">
        <v>28</v>
      </c>
      <c r="J46" s="65">
        <v>28</v>
      </c>
      <c r="K46" s="65">
        <v>28</v>
      </c>
      <c r="L46" s="65">
        <v>28</v>
      </c>
      <c r="M46" s="65">
        <v>28</v>
      </c>
      <c r="N46" s="65">
        <v>28</v>
      </c>
      <c r="O46" s="65">
        <v>28</v>
      </c>
      <c r="P46" s="65">
        <v>28</v>
      </c>
      <c r="Q46" s="65">
        <v>28</v>
      </c>
      <c r="R46" s="65">
        <v>28</v>
      </c>
      <c r="S46" s="65">
        <v>28</v>
      </c>
      <c r="T46" s="65">
        <v>28</v>
      </c>
      <c r="U46" s="65">
        <v>28</v>
      </c>
      <c r="V46" s="65">
        <v>28</v>
      </c>
      <c r="W46" s="65">
        <v>28</v>
      </c>
      <c r="X46" s="65">
        <v>28</v>
      </c>
      <c r="Y46" s="667">
        <v>28</v>
      </c>
      <c r="Z46" s="65">
        <v>28</v>
      </c>
      <c r="AA46" s="65">
        <v>28</v>
      </c>
      <c r="AB46" s="65">
        <v>28</v>
      </c>
      <c r="AC46" s="65">
        <v>28</v>
      </c>
      <c r="AD46" s="65">
        <v>28</v>
      </c>
      <c r="AE46" s="65">
        <v>28</v>
      </c>
      <c r="AF46" s="65">
        <v>28</v>
      </c>
      <c r="AG46" s="54">
        <v>60</v>
      </c>
      <c r="AH46" s="47">
        <f t="shared" si="2"/>
        <v>28</v>
      </c>
      <c r="AI46" s="48">
        <f t="shared" si="3"/>
        <v>28</v>
      </c>
      <c r="AK46" s="49"/>
    </row>
    <row r="47" spans="1:88" ht="15.75" thickBot="1" x14ac:dyDescent="0.3">
      <c r="A47" s="66" t="s">
        <v>55</v>
      </c>
      <c r="B47" s="67">
        <v>10.199999999999999</v>
      </c>
      <c r="C47" s="67">
        <v>10.199999999999999</v>
      </c>
      <c r="D47" s="67">
        <v>10.199999999999999</v>
      </c>
      <c r="E47" s="67">
        <v>10.199999999999999</v>
      </c>
      <c r="F47" s="67">
        <v>10.6</v>
      </c>
      <c r="G47" s="67">
        <v>10.6</v>
      </c>
      <c r="H47" s="67">
        <v>10.3</v>
      </c>
      <c r="I47" s="67">
        <v>10.6</v>
      </c>
      <c r="J47" s="67">
        <v>10.199999999999999</v>
      </c>
      <c r="K47" s="67">
        <v>10.6</v>
      </c>
      <c r="L47" s="67">
        <v>10.6</v>
      </c>
      <c r="M47" s="67">
        <v>10.6</v>
      </c>
      <c r="N47" s="67">
        <v>10.199999999999999</v>
      </c>
      <c r="O47" s="67">
        <v>10.199999999999999</v>
      </c>
      <c r="P47" s="67">
        <v>10.199999999999999</v>
      </c>
      <c r="Q47" s="67">
        <v>10.199999999999999</v>
      </c>
      <c r="R47" s="67">
        <v>10.199999999999999</v>
      </c>
      <c r="S47" s="67">
        <v>10.199999999999999</v>
      </c>
      <c r="T47" s="67">
        <v>10.199999999999999</v>
      </c>
      <c r="U47" s="67">
        <v>10.199999999999999</v>
      </c>
      <c r="V47" s="67">
        <v>10.199999999999999</v>
      </c>
      <c r="W47" s="67">
        <v>10.199999999999999</v>
      </c>
      <c r="X47" s="67">
        <v>10.199999999999999</v>
      </c>
      <c r="Y47" s="675">
        <v>17.100000000000001</v>
      </c>
      <c r="Z47" s="67">
        <v>17.100000000000001</v>
      </c>
      <c r="AA47" s="67">
        <v>17.100000000000001</v>
      </c>
      <c r="AB47" s="67">
        <v>17.100000000000001</v>
      </c>
      <c r="AC47" s="67">
        <v>17.100000000000001</v>
      </c>
      <c r="AD47" s="67">
        <v>10.199999999999999</v>
      </c>
      <c r="AE47" s="67">
        <v>10.199999999999999</v>
      </c>
      <c r="AF47" s="67">
        <v>10.199999999999999</v>
      </c>
      <c r="AG47" s="68">
        <v>22.1</v>
      </c>
      <c r="AH47" s="47">
        <f t="shared" si="2"/>
        <v>17.100000000000001</v>
      </c>
      <c r="AI47" s="48">
        <f t="shared" si="3"/>
        <v>10.199999999999999</v>
      </c>
      <c r="AK47" s="49"/>
    </row>
    <row r="48" spans="1:88" ht="15.75" thickBot="1" x14ac:dyDescent="0.3">
      <c r="A48" s="69" t="s">
        <v>56</v>
      </c>
      <c r="B48" s="60">
        <f t="shared" ref="B48:AG48" si="7">SUM(B45:B47)</f>
        <v>68.2</v>
      </c>
      <c r="C48" s="60">
        <f t="shared" si="7"/>
        <v>68.2</v>
      </c>
      <c r="D48" s="60">
        <f t="shared" si="7"/>
        <v>53.2</v>
      </c>
      <c r="E48" s="60">
        <f t="shared" si="7"/>
        <v>38.200000000000003</v>
      </c>
      <c r="F48" s="60">
        <f t="shared" si="7"/>
        <v>38.6</v>
      </c>
      <c r="G48" s="60">
        <f t="shared" si="7"/>
        <v>53.6</v>
      </c>
      <c r="H48" s="60">
        <f t="shared" si="7"/>
        <v>114.3</v>
      </c>
      <c r="I48" s="60">
        <f t="shared" si="7"/>
        <v>78.599999999999994</v>
      </c>
      <c r="J48" s="60">
        <f t="shared" si="7"/>
        <v>98.2</v>
      </c>
      <c r="K48" s="60">
        <f t="shared" si="7"/>
        <v>208.6</v>
      </c>
      <c r="L48" s="60">
        <f t="shared" si="7"/>
        <v>218.6</v>
      </c>
      <c r="M48" s="60">
        <f t="shared" si="7"/>
        <v>228.6</v>
      </c>
      <c r="N48" s="60">
        <f t="shared" ref="N48" si="8">SUM(N45:N47)</f>
        <v>168.2</v>
      </c>
      <c r="O48" s="60">
        <f t="shared" si="7"/>
        <v>168.2</v>
      </c>
      <c r="P48" s="60">
        <f t="shared" si="7"/>
        <v>148.19999999999999</v>
      </c>
      <c r="Q48" s="60">
        <f t="shared" si="7"/>
        <v>163.19999999999999</v>
      </c>
      <c r="R48" s="60">
        <f t="shared" si="7"/>
        <v>138.19999999999999</v>
      </c>
      <c r="S48" s="60">
        <f t="shared" si="7"/>
        <v>133.19999999999999</v>
      </c>
      <c r="T48" s="60">
        <f t="shared" si="7"/>
        <v>143.19999999999999</v>
      </c>
      <c r="U48" s="60">
        <f t="shared" si="7"/>
        <v>143.19999999999999</v>
      </c>
      <c r="V48" s="60">
        <f t="shared" si="7"/>
        <v>68.2</v>
      </c>
      <c r="W48" s="60">
        <f t="shared" si="7"/>
        <v>68.2</v>
      </c>
      <c r="X48" s="60">
        <f t="shared" si="7"/>
        <v>148.19999999999999</v>
      </c>
      <c r="Y48" s="673">
        <v>220.1</v>
      </c>
      <c r="Z48" s="60">
        <f t="shared" si="7"/>
        <v>205.1</v>
      </c>
      <c r="AA48" s="60">
        <f t="shared" si="7"/>
        <v>165.1</v>
      </c>
      <c r="AB48" s="60">
        <f t="shared" si="7"/>
        <v>145.1</v>
      </c>
      <c r="AC48" s="60">
        <f t="shared" si="7"/>
        <v>165.1</v>
      </c>
      <c r="AD48" s="60">
        <f t="shared" si="7"/>
        <v>178.2</v>
      </c>
      <c r="AE48" s="60">
        <f t="shared" si="7"/>
        <v>138.19999999999999</v>
      </c>
      <c r="AF48" s="60">
        <f t="shared" si="7"/>
        <v>88.2</v>
      </c>
      <c r="AG48" s="61">
        <f t="shared" si="7"/>
        <v>538.1</v>
      </c>
      <c r="AH48" s="47">
        <f t="shared" si="2"/>
        <v>228.6</v>
      </c>
      <c r="AI48" s="48">
        <f t="shared" si="3"/>
        <v>38.200000000000003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25</v>
      </c>
      <c r="H49" s="45">
        <v>48</v>
      </c>
      <c r="I49" s="45">
        <v>60</v>
      </c>
      <c r="J49" s="45">
        <v>81.099999999999994</v>
      </c>
      <c r="K49" s="45">
        <v>93</v>
      </c>
      <c r="L49" s="45">
        <v>130</v>
      </c>
      <c r="M49" s="45">
        <v>106.7</v>
      </c>
      <c r="N49" s="45">
        <v>91.6</v>
      </c>
      <c r="O49" s="45">
        <v>81.099999999999994</v>
      </c>
      <c r="P49" s="45">
        <v>81.099999999999994</v>
      </c>
      <c r="Q49" s="45">
        <v>91.5</v>
      </c>
      <c r="R49" s="45">
        <v>81.400000000000006</v>
      </c>
      <c r="S49" s="45">
        <v>97.5</v>
      </c>
      <c r="T49" s="45">
        <v>81</v>
      </c>
      <c r="U49" s="45">
        <v>65</v>
      </c>
      <c r="V49" s="45">
        <v>64.7</v>
      </c>
      <c r="W49" s="45">
        <v>65</v>
      </c>
      <c r="X49" s="45">
        <v>65.2</v>
      </c>
      <c r="Y49" s="676">
        <v>122.9</v>
      </c>
      <c r="Z49" s="45">
        <v>112.8</v>
      </c>
      <c r="AA49" s="45">
        <v>91.3</v>
      </c>
      <c r="AB49" s="45">
        <v>71</v>
      </c>
      <c r="AC49" s="45">
        <v>71.2</v>
      </c>
      <c r="AD49" s="45">
        <v>71.2</v>
      </c>
      <c r="AE49" s="45">
        <v>71</v>
      </c>
      <c r="AF49" s="45">
        <v>30</v>
      </c>
      <c r="AG49" s="51">
        <v>144</v>
      </c>
      <c r="AH49" s="47">
        <f t="shared" si="2"/>
        <v>130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27.5</v>
      </c>
      <c r="J50" s="65">
        <v>35.700000000000003</v>
      </c>
      <c r="K50" s="65">
        <v>50</v>
      </c>
      <c r="L50" s="65">
        <v>68.400000000000006</v>
      </c>
      <c r="M50" s="65">
        <v>55.3</v>
      </c>
      <c r="N50" s="65">
        <v>55.9</v>
      </c>
      <c r="O50" s="65">
        <v>44.6</v>
      </c>
      <c r="P50" s="65">
        <v>44.6</v>
      </c>
      <c r="Q50" s="65">
        <v>58</v>
      </c>
      <c r="R50" s="45">
        <v>67.599999999999994</v>
      </c>
      <c r="S50" s="45">
        <v>35.200000000000003</v>
      </c>
      <c r="T50" s="45">
        <v>35</v>
      </c>
      <c r="U50" s="45">
        <v>32.4</v>
      </c>
      <c r="V50" s="45">
        <v>23</v>
      </c>
      <c r="W50" s="45">
        <v>20.8</v>
      </c>
      <c r="X50" s="45">
        <v>46.9</v>
      </c>
      <c r="Y50" s="676">
        <v>48</v>
      </c>
      <c r="Z50" s="45">
        <v>49</v>
      </c>
      <c r="AA50" s="45">
        <v>47.4</v>
      </c>
      <c r="AB50" s="65">
        <v>47.8</v>
      </c>
      <c r="AC50" s="65">
        <v>36.4</v>
      </c>
      <c r="AD50" s="65">
        <v>36.4</v>
      </c>
      <c r="AE50" s="65">
        <v>0</v>
      </c>
      <c r="AF50" s="65">
        <v>0</v>
      </c>
      <c r="AG50" s="54">
        <v>70</v>
      </c>
      <c r="AH50" s="47">
        <f t="shared" si="2"/>
        <v>68.400000000000006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0</v>
      </c>
      <c r="C51" s="65">
        <v>0</v>
      </c>
      <c r="D51" s="65">
        <v>0</v>
      </c>
      <c r="E51" s="65">
        <v>0</v>
      </c>
      <c r="F51" s="65">
        <v>0</v>
      </c>
      <c r="G51" s="65">
        <v>16</v>
      </c>
      <c r="H51" s="65">
        <v>46</v>
      </c>
      <c r="I51" s="65">
        <v>30.9</v>
      </c>
      <c r="J51" s="65">
        <v>41.2</v>
      </c>
      <c r="K51" s="65">
        <v>55</v>
      </c>
      <c r="L51" s="65">
        <v>67</v>
      </c>
      <c r="M51" s="65">
        <v>51.8</v>
      </c>
      <c r="N51" s="65">
        <v>52</v>
      </c>
      <c r="O51" s="65">
        <v>67.599999999999994</v>
      </c>
      <c r="P51" s="65">
        <v>67.599999999999994</v>
      </c>
      <c r="Q51" s="65">
        <v>34.1</v>
      </c>
      <c r="R51" s="45">
        <v>22.1</v>
      </c>
      <c r="S51" s="45">
        <v>23</v>
      </c>
      <c r="T51" s="45">
        <v>22.8</v>
      </c>
      <c r="U51" s="45">
        <v>40.6</v>
      </c>
      <c r="V51" s="45">
        <v>33.5</v>
      </c>
      <c r="W51" s="45">
        <v>32.1</v>
      </c>
      <c r="X51" s="45">
        <v>61.5</v>
      </c>
      <c r="Y51" s="676">
        <v>52.2</v>
      </c>
      <c r="Z51" s="45">
        <v>51.6</v>
      </c>
      <c r="AA51" s="45">
        <v>61</v>
      </c>
      <c r="AB51" s="65">
        <v>58.2</v>
      </c>
      <c r="AC51" s="65">
        <v>48.2</v>
      </c>
      <c r="AD51" s="65">
        <v>48.2</v>
      </c>
      <c r="AE51" s="65">
        <v>33</v>
      </c>
      <c r="AF51" s="65">
        <v>34</v>
      </c>
      <c r="AG51" s="54">
        <v>69</v>
      </c>
      <c r="AH51" s="47">
        <f t="shared" si="2"/>
        <v>67.599999999999994</v>
      </c>
      <c r="AI51" s="48">
        <f t="shared" si="3"/>
        <v>0</v>
      </c>
      <c r="AK51" s="49"/>
    </row>
    <row r="52" spans="1:41" x14ac:dyDescent="0.25">
      <c r="A52" s="53" t="s">
        <v>60</v>
      </c>
      <c r="B52" s="56">
        <v>42.6</v>
      </c>
      <c r="C52" s="56">
        <v>45.1</v>
      </c>
      <c r="D52" s="56">
        <v>45.3</v>
      </c>
      <c r="E52" s="56">
        <v>43.1</v>
      </c>
      <c r="F52" s="56">
        <v>43</v>
      </c>
      <c r="G52" s="56">
        <v>43.2</v>
      </c>
      <c r="H52" s="56">
        <v>43.6</v>
      </c>
      <c r="I52" s="56">
        <v>44.6</v>
      </c>
      <c r="J52" s="56">
        <v>45.6</v>
      </c>
      <c r="K52" s="56">
        <v>47.4</v>
      </c>
      <c r="L52" s="56">
        <v>47.4</v>
      </c>
      <c r="M52" s="56">
        <v>47.4</v>
      </c>
      <c r="N52" s="56">
        <v>42.3</v>
      </c>
      <c r="O52" s="65">
        <v>46.4</v>
      </c>
      <c r="P52" s="65">
        <v>46.4</v>
      </c>
      <c r="Q52" s="65">
        <v>46.4</v>
      </c>
      <c r="R52" s="65">
        <v>46.4</v>
      </c>
      <c r="S52" s="45">
        <v>42.1</v>
      </c>
      <c r="T52" s="45">
        <v>42</v>
      </c>
      <c r="U52" s="45">
        <v>44.3</v>
      </c>
      <c r="V52" s="45">
        <v>44.3</v>
      </c>
      <c r="W52" s="65">
        <v>43.8</v>
      </c>
      <c r="X52" s="65">
        <v>42.3</v>
      </c>
      <c r="Y52" s="676">
        <v>42.3</v>
      </c>
      <c r="Z52" s="65">
        <v>42.1</v>
      </c>
      <c r="AA52" s="65">
        <v>42.3</v>
      </c>
      <c r="AB52" s="65">
        <v>42.3</v>
      </c>
      <c r="AC52" s="65">
        <v>42.3</v>
      </c>
      <c r="AD52" s="65">
        <v>42.3</v>
      </c>
      <c r="AE52" s="65">
        <v>10.199999999999999</v>
      </c>
      <c r="AF52" s="65">
        <v>0</v>
      </c>
      <c r="AG52" s="54">
        <v>60</v>
      </c>
      <c r="AH52" s="47">
        <f t="shared" si="2"/>
        <v>47.4</v>
      </c>
      <c r="AI52" s="48">
        <f t="shared" si="3"/>
        <v>0</v>
      </c>
      <c r="AK52" s="49"/>
    </row>
    <row r="53" spans="1:41" x14ac:dyDescent="0.25">
      <c r="A53" s="53" t="s">
        <v>61</v>
      </c>
      <c r="B53" s="56">
        <v>0</v>
      </c>
      <c r="C53" s="56">
        <v>0</v>
      </c>
      <c r="D53" s="56">
        <v>0</v>
      </c>
      <c r="E53" s="56">
        <v>0</v>
      </c>
      <c r="F53" s="56">
        <v>0</v>
      </c>
      <c r="G53" s="56">
        <v>0</v>
      </c>
      <c r="H53" s="56">
        <v>0</v>
      </c>
      <c r="I53" s="56">
        <v>0</v>
      </c>
      <c r="J53" s="56">
        <v>10</v>
      </c>
      <c r="K53" s="56">
        <v>15</v>
      </c>
      <c r="L53" s="56">
        <v>15</v>
      </c>
      <c r="M53" s="56">
        <v>15</v>
      </c>
      <c r="N53" s="56">
        <v>15</v>
      </c>
      <c r="O53" s="65">
        <v>15</v>
      </c>
      <c r="P53" s="65">
        <v>10</v>
      </c>
      <c r="Q53" s="65">
        <v>15</v>
      </c>
      <c r="R53" s="65">
        <v>15</v>
      </c>
      <c r="S53" s="45">
        <v>15</v>
      </c>
      <c r="T53" s="45">
        <v>13</v>
      </c>
      <c r="U53" s="45">
        <v>15</v>
      </c>
      <c r="V53" s="45">
        <v>15</v>
      </c>
      <c r="W53" s="45">
        <v>15</v>
      </c>
      <c r="X53" s="45">
        <v>15</v>
      </c>
      <c r="Y53" s="674">
        <v>15</v>
      </c>
      <c r="Z53" s="65">
        <v>25</v>
      </c>
      <c r="AA53" s="65">
        <v>25</v>
      </c>
      <c r="AB53" s="65">
        <v>25</v>
      </c>
      <c r="AC53" s="65">
        <v>15</v>
      </c>
      <c r="AD53" s="65">
        <v>10</v>
      </c>
      <c r="AE53" s="65">
        <v>0</v>
      </c>
      <c r="AF53" s="65">
        <v>0</v>
      </c>
      <c r="AG53" s="54">
        <v>30</v>
      </c>
      <c r="AH53" s="47">
        <f t="shared" si="2"/>
        <v>25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2</v>
      </c>
      <c r="O54" s="65">
        <v>2</v>
      </c>
      <c r="P54" s="65">
        <v>2</v>
      </c>
      <c r="Q54" s="65">
        <v>2</v>
      </c>
      <c r="R54" s="65">
        <v>2</v>
      </c>
      <c r="S54" s="65">
        <v>2</v>
      </c>
      <c r="T54" s="65">
        <v>2</v>
      </c>
      <c r="U54" s="65">
        <v>2</v>
      </c>
      <c r="V54" s="45">
        <v>0</v>
      </c>
      <c r="W54" s="45">
        <v>0</v>
      </c>
      <c r="X54" s="45">
        <v>0</v>
      </c>
      <c r="Y54" s="674">
        <v>0</v>
      </c>
      <c r="Z54" s="674">
        <v>0</v>
      </c>
      <c r="AA54" s="674">
        <v>0</v>
      </c>
      <c r="AB54" s="674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2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16</v>
      </c>
      <c r="C55" s="65">
        <v>16</v>
      </c>
      <c r="D55" s="65">
        <v>16</v>
      </c>
      <c r="E55" s="65">
        <v>16</v>
      </c>
      <c r="F55" s="65">
        <v>16</v>
      </c>
      <c r="G55" s="65">
        <v>16</v>
      </c>
      <c r="H55" s="65">
        <v>16</v>
      </c>
      <c r="I55" s="65">
        <v>16</v>
      </c>
      <c r="J55" s="65">
        <v>16</v>
      </c>
      <c r="K55" s="65">
        <v>16</v>
      </c>
      <c r="L55" s="65">
        <v>16</v>
      </c>
      <c r="M55" s="65">
        <v>16</v>
      </c>
      <c r="N55" s="65">
        <v>16</v>
      </c>
      <c r="O55" s="65">
        <v>16</v>
      </c>
      <c r="P55" s="65">
        <v>16</v>
      </c>
      <c r="Q55" s="65">
        <v>16</v>
      </c>
      <c r="R55" s="65">
        <v>16</v>
      </c>
      <c r="S55" s="65">
        <v>16</v>
      </c>
      <c r="T55" s="65">
        <v>16</v>
      </c>
      <c r="U55" s="65">
        <v>16</v>
      </c>
      <c r="V55" s="65">
        <v>16</v>
      </c>
      <c r="W55" s="65">
        <v>16</v>
      </c>
      <c r="X55" s="65">
        <v>16</v>
      </c>
      <c r="Y55" s="669">
        <v>16</v>
      </c>
      <c r="Z55" s="669">
        <v>16</v>
      </c>
      <c r="AA55" s="669">
        <v>16</v>
      </c>
      <c r="AB55" s="669">
        <v>16</v>
      </c>
      <c r="AC55" s="65">
        <v>16</v>
      </c>
      <c r="AD55" s="65">
        <v>16</v>
      </c>
      <c r="AE55" s="65">
        <v>16</v>
      </c>
      <c r="AF55" s="65">
        <v>16</v>
      </c>
      <c r="AG55" s="54">
        <v>24</v>
      </c>
      <c r="AH55" s="47">
        <f t="shared" si="2"/>
        <v>16</v>
      </c>
      <c r="AI55" s="48">
        <f t="shared" si="3"/>
        <v>16</v>
      </c>
      <c r="AK55" s="49"/>
    </row>
    <row r="56" spans="1:41" x14ac:dyDescent="0.25">
      <c r="A56" s="53" t="s">
        <v>64</v>
      </c>
      <c r="B56" s="65">
        <v>3.3</v>
      </c>
      <c r="C56" s="65">
        <v>3.3</v>
      </c>
      <c r="D56" s="65">
        <v>3.3</v>
      </c>
      <c r="E56" s="65">
        <v>3.3</v>
      </c>
      <c r="F56" s="65">
        <v>3.3</v>
      </c>
      <c r="G56" s="65">
        <v>3.3</v>
      </c>
      <c r="H56" s="65">
        <v>3.3</v>
      </c>
      <c r="I56" s="65">
        <v>3.3</v>
      </c>
      <c r="J56" s="65">
        <v>3.3</v>
      </c>
      <c r="K56" s="65">
        <v>3.3</v>
      </c>
      <c r="L56" s="65">
        <v>3.3</v>
      </c>
      <c r="M56" s="65">
        <v>3.3</v>
      </c>
      <c r="N56" s="65">
        <v>3.3</v>
      </c>
      <c r="O56" s="65">
        <v>3.3</v>
      </c>
      <c r="P56" s="65">
        <v>3.3</v>
      </c>
      <c r="Q56" s="65">
        <v>3.3</v>
      </c>
      <c r="R56" s="65">
        <v>3.3</v>
      </c>
      <c r="S56" s="65">
        <v>3.3</v>
      </c>
      <c r="T56" s="65">
        <v>3.3</v>
      </c>
      <c r="U56" s="65">
        <v>3.3</v>
      </c>
      <c r="V56" s="65">
        <v>3.3</v>
      </c>
      <c r="W56" s="65">
        <v>3.3</v>
      </c>
      <c r="X56" s="65">
        <v>3.3</v>
      </c>
      <c r="Y56" s="669">
        <v>3.3</v>
      </c>
      <c r="Z56" s="669">
        <v>3.3</v>
      </c>
      <c r="AA56" s="669">
        <v>3.3</v>
      </c>
      <c r="AB56" s="669">
        <v>3.3</v>
      </c>
      <c r="AC56" s="65">
        <v>3.3</v>
      </c>
      <c r="AD56" s="65">
        <v>3.3</v>
      </c>
      <c r="AE56" s="65">
        <v>3.3</v>
      </c>
      <c r="AF56" s="65">
        <v>3.3</v>
      </c>
      <c r="AG56" s="54">
        <v>15</v>
      </c>
      <c r="AH56" s="47">
        <f t="shared" si="2"/>
        <v>3.3</v>
      </c>
      <c r="AI56" s="48">
        <f t="shared" si="3"/>
        <v>3.3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10.8</v>
      </c>
      <c r="C57" s="65">
        <v>10.8</v>
      </c>
      <c r="D57" s="65">
        <v>10.8</v>
      </c>
      <c r="E57" s="65">
        <v>10.8</v>
      </c>
      <c r="F57" s="65">
        <v>10.8</v>
      </c>
      <c r="G57" s="65">
        <v>10.8</v>
      </c>
      <c r="H57" s="65">
        <v>10.8</v>
      </c>
      <c r="I57" s="65">
        <v>10.8</v>
      </c>
      <c r="J57" s="65">
        <v>10.6</v>
      </c>
      <c r="K57" s="65">
        <v>10.6</v>
      </c>
      <c r="L57" s="65">
        <v>10.6</v>
      </c>
      <c r="M57" s="65">
        <v>10.6</v>
      </c>
      <c r="N57" s="65">
        <v>10.6</v>
      </c>
      <c r="O57" s="65">
        <v>10.6</v>
      </c>
      <c r="P57" s="65">
        <v>10.6</v>
      </c>
      <c r="Q57" s="65">
        <v>10.6</v>
      </c>
      <c r="R57" s="65">
        <v>10.6</v>
      </c>
      <c r="S57" s="65">
        <v>10.6</v>
      </c>
      <c r="T57" s="65">
        <v>10.6</v>
      </c>
      <c r="U57" s="65">
        <v>10.6</v>
      </c>
      <c r="V57" s="65">
        <v>10.6</v>
      </c>
      <c r="W57" s="65">
        <v>10.6</v>
      </c>
      <c r="X57" s="65">
        <v>10.6</v>
      </c>
      <c r="Y57" s="669">
        <v>10.6</v>
      </c>
      <c r="Z57" s="669">
        <v>10.6</v>
      </c>
      <c r="AA57" s="669">
        <v>10.6</v>
      </c>
      <c r="AB57" s="669">
        <v>10.6</v>
      </c>
      <c r="AC57" s="65">
        <v>10.6</v>
      </c>
      <c r="AD57" s="65">
        <v>10.6</v>
      </c>
      <c r="AE57" s="65">
        <v>10.6</v>
      </c>
      <c r="AF57" s="65">
        <v>10.6</v>
      </c>
      <c r="AG57" s="54">
        <v>14.1</v>
      </c>
      <c r="AH57" s="47">
        <f t="shared" si="2"/>
        <v>10.8</v>
      </c>
      <c r="AI57" s="48">
        <f t="shared" si="3"/>
        <v>10.6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4.8</v>
      </c>
      <c r="C58" s="65">
        <v>4.8</v>
      </c>
      <c r="D58" s="65">
        <v>4.8</v>
      </c>
      <c r="E58" s="65">
        <v>4.8</v>
      </c>
      <c r="F58" s="65">
        <v>4.8</v>
      </c>
      <c r="G58" s="65">
        <v>4.8</v>
      </c>
      <c r="H58" s="65">
        <v>4.8</v>
      </c>
      <c r="I58" s="65">
        <v>4.8</v>
      </c>
      <c r="J58" s="65">
        <v>4.8</v>
      </c>
      <c r="K58" s="65">
        <v>4.8</v>
      </c>
      <c r="L58" s="65">
        <v>4.8</v>
      </c>
      <c r="M58" s="65">
        <v>4.8</v>
      </c>
      <c r="N58" s="65">
        <v>4.8</v>
      </c>
      <c r="O58" s="65">
        <v>4.8</v>
      </c>
      <c r="P58" s="65">
        <v>4.8</v>
      </c>
      <c r="Q58" s="65">
        <v>4.8</v>
      </c>
      <c r="R58" s="65">
        <v>4.8</v>
      </c>
      <c r="S58" s="65">
        <v>4.8</v>
      </c>
      <c r="T58" s="65">
        <v>4.8</v>
      </c>
      <c r="U58" s="65">
        <v>4.8</v>
      </c>
      <c r="V58" s="65">
        <v>4.8</v>
      </c>
      <c r="W58" s="65">
        <v>4.8</v>
      </c>
      <c r="X58" s="65">
        <v>4.8</v>
      </c>
      <c r="Y58" s="669">
        <v>4.8</v>
      </c>
      <c r="Z58" s="669">
        <v>4.8</v>
      </c>
      <c r="AA58" s="669">
        <v>4.8</v>
      </c>
      <c r="AB58" s="669">
        <v>4.8</v>
      </c>
      <c r="AC58" s="65">
        <v>4.8</v>
      </c>
      <c r="AD58" s="65">
        <v>4.8</v>
      </c>
      <c r="AE58" s="65">
        <v>4.8</v>
      </c>
      <c r="AF58" s="65">
        <v>4.8</v>
      </c>
      <c r="AG58" s="54">
        <v>14</v>
      </c>
      <c r="AH58" s="47">
        <f t="shared" si="2"/>
        <v>4.8</v>
      </c>
      <c r="AI58" s="48">
        <f t="shared" si="3"/>
        <v>4.8</v>
      </c>
      <c r="AK58" s="49"/>
    </row>
    <row r="59" spans="1:41" x14ac:dyDescent="0.25">
      <c r="A59" s="53" t="s">
        <v>67</v>
      </c>
      <c r="B59" s="65">
        <v>4</v>
      </c>
      <c r="C59" s="65">
        <v>4</v>
      </c>
      <c r="D59" s="65">
        <v>4</v>
      </c>
      <c r="E59" s="65">
        <v>4</v>
      </c>
      <c r="F59" s="65">
        <v>4</v>
      </c>
      <c r="G59" s="65">
        <v>4</v>
      </c>
      <c r="H59" s="65">
        <v>4</v>
      </c>
      <c r="I59" s="65">
        <v>4</v>
      </c>
      <c r="J59" s="65">
        <v>4</v>
      </c>
      <c r="K59" s="65">
        <v>4</v>
      </c>
      <c r="L59" s="65">
        <v>4</v>
      </c>
      <c r="M59" s="65">
        <v>4</v>
      </c>
      <c r="N59" s="65">
        <v>4</v>
      </c>
      <c r="O59" s="65">
        <v>4</v>
      </c>
      <c r="P59" s="65">
        <v>4</v>
      </c>
      <c r="Q59" s="65">
        <v>4</v>
      </c>
      <c r="R59" s="65">
        <v>4</v>
      </c>
      <c r="S59" s="65">
        <v>4</v>
      </c>
      <c r="T59" s="65">
        <v>4</v>
      </c>
      <c r="U59" s="65">
        <v>4</v>
      </c>
      <c r="V59" s="65">
        <v>4</v>
      </c>
      <c r="W59" s="65">
        <v>4</v>
      </c>
      <c r="X59" s="65">
        <v>4</v>
      </c>
      <c r="Y59" s="669">
        <v>4</v>
      </c>
      <c r="Z59" s="669">
        <v>4</v>
      </c>
      <c r="AA59" s="669">
        <v>4</v>
      </c>
      <c r="AB59" s="669">
        <v>4</v>
      </c>
      <c r="AC59" s="65">
        <v>4</v>
      </c>
      <c r="AD59" s="65">
        <v>4</v>
      </c>
      <c r="AE59" s="65">
        <v>4</v>
      </c>
      <c r="AF59" s="65">
        <v>4</v>
      </c>
      <c r="AG59" s="54">
        <v>10.050000000000001</v>
      </c>
      <c r="AH59" s="47">
        <f t="shared" si="2"/>
        <v>4</v>
      </c>
      <c r="AI59" s="48">
        <f t="shared" si="3"/>
        <v>4</v>
      </c>
      <c r="AK59" s="49"/>
      <c r="AM59" s="677" t="s">
        <v>691</v>
      </c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69">
        <v>3.2</v>
      </c>
      <c r="Z60" s="669">
        <v>3.2</v>
      </c>
      <c r="AA60" s="669">
        <v>3.2</v>
      </c>
      <c r="AB60" s="669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 t="shared" ref="B62:AG62" si="9">SUM(B49:B61)</f>
        <v>88.240000000000009</v>
      </c>
      <c r="C62" s="60">
        <f t="shared" si="9"/>
        <v>90.740000000000009</v>
      </c>
      <c r="D62" s="60">
        <f t="shared" si="9"/>
        <v>90.94</v>
      </c>
      <c r="E62" s="60">
        <f t="shared" si="9"/>
        <v>88.740000000000009</v>
      </c>
      <c r="F62" s="60">
        <f t="shared" si="9"/>
        <v>88.64</v>
      </c>
      <c r="G62" s="60">
        <f t="shared" si="9"/>
        <v>129.84</v>
      </c>
      <c r="H62" s="60">
        <f t="shared" si="9"/>
        <v>183.24</v>
      </c>
      <c r="I62" s="60">
        <f t="shared" si="9"/>
        <v>208.64000000000001</v>
      </c>
      <c r="J62" s="60">
        <f t="shared" si="9"/>
        <v>259.04000000000002</v>
      </c>
      <c r="K62" s="60">
        <f t="shared" si="9"/>
        <v>305.84000000000003</v>
      </c>
      <c r="L62" s="60">
        <f t="shared" si="9"/>
        <v>373.24</v>
      </c>
      <c r="M62" s="60">
        <f t="shared" si="9"/>
        <v>321.64000000000004</v>
      </c>
      <c r="N62" s="60">
        <f t="shared" ref="N62" si="10">SUM(N49:N61)</f>
        <v>304.24000000000007</v>
      </c>
      <c r="O62" s="60">
        <f t="shared" si="9"/>
        <v>302.14000000000004</v>
      </c>
      <c r="P62" s="60">
        <f t="shared" si="9"/>
        <v>297.14000000000004</v>
      </c>
      <c r="Q62" s="60">
        <f t="shared" si="9"/>
        <v>292.44000000000005</v>
      </c>
      <c r="R62" s="60">
        <f t="shared" si="9"/>
        <v>279.94000000000005</v>
      </c>
      <c r="S62" s="60">
        <f t="shared" si="9"/>
        <v>260.24</v>
      </c>
      <c r="T62" s="60">
        <f t="shared" si="9"/>
        <v>241.24</v>
      </c>
      <c r="U62" s="60">
        <f t="shared" si="9"/>
        <v>244.74</v>
      </c>
      <c r="V62" s="60">
        <f t="shared" si="9"/>
        <v>225.94</v>
      </c>
      <c r="W62" s="60">
        <f t="shared" si="9"/>
        <v>222.14</v>
      </c>
      <c r="X62" s="60">
        <f t="shared" si="9"/>
        <v>276.34000000000003</v>
      </c>
      <c r="Y62" s="60">
        <f t="shared" si="9"/>
        <v>325.84000000000009</v>
      </c>
      <c r="Z62" s="60">
        <f t="shared" si="9"/>
        <v>325.94000000000005</v>
      </c>
      <c r="AA62" s="60">
        <f t="shared" si="9"/>
        <v>312.44000000000005</v>
      </c>
      <c r="AB62" s="60">
        <f t="shared" si="9"/>
        <v>289.74000000000007</v>
      </c>
      <c r="AC62" s="60">
        <f t="shared" si="9"/>
        <v>258.54000000000002</v>
      </c>
      <c r="AD62" s="60">
        <f t="shared" si="9"/>
        <v>253.54000000000002</v>
      </c>
      <c r="AE62" s="60">
        <f t="shared" si="9"/>
        <v>159.63999999999999</v>
      </c>
      <c r="AF62" s="60">
        <f t="shared" si="9"/>
        <v>109.44</v>
      </c>
      <c r="AG62" s="61">
        <f t="shared" si="9"/>
        <v>489.91</v>
      </c>
      <c r="AH62" s="47">
        <f t="shared" si="2"/>
        <v>373.24</v>
      </c>
      <c r="AI62" s="48">
        <f t="shared" si="3"/>
        <v>88.240000000000009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29.2</v>
      </c>
      <c r="R63" s="45">
        <v>29.2</v>
      </c>
      <c r="S63" s="45">
        <v>29.7</v>
      </c>
      <c r="T63" s="45">
        <v>59.5</v>
      </c>
      <c r="U63" s="45">
        <v>59.8</v>
      </c>
      <c r="V63" s="45">
        <v>40</v>
      </c>
      <c r="W63" s="45">
        <v>14</v>
      </c>
      <c r="X63" s="45">
        <v>20.2</v>
      </c>
      <c r="Y63" s="670">
        <v>40.4</v>
      </c>
      <c r="Z63" s="45">
        <v>40.4</v>
      </c>
      <c r="AA63" s="45">
        <v>29.5</v>
      </c>
      <c r="AB63" s="45">
        <v>15</v>
      </c>
      <c r="AC63" s="45">
        <v>10.199999999999999</v>
      </c>
      <c r="AD63" s="45">
        <v>30</v>
      </c>
      <c r="AE63" s="45">
        <v>20</v>
      </c>
      <c r="AF63" s="45">
        <v>0</v>
      </c>
      <c r="AG63" s="51">
        <v>60</v>
      </c>
      <c r="AH63" s="47">
        <f t="shared" si="2"/>
        <v>59.8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4.5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45">
        <v>13</v>
      </c>
      <c r="R64" s="45">
        <v>13</v>
      </c>
      <c r="S64" s="65">
        <v>14.4</v>
      </c>
      <c r="T64" s="65">
        <v>26.3</v>
      </c>
      <c r="U64" s="65">
        <v>27.5</v>
      </c>
      <c r="V64" s="65">
        <v>27.8</v>
      </c>
      <c r="W64" s="65">
        <v>13.1</v>
      </c>
      <c r="X64" s="65">
        <v>10.3</v>
      </c>
      <c r="Y64" s="667">
        <v>18.100000000000001</v>
      </c>
      <c r="Z64" s="65">
        <v>15.9</v>
      </c>
      <c r="AA64" s="65">
        <v>13.8</v>
      </c>
      <c r="AB64" s="65">
        <v>4.5999999999999996</v>
      </c>
      <c r="AC64" s="65">
        <v>14</v>
      </c>
      <c r="AD64" s="65">
        <v>13</v>
      </c>
      <c r="AE64" s="65">
        <v>9</v>
      </c>
      <c r="AF64" s="45">
        <v>0</v>
      </c>
      <c r="AG64" s="54">
        <v>32</v>
      </c>
      <c r="AH64" s="47">
        <f t="shared" si="2"/>
        <v>27.8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1.6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0</v>
      </c>
      <c r="N65" s="67">
        <v>0</v>
      </c>
      <c r="O65" s="67">
        <v>0</v>
      </c>
      <c r="P65" s="67">
        <v>0</v>
      </c>
      <c r="Q65" s="45">
        <v>4.8</v>
      </c>
      <c r="R65" s="45">
        <v>4.8</v>
      </c>
      <c r="S65" s="67">
        <v>5.3</v>
      </c>
      <c r="T65" s="67">
        <v>9.6</v>
      </c>
      <c r="U65" s="67">
        <v>10.1</v>
      </c>
      <c r="V65" s="67">
        <v>10.1</v>
      </c>
      <c r="W65" s="67">
        <v>4.8</v>
      </c>
      <c r="X65" s="67">
        <v>3.8</v>
      </c>
      <c r="Y65" s="675">
        <v>6.6</v>
      </c>
      <c r="Z65" s="67">
        <v>5.8</v>
      </c>
      <c r="AA65" s="67">
        <v>5</v>
      </c>
      <c r="AB65" s="67">
        <v>1.7</v>
      </c>
      <c r="AC65" s="67">
        <v>5.0999999999999996</v>
      </c>
      <c r="AD65" s="67">
        <v>5</v>
      </c>
      <c r="AE65" s="67">
        <v>3.2</v>
      </c>
      <c r="AF65" s="45">
        <v>0</v>
      </c>
      <c r="AG65" s="68">
        <v>14</v>
      </c>
      <c r="AH65" s="47">
        <f t="shared" si="2"/>
        <v>10.1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0</v>
      </c>
      <c r="M66" s="60">
        <f t="shared" ref="M66:AF66" si="11">M63+M64+M65</f>
        <v>0</v>
      </c>
      <c r="N66" s="60">
        <f t="shared" ref="N66" si="12">N63+N64+N65</f>
        <v>0</v>
      </c>
      <c r="O66" s="60">
        <f t="shared" si="11"/>
        <v>0</v>
      </c>
      <c r="P66" s="60">
        <f t="shared" si="11"/>
        <v>0</v>
      </c>
      <c r="Q66" s="60">
        <f t="shared" si="11"/>
        <v>47</v>
      </c>
      <c r="R66" s="60">
        <f t="shared" si="11"/>
        <v>47</v>
      </c>
      <c r="S66" s="60">
        <f t="shared" si="11"/>
        <v>49.4</v>
      </c>
      <c r="T66" s="60">
        <f t="shared" si="11"/>
        <v>95.399999999999991</v>
      </c>
      <c r="U66" s="60">
        <f t="shared" si="11"/>
        <v>97.399999999999991</v>
      </c>
      <c r="V66" s="60">
        <f t="shared" si="11"/>
        <v>77.899999999999991</v>
      </c>
      <c r="W66" s="60">
        <f t="shared" si="11"/>
        <v>31.900000000000002</v>
      </c>
      <c r="X66" s="60">
        <f t="shared" si="11"/>
        <v>34.299999999999997</v>
      </c>
      <c r="Y66" s="673">
        <v>65.099999999999994</v>
      </c>
      <c r="Z66" s="60">
        <f t="shared" si="11"/>
        <v>62.099999999999994</v>
      </c>
      <c r="AA66" s="60">
        <f t="shared" si="11"/>
        <v>48.3</v>
      </c>
      <c r="AB66" s="60">
        <f t="shared" si="11"/>
        <v>21.3</v>
      </c>
      <c r="AC66" s="60">
        <f t="shared" si="11"/>
        <v>29.299999999999997</v>
      </c>
      <c r="AD66" s="60">
        <f t="shared" si="11"/>
        <v>48</v>
      </c>
      <c r="AE66" s="60">
        <f t="shared" si="11"/>
        <v>32.200000000000003</v>
      </c>
      <c r="AF66" s="60">
        <f t="shared" si="11"/>
        <v>0</v>
      </c>
      <c r="AG66" s="61">
        <f>SUM(AG63:AG65)</f>
        <v>106</v>
      </c>
      <c r="AH66" s="47">
        <f t="shared" si="2"/>
        <v>97.399999999999991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68.599999999999994</v>
      </c>
      <c r="C67" s="45">
        <v>58</v>
      </c>
      <c r="D67" s="45">
        <v>76.400000000000006</v>
      </c>
      <c r="E67" s="45">
        <v>67</v>
      </c>
      <c r="F67" s="45">
        <v>66.599999999999994</v>
      </c>
      <c r="G67" s="45">
        <v>65</v>
      </c>
      <c r="H67" s="45">
        <v>73</v>
      </c>
      <c r="I67" s="45">
        <v>66.900000000000006</v>
      </c>
      <c r="J67" s="45">
        <v>69.900000000000006</v>
      </c>
      <c r="K67" s="45">
        <v>63</v>
      </c>
      <c r="L67" s="45">
        <v>70.8</v>
      </c>
      <c r="M67" s="45">
        <v>63.3</v>
      </c>
      <c r="N67" s="45">
        <v>68.900000000000006</v>
      </c>
      <c r="O67" s="45">
        <v>61.4</v>
      </c>
      <c r="P67" s="45">
        <v>59.5</v>
      </c>
      <c r="Q67" s="45">
        <v>60</v>
      </c>
      <c r="R67" s="45">
        <v>63</v>
      </c>
      <c r="S67" s="45">
        <v>53.7</v>
      </c>
      <c r="T67" s="45">
        <v>69</v>
      </c>
      <c r="U67" s="45">
        <v>64</v>
      </c>
      <c r="V67" s="45">
        <v>60.2</v>
      </c>
      <c r="W67" s="45">
        <v>71.5</v>
      </c>
      <c r="X67" s="45">
        <v>60.2</v>
      </c>
      <c r="Y67" s="671">
        <v>71</v>
      </c>
      <c r="Z67" s="45">
        <v>61.2</v>
      </c>
      <c r="AA67" s="45">
        <v>62.2</v>
      </c>
      <c r="AB67" s="45">
        <v>62.1</v>
      </c>
      <c r="AC67" s="45">
        <v>68</v>
      </c>
      <c r="AD67" s="45">
        <v>50</v>
      </c>
      <c r="AE67" s="45">
        <v>66</v>
      </c>
      <c r="AF67" s="45">
        <v>66.3</v>
      </c>
      <c r="AG67" s="51"/>
      <c r="AH67" s="47">
        <f t="shared" si="2"/>
        <v>76.400000000000006</v>
      </c>
      <c r="AI67" s="48">
        <f t="shared" si="3"/>
        <v>50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71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337</v>
      </c>
      <c r="C69" s="65">
        <v>339.1</v>
      </c>
      <c r="D69" s="65">
        <v>331.8</v>
      </c>
      <c r="E69" s="65">
        <v>343</v>
      </c>
      <c r="F69" s="65">
        <v>375</v>
      </c>
      <c r="G69" s="65">
        <v>365</v>
      </c>
      <c r="H69" s="65">
        <v>360</v>
      </c>
      <c r="I69" s="65">
        <v>356</v>
      </c>
      <c r="J69" s="65">
        <v>340</v>
      </c>
      <c r="K69" s="65">
        <v>272</v>
      </c>
      <c r="L69" s="65">
        <v>270</v>
      </c>
      <c r="M69" s="65">
        <v>301</v>
      </c>
      <c r="N69" s="65">
        <v>285</v>
      </c>
      <c r="O69" s="65">
        <v>265</v>
      </c>
      <c r="P69" s="65">
        <v>321</v>
      </c>
      <c r="Q69" s="65">
        <v>300</v>
      </c>
      <c r="R69" s="65">
        <v>335</v>
      </c>
      <c r="S69" s="65">
        <v>335</v>
      </c>
      <c r="T69" s="65">
        <v>348.5</v>
      </c>
      <c r="U69" s="65">
        <v>334</v>
      </c>
      <c r="V69" s="65">
        <v>335</v>
      </c>
      <c r="W69" s="65">
        <v>332</v>
      </c>
      <c r="X69" s="65">
        <v>320.10000000000002</v>
      </c>
      <c r="Y69" s="671">
        <v>276</v>
      </c>
      <c r="Z69" s="65">
        <v>260.5</v>
      </c>
      <c r="AA69" s="65">
        <v>269.3</v>
      </c>
      <c r="AB69" s="65">
        <v>269</v>
      </c>
      <c r="AC69" s="65">
        <v>300</v>
      </c>
      <c r="AD69" s="65">
        <v>280</v>
      </c>
      <c r="AE69" s="65">
        <v>315</v>
      </c>
      <c r="AF69" s="65">
        <v>322</v>
      </c>
      <c r="AG69" s="75"/>
      <c r="AH69" s="47">
        <f t="shared" si="2"/>
        <v>375</v>
      </c>
      <c r="AI69" s="48">
        <f t="shared" si="3"/>
        <v>260.5</v>
      </c>
      <c r="AK69" s="49"/>
    </row>
    <row r="70" spans="1:40" x14ac:dyDescent="0.25">
      <c r="A70" s="53" t="s">
        <v>78</v>
      </c>
      <c r="B70" s="76">
        <v>60.8</v>
      </c>
      <c r="C70" s="76">
        <v>54.5</v>
      </c>
      <c r="D70" s="76">
        <v>58</v>
      </c>
      <c r="E70" s="76">
        <v>60.3</v>
      </c>
      <c r="F70" s="76">
        <v>61</v>
      </c>
      <c r="G70" s="76">
        <v>55.4</v>
      </c>
      <c r="H70" s="76">
        <v>56.3</v>
      </c>
      <c r="I70" s="76">
        <v>60.5</v>
      </c>
      <c r="J70" s="76">
        <v>61.4</v>
      </c>
      <c r="K70" s="76">
        <v>53.9</v>
      </c>
      <c r="L70" s="76">
        <v>63.2</v>
      </c>
      <c r="M70" s="76">
        <v>63.1</v>
      </c>
      <c r="N70" s="76">
        <v>52.3</v>
      </c>
      <c r="O70" s="76">
        <v>59</v>
      </c>
      <c r="P70" s="76">
        <v>59.1</v>
      </c>
      <c r="Q70" s="76">
        <v>59.1</v>
      </c>
      <c r="R70" s="76">
        <v>59.1</v>
      </c>
      <c r="S70" s="76">
        <v>46</v>
      </c>
      <c r="T70" s="76">
        <v>49</v>
      </c>
      <c r="U70" s="76">
        <v>45</v>
      </c>
      <c r="V70" s="76">
        <v>52.7</v>
      </c>
      <c r="W70" s="76">
        <v>51</v>
      </c>
      <c r="X70" s="65">
        <v>41</v>
      </c>
      <c r="Y70" s="671">
        <v>47.2</v>
      </c>
      <c r="Z70" s="65">
        <v>46.5</v>
      </c>
      <c r="AA70" s="65">
        <v>47</v>
      </c>
      <c r="AB70" s="65">
        <v>52.7</v>
      </c>
      <c r="AC70" s="65">
        <v>52.3</v>
      </c>
      <c r="AD70" s="65">
        <v>52.3</v>
      </c>
      <c r="AE70" s="65">
        <v>52</v>
      </c>
      <c r="AF70" s="65">
        <v>50</v>
      </c>
      <c r="AG70" s="75"/>
      <c r="AH70" s="47">
        <f t="shared" si="2"/>
        <v>63.2</v>
      </c>
      <c r="AI70" s="48">
        <f t="shared" si="3"/>
        <v>41</v>
      </c>
      <c r="AK70" s="49"/>
    </row>
    <row r="71" spans="1:40" x14ac:dyDescent="0.25">
      <c r="A71" s="53" t="s">
        <v>79</v>
      </c>
      <c r="B71" s="45">
        <v>21.3</v>
      </c>
      <c r="C71" s="45">
        <v>24</v>
      </c>
      <c r="D71" s="45">
        <v>23</v>
      </c>
      <c r="E71" s="45">
        <v>24</v>
      </c>
      <c r="F71" s="45">
        <v>21</v>
      </c>
      <c r="G71" s="45">
        <v>21.2</v>
      </c>
      <c r="H71" s="45">
        <v>22</v>
      </c>
      <c r="I71" s="45">
        <v>21.6</v>
      </c>
      <c r="J71" s="45">
        <v>22</v>
      </c>
      <c r="K71" s="45">
        <v>22</v>
      </c>
      <c r="L71" s="45">
        <v>24</v>
      </c>
      <c r="M71" s="45">
        <v>64</v>
      </c>
      <c r="N71" s="45">
        <v>66</v>
      </c>
      <c r="O71" s="45">
        <v>60</v>
      </c>
      <c r="P71" s="45">
        <v>20.5</v>
      </c>
      <c r="Q71" s="45">
        <v>20.5</v>
      </c>
      <c r="R71" s="45">
        <v>20.5</v>
      </c>
      <c r="S71" s="45">
        <v>33</v>
      </c>
      <c r="T71" s="45">
        <v>32</v>
      </c>
      <c r="U71" s="45">
        <v>32</v>
      </c>
      <c r="V71" s="45">
        <v>33</v>
      </c>
      <c r="W71" s="45">
        <v>59</v>
      </c>
      <c r="X71" s="45">
        <v>60</v>
      </c>
      <c r="Y71" s="671">
        <v>60</v>
      </c>
      <c r="Z71" s="45">
        <v>60</v>
      </c>
      <c r="AA71" s="45">
        <v>55</v>
      </c>
      <c r="AB71" s="45">
        <v>55</v>
      </c>
      <c r="AC71" s="45">
        <v>23</v>
      </c>
      <c r="AD71" s="45">
        <v>23</v>
      </c>
      <c r="AE71" s="45">
        <v>23</v>
      </c>
      <c r="AF71" s="45">
        <v>23</v>
      </c>
      <c r="AG71" s="75"/>
      <c r="AH71" s="47">
        <f t="shared" si="2"/>
        <v>66</v>
      </c>
      <c r="AI71" s="48">
        <f t="shared" si="3"/>
        <v>20.5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0</v>
      </c>
      <c r="AG72" s="75"/>
      <c r="AH72" s="47">
        <f t="shared" si="2"/>
        <v>5</v>
      </c>
      <c r="AI72" s="48">
        <f t="shared" si="3"/>
        <v>0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13">MAX(B75:AF75)</f>
        <v>0</v>
      </c>
      <c r="AI75" s="48">
        <f t="shared" ref="AI75:AI113" si="14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13"/>
        <v>0</v>
      </c>
      <c r="AI76" s="48">
        <f t="shared" si="14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13"/>
        <v>0</v>
      </c>
      <c r="AI77" s="48">
        <f t="shared" si="14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F78" si="15">SUMIF(B67:B77,"&gt;0")</f>
        <v>492.70000000000005</v>
      </c>
      <c r="C78" s="60">
        <f t="shared" si="15"/>
        <v>480.6</v>
      </c>
      <c r="D78" s="60">
        <f t="shared" si="15"/>
        <v>494.20000000000005</v>
      </c>
      <c r="E78" s="60">
        <f t="shared" si="15"/>
        <v>499.3</v>
      </c>
      <c r="F78" s="60">
        <f t="shared" si="15"/>
        <v>528.6</v>
      </c>
      <c r="G78" s="60">
        <f t="shared" si="15"/>
        <v>511.59999999999997</v>
      </c>
      <c r="H78" s="60">
        <f t="shared" si="15"/>
        <v>516.29999999999995</v>
      </c>
      <c r="I78" s="60">
        <f t="shared" si="15"/>
        <v>510</v>
      </c>
      <c r="J78" s="60">
        <f t="shared" si="15"/>
        <v>498.29999999999995</v>
      </c>
      <c r="K78" s="60">
        <f t="shared" si="15"/>
        <v>415.9</v>
      </c>
      <c r="L78" s="60">
        <f t="shared" si="15"/>
        <v>433</v>
      </c>
      <c r="M78" s="60">
        <f t="shared" si="15"/>
        <v>496.40000000000003</v>
      </c>
      <c r="N78" s="60">
        <f t="shared" ref="N78" si="16">SUMIF(N67:N77,"&gt;0")</f>
        <v>477.2</v>
      </c>
      <c r="O78" s="60">
        <f t="shared" si="15"/>
        <v>450.4</v>
      </c>
      <c r="P78" s="60">
        <f t="shared" si="15"/>
        <v>465.1</v>
      </c>
      <c r="Q78" s="60">
        <f t="shared" si="15"/>
        <v>444.6</v>
      </c>
      <c r="R78" s="60">
        <f t="shared" si="15"/>
        <v>482.6</v>
      </c>
      <c r="S78" s="60">
        <f t="shared" si="15"/>
        <v>472.7</v>
      </c>
      <c r="T78" s="60">
        <f t="shared" si="15"/>
        <v>503.5</v>
      </c>
      <c r="U78" s="60">
        <f t="shared" si="15"/>
        <v>480</v>
      </c>
      <c r="V78" s="60">
        <f t="shared" si="15"/>
        <v>485.9</v>
      </c>
      <c r="W78" s="60">
        <f t="shared" si="15"/>
        <v>518.5</v>
      </c>
      <c r="X78" s="60">
        <f t="shared" si="15"/>
        <v>486.3</v>
      </c>
      <c r="Y78" s="60">
        <f t="shared" si="15"/>
        <v>459.2</v>
      </c>
      <c r="Z78" s="60">
        <f t="shared" si="15"/>
        <v>433.2</v>
      </c>
      <c r="AA78" s="60">
        <f t="shared" si="15"/>
        <v>438.5</v>
      </c>
      <c r="AB78" s="60">
        <f t="shared" si="15"/>
        <v>443.8</v>
      </c>
      <c r="AC78" s="60">
        <f t="shared" si="15"/>
        <v>448.3</v>
      </c>
      <c r="AD78" s="60">
        <f t="shared" si="15"/>
        <v>410.3</v>
      </c>
      <c r="AE78" s="60">
        <f t="shared" si="15"/>
        <v>461</v>
      </c>
      <c r="AF78" s="60">
        <f t="shared" si="15"/>
        <v>461.3</v>
      </c>
      <c r="AG78" s="88">
        <f>SUM(AG67:AG77)</f>
        <v>0</v>
      </c>
      <c r="AH78" s="47">
        <f t="shared" si="13"/>
        <v>528.6</v>
      </c>
      <c r="AI78" s="48">
        <f t="shared" si="14"/>
        <v>410.3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13"/>
        <v>0</v>
      </c>
      <c r="AI79" s="48">
        <f t="shared" si="14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13"/>
        <v>0</v>
      </c>
      <c r="AI80" s="48">
        <f t="shared" si="14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13"/>
        <v>0</v>
      </c>
      <c r="AI81" s="48">
        <f t="shared" si="14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>
        <v>0</v>
      </c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13"/>
        <v>0</v>
      </c>
      <c r="AI82" s="48">
        <f t="shared" si="14"/>
        <v>0</v>
      </c>
    </row>
    <row r="83" spans="1:37" ht="15.75" thickBot="1" x14ac:dyDescent="0.3">
      <c r="A83" s="74" t="s">
        <v>94</v>
      </c>
      <c r="B83" s="95">
        <f>B44+B48+B66+B62+B78+B82</f>
        <v>1017.94</v>
      </c>
      <c r="C83" s="95">
        <f t="shared" ref="C83:AG83" si="17">C44+C48+C66+C62+C78+C82</f>
        <v>1008.34</v>
      </c>
      <c r="D83" s="95">
        <f t="shared" si="17"/>
        <v>1007.1400000000001</v>
      </c>
      <c r="E83" s="95">
        <f t="shared" si="17"/>
        <v>998.24</v>
      </c>
      <c r="F83" s="95">
        <f t="shared" si="17"/>
        <v>1026.24</v>
      </c>
      <c r="G83" s="95">
        <f t="shared" si="17"/>
        <v>1063.1400000000001</v>
      </c>
      <c r="H83" s="95">
        <f t="shared" si="17"/>
        <v>1184.04</v>
      </c>
      <c r="I83" s="95">
        <f t="shared" si="17"/>
        <v>1170.24</v>
      </c>
      <c r="J83" s="95">
        <f t="shared" si="17"/>
        <v>1228.54</v>
      </c>
      <c r="K83" s="95">
        <f t="shared" si="17"/>
        <v>1298.74</v>
      </c>
      <c r="L83" s="95">
        <f t="shared" si="17"/>
        <v>1392.1399999999999</v>
      </c>
      <c r="M83" s="95">
        <f t="shared" si="17"/>
        <v>1413.94</v>
      </c>
      <c r="N83" s="95">
        <f t="shared" ref="N83" si="18">N44+N48+N66+N62+N78+N82</f>
        <v>1317.54</v>
      </c>
      <c r="O83" s="95">
        <f t="shared" si="17"/>
        <v>1288.6399999999999</v>
      </c>
      <c r="P83" s="95">
        <f t="shared" si="17"/>
        <v>1278.3400000000001</v>
      </c>
      <c r="Q83" s="95">
        <f t="shared" si="17"/>
        <v>1315.1399999999999</v>
      </c>
      <c r="R83" s="95">
        <f t="shared" si="17"/>
        <v>1315.6399999999999</v>
      </c>
      <c r="S83" s="95">
        <f t="shared" si="17"/>
        <v>1282.94</v>
      </c>
      <c r="T83" s="95">
        <f t="shared" si="17"/>
        <v>1347.1399999999999</v>
      </c>
      <c r="U83" s="95">
        <f t="shared" si="17"/>
        <v>1331.8400000000001</v>
      </c>
      <c r="V83" s="95">
        <f t="shared" si="17"/>
        <v>1219.2399999999998</v>
      </c>
      <c r="W83" s="95">
        <f t="shared" si="17"/>
        <v>1205.94</v>
      </c>
      <c r="X83" s="95">
        <f t="shared" si="17"/>
        <v>1310.74</v>
      </c>
      <c r="Y83" s="95">
        <f t="shared" si="17"/>
        <v>1439.5400000000002</v>
      </c>
      <c r="Z83" s="95">
        <f t="shared" si="17"/>
        <v>1395.3400000000001</v>
      </c>
      <c r="AA83" s="95">
        <f t="shared" si="17"/>
        <v>1333.3400000000001</v>
      </c>
      <c r="AB83" s="95">
        <f t="shared" si="17"/>
        <v>1268.94</v>
      </c>
      <c r="AC83" s="95">
        <f t="shared" si="17"/>
        <v>1270.8399999999999</v>
      </c>
      <c r="AD83" s="95">
        <f t="shared" si="17"/>
        <v>1259.6399999999999</v>
      </c>
      <c r="AE83" s="95">
        <f t="shared" si="17"/>
        <v>1160.6399999999999</v>
      </c>
      <c r="AF83" s="95">
        <f t="shared" si="17"/>
        <v>1028.54</v>
      </c>
      <c r="AG83" s="61">
        <f t="shared" si="17"/>
        <v>2004.1900000000003</v>
      </c>
      <c r="AH83" s="47">
        <f>MAX(B83:AF83)</f>
        <v>1439.5400000000002</v>
      </c>
      <c r="AI83" s="48">
        <f>MIN(B83:AF83)</f>
        <v>998.24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>
        <v>150</v>
      </c>
      <c r="L84" s="97">
        <v>150</v>
      </c>
      <c r="M84" s="97">
        <v>150</v>
      </c>
      <c r="N84" s="97">
        <v>151</v>
      </c>
      <c r="O84" s="97">
        <v>100</v>
      </c>
      <c r="P84" s="97"/>
      <c r="Q84" s="97"/>
      <c r="R84" s="97"/>
      <c r="S84" s="97"/>
      <c r="T84" s="97"/>
      <c r="U84" s="97"/>
      <c r="V84" s="97"/>
      <c r="W84" s="97"/>
      <c r="X84" s="97">
        <v>180</v>
      </c>
      <c r="Y84" s="97">
        <v>180</v>
      </c>
      <c r="Z84" s="97">
        <v>180</v>
      </c>
      <c r="AA84" s="97">
        <v>180</v>
      </c>
      <c r="AB84" s="97">
        <v>130</v>
      </c>
      <c r="AC84" s="97">
        <v>100</v>
      </c>
      <c r="AD84" s="97"/>
      <c r="AE84" s="97"/>
      <c r="AF84" s="97"/>
      <c r="AG84" s="88"/>
      <c r="AH84" s="47">
        <f t="shared" si="13"/>
        <v>180</v>
      </c>
      <c r="AI84" s="48">
        <f t="shared" si="14"/>
        <v>100</v>
      </c>
    </row>
    <row r="85" spans="1:37" ht="15.75" thickBot="1" x14ac:dyDescent="0.3">
      <c r="A85" s="74" t="s">
        <v>96</v>
      </c>
      <c r="B85" s="95">
        <f>B83+B84</f>
        <v>1017.94</v>
      </c>
      <c r="C85" s="95">
        <f t="shared" ref="C85:AF85" si="19">C83+C84</f>
        <v>1008.34</v>
      </c>
      <c r="D85" s="95">
        <f t="shared" si="19"/>
        <v>1007.1400000000001</v>
      </c>
      <c r="E85" s="95">
        <f t="shared" si="19"/>
        <v>998.24</v>
      </c>
      <c r="F85" s="95">
        <f t="shared" si="19"/>
        <v>1026.24</v>
      </c>
      <c r="G85" s="95">
        <f t="shared" si="19"/>
        <v>1063.1400000000001</v>
      </c>
      <c r="H85" s="95">
        <f t="shared" si="19"/>
        <v>1184.04</v>
      </c>
      <c r="I85" s="95">
        <f t="shared" si="19"/>
        <v>1170.24</v>
      </c>
      <c r="J85" s="95">
        <f t="shared" si="19"/>
        <v>1228.54</v>
      </c>
      <c r="K85" s="95">
        <f t="shared" si="19"/>
        <v>1448.74</v>
      </c>
      <c r="L85" s="95">
        <f t="shared" si="19"/>
        <v>1542.1399999999999</v>
      </c>
      <c r="M85" s="95">
        <f t="shared" si="19"/>
        <v>1563.94</v>
      </c>
      <c r="N85" s="95">
        <f t="shared" ref="N85" si="20">N83+N84</f>
        <v>1468.54</v>
      </c>
      <c r="O85" s="95">
        <f t="shared" si="19"/>
        <v>1388.6399999999999</v>
      </c>
      <c r="P85" s="95">
        <f t="shared" si="19"/>
        <v>1278.3400000000001</v>
      </c>
      <c r="Q85" s="95">
        <f t="shared" si="19"/>
        <v>1315.1399999999999</v>
      </c>
      <c r="R85" s="95">
        <f t="shared" si="19"/>
        <v>1315.6399999999999</v>
      </c>
      <c r="S85" s="95">
        <f t="shared" si="19"/>
        <v>1282.94</v>
      </c>
      <c r="T85" s="95">
        <f t="shared" si="19"/>
        <v>1347.1399999999999</v>
      </c>
      <c r="U85" s="95">
        <f t="shared" si="19"/>
        <v>1331.8400000000001</v>
      </c>
      <c r="V85" s="95">
        <f t="shared" si="19"/>
        <v>1219.2399999999998</v>
      </c>
      <c r="W85" s="95">
        <f t="shared" si="19"/>
        <v>1205.94</v>
      </c>
      <c r="X85" s="95">
        <f t="shared" si="19"/>
        <v>1490.74</v>
      </c>
      <c r="Y85" s="95">
        <f t="shared" si="19"/>
        <v>1619.5400000000002</v>
      </c>
      <c r="Z85" s="95">
        <f t="shared" si="19"/>
        <v>1575.3400000000001</v>
      </c>
      <c r="AA85" s="95">
        <f t="shared" si="19"/>
        <v>1513.3400000000001</v>
      </c>
      <c r="AB85" s="95">
        <f t="shared" si="19"/>
        <v>1398.94</v>
      </c>
      <c r="AC85" s="95">
        <f t="shared" si="19"/>
        <v>1370.84</v>
      </c>
      <c r="AD85" s="95">
        <f t="shared" si="19"/>
        <v>1259.6399999999999</v>
      </c>
      <c r="AE85" s="95">
        <f t="shared" si="19"/>
        <v>1160.6399999999999</v>
      </c>
      <c r="AF85" s="95">
        <f t="shared" si="19"/>
        <v>1028.54</v>
      </c>
      <c r="AG85" s="88">
        <f>AG82+AG78+AG66+AG62+AG44+AG84</f>
        <v>1466.0900000000001</v>
      </c>
      <c r="AH85" s="47">
        <f t="shared" si="13"/>
        <v>1619.5400000000002</v>
      </c>
      <c r="AI85" s="48">
        <f t="shared" si="14"/>
        <v>998.24</v>
      </c>
    </row>
    <row r="86" spans="1:37" ht="15.75" thickBot="1" x14ac:dyDescent="0.3">
      <c r="A86" s="74" t="s">
        <v>97</v>
      </c>
      <c r="B86" s="95">
        <f t="shared" ref="B86:AF86" si="21">B85-B93</f>
        <v>1017.94</v>
      </c>
      <c r="C86" s="95">
        <f t="shared" si="21"/>
        <v>1008.34</v>
      </c>
      <c r="D86" s="95">
        <f t="shared" si="21"/>
        <v>1007.1400000000001</v>
      </c>
      <c r="E86" s="95">
        <f t="shared" si="21"/>
        <v>998.24</v>
      </c>
      <c r="F86" s="95">
        <f t="shared" si="21"/>
        <v>1026.24</v>
      </c>
      <c r="G86" s="95">
        <f t="shared" si="21"/>
        <v>1063.1400000000001</v>
      </c>
      <c r="H86" s="95">
        <f t="shared" si="21"/>
        <v>1184.04</v>
      </c>
      <c r="I86" s="95">
        <f t="shared" si="21"/>
        <v>1170.24</v>
      </c>
      <c r="J86" s="95">
        <f t="shared" si="21"/>
        <v>1228.54</v>
      </c>
      <c r="K86" s="95">
        <f t="shared" si="21"/>
        <v>1448.74</v>
      </c>
      <c r="L86" s="95">
        <f t="shared" si="21"/>
        <v>1542.1399999999999</v>
      </c>
      <c r="M86" s="95">
        <f t="shared" si="21"/>
        <v>1563.94</v>
      </c>
      <c r="N86" s="95">
        <f t="shared" ref="N86" si="22">N85-N93</f>
        <v>1468.54</v>
      </c>
      <c r="O86" s="95">
        <f t="shared" si="21"/>
        <v>1388.6399999999999</v>
      </c>
      <c r="P86" s="95">
        <f t="shared" si="21"/>
        <v>1278.3400000000001</v>
      </c>
      <c r="Q86" s="95">
        <f t="shared" si="21"/>
        <v>1315.1399999999999</v>
      </c>
      <c r="R86" s="95">
        <f t="shared" si="21"/>
        <v>1315.6399999999999</v>
      </c>
      <c r="S86" s="95">
        <f t="shared" si="21"/>
        <v>1282.94</v>
      </c>
      <c r="T86" s="95">
        <f t="shared" si="21"/>
        <v>1347.1399999999999</v>
      </c>
      <c r="U86" s="95">
        <f t="shared" si="21"/>
        <v>1331.8400000000001</v>
      </c>
      <c r="V86" s="95">
        <f t="shared" si="21"/>
        <v>1219.2399999999998</v>
      </c>
      <c r="W86" s="95">
        <f t="shared" si="21"/>
        <v>1205.94</v>
      </c>
      <c r="X86" s="95">
        <f t="shared" si="21"/>
        <v>1490.74</v>
      </c>
      <c r="Y86" s="95">
        <f t="shared" si="21"/>
        <v>1619.5400000000002</v>
      </c>
      <c r="Z86" s="95">
        <f t="shared" si="21"/>
        <v>1575.3400000000001</v>
      </c>
      <c r="AA86" s="95">
        <f t="shared" si="21"/>
        <v>1513.3400000000001</v>
      </c>
      <c r="AB86" s="95">
        <f t="shared" si="21"/>
        <v>1398.94</v>
      </c>
      <c r="AC86" s="95">
        <f t="shared" si="21"/>
        <v>1370.84</v>
      </c>
      <c r="AD86" s="95">
        <f t="shared" si="21"/>
        <v>1259.6399999999999</v>
      </c>
      <c r="AE86" s="95">
        <f t="shared" si="21"/>
        <v>1160.6399999999999</v>
      </c>
      <c r="AF86" s="95">
        <f t="shared" si="21"/>
        <v>1028.54</v>
      </c>
      <c r="AG86" s="88"/>
      <c r="AH86" s="47">
        <f t="shared" si="13"/>
        <v>1619.5400000000002</v>
      </c>
      <c r="AI86" s="48">
        <f t="shared" si="14"/>
        <v>998.24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13"/>
        <v>0</v>
      </c>
      <c r="AI87" s="48">
        <f t="shared" si="14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13"/>
        <v>0</v>
      </c>
      <c r="AI88" s="48">
        <f t="shared" si="14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13"/>
        <v>0</v>
      </c>
      <c r="AI89" s="48">
        <f t="shared" si="14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13"/>
        <v>0</v>
      </c>
      <c r="AI90" s="48">
        <f t="shared" si="14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13"/>
        <v>0</v>
      </c>
      <c r="AI91" s="48">
        <f t="shared" si="14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13"/>
        <v>0</v>
      </c>
      <c r="AI92" s="48">
        <f t="shared" si="14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88"/>
      <c r="AH93" s="47">
        <f t="shared" si="13"/>
        <v>0</v>
      </c>
      <c r="AI93" s="48">
        <f t="shared" si="14"/>
        <v>0</v>
      </c>
      <c r="AK93" s="49"/>
    </row>
    <row r="94" spans="1:37" ht="15.75" thickBot="1" x14ac:dyDescent="0.3">
      <c r="A94" s="74" t="s">
        <v>102</v>
      </c>
      <c r="B94" s="60">
        <f t="shared" ref="B94:AF94" si="23">B78-B93</f>
        <v>492.70000000000005</v>
      </c>
      <c r="C94" s="60">
        <f t="shared" si="23"/>
        <v>480.6</v>
      </c>
      <c r="D94" s="60">
        <f t="shared" si="23"/>
        <v>494.20000000000005</v>
      </c>
      <c r="E94" s="60">
        <f t="shared" si="23"/>
        <v>499.3</v>
      </c>
      <c r="F94" s="60">
        <f t="shared" si="23"/>
        <v>528.6</v>
      </c>
      <c r="G94" s="60">
        <f t="shared" si="23"/>
        <v>511.59999999999997</v>
      </c>
      <c r="H94" s="60">
        <f t="shared" si="23"/>
        <v>516.29999999999995</v>
      </c>
      <c r="I94" s="60">
        <f t="shared" si="23"/>
        <v>510</v>
      </c>
      <c r="J94" s="60">
        <f t="shared" si="23"/>
        <v>498.29999999999995</v>
      </c>
      <c r="K94" s="60">
        <f t="shared" si="23"/>
        <v>415.9</v>
      </c>
      <c r="L94" s="60">
        <f t="shared" si="23"/>
        <v>433</v>
      </c>
      <c r="M94" s="60">
        <f t="shared" si="23"/>
        <v>496.40000000000003</v>
      </c>
      <c r="N94" s="60">
        <f t="shared" ref="N94" si="24">N78-N93</f>
        <v>477.2</v>
      </c>
      <c r="O94" s="60">
        <f t="shared" si="23"/>
        <v>450.4</v>
      </c>
      <c r="P94" s="60">
        <f t="shared" si="23"/>
        <v>465.1</v>
      </c>
      <c r="Q94" s="60">
        <f t="shared" si="23"/>
        <v>444.6</v>
      </c>
      <c r="R94" s="60">
        <f t="shared" si="23"/>
        <v>482.6</v>
      </c>
      <c r="S94" s="60">
        <f t="shared" si="23"/>
        <v>472.7</v>
      </c>
      <c r="T94" s="60">
        <f t="shared" si="23"/>
        <v>503.5</v>
      </c>
      <c r="U94" s="60">
        <f t="shared" si="23"/>
        <v>480</v>
      </c>
      <c r="V94" s="60">
        <f t="shared" si="23"/>
        <v>485.9</v>
      </c>
      <c r="W94" s="60">
        <f t="shared" si="23"/>
        <v>518.5</v>
      </c>
      <c r="X94" s="60">
        <f t="shared" si="23"/>
        <v>486.3</v>
      </c>
      <c r="Y94" s="60">
        <f t="shared" si="23"/>
        <v>459.2</v>
      </c>
      <c r="Z94" s="60">
        <f t="shared" si="23"/>
        <v>433.2</v>
      </c>
      <c r="AA94" s="60">
        <f t="shared" si="23"/>
        <v>438.5</v>
      </c>
      <c r="AB94" s="60">
        <f t="shared" si="23"/>
        <v>443.8</v>
      </c>
      <c r="AC94" s="60">
        <f t="shared" si="23"/>
        <v>448.3</v>
      </c>
      <c r="AD94" s="60">
        <f t="shared" si="23"/>
        <v>410.3</v>
      </c>
      <c r="AE94" s="60">
        <f t="shared" si="23"/>
        <v>461</v>
      </c>
      <c r="AF94" s="60">
        <f t="shared" si="23"/>
        <v>461.3</v>
      </c>
      <c r="AG94" s="88"/>
      <c r="AH94" s="47">
        <f t="shared" si="13"/>
        <v>528.6</v>
      </c>
      <c r="AI94" s="48">
        <f t="shared" si="14"/>
        <v>410.3</v>
      </c>
    </row>
    <row r="95" spans="1:37" x14ac:dyDescent="0.25">
      <c r="A95" s="100" t="s">
        <v>103</v>
      </c>
      <c r="B95" s="101">
        <v>49.83</v>
      </c>
      <c r="C95" s="101">
        <v>49.905999999999999</v>
      </c>
      <c r="D95" s="101">
        <v>50.034999999999997</v>
      </c>
      <c r="E95" s="101">
        <v>49.933</v>
      </c>
      <c r="F95" s="101">
        <v>49.98</v>
      </c>
      <c r="G95" s="101">
        <v>49.902000000000001</v>
      </c>
      <c r="H95" s="101">
        <v>49.886000000000003</v>
      </c>
      <c r="I95" s="101">
        <v>49.929000000000002</v>
      </c>
      <c r="J95" s="101">
        <v>49.985100000000003</v>
      </c>
      <c r="K95" s="101">
        <v>49.984400000000001</v>
      </c>
      <c r="L95" s="101">
        <v>49.831000000000003</v>
      </c>
      <c r="M95" s="101">
        <v>50.05</v>
      </c>
      <c r="N95" s="101">
        <v>49.98</v>
      </c>
      <c r="O95" s="101">
        <v>49.98</v>
      </c>
      <c r="P95" s="101">
        <v>49.98</v>
      </c>
      <c r="Q95" s="101">
        <v>50.12</v>
      </c>
      <c r="R95" s="101">
        <v>49.8</v>
      </c>
      <c r="S95" s="101">
        <v>50.002000000000002</v>
      </c>
      <c r="T95" s="101">
        <v>50.052</v>
      </c>
      <c r="U95" s="101">
        <v>49.92</v>
      </c>
      <c r="V95" s="101">
        <v>49.944000000000003</v>
      </c>
      <c r="W95" s="101">
        <v>50.084000000000003</v>
      </c>
      <c r="X95" s="101">
        <v>49.957999999999998</v>
      </c>
      <c r="Y95" s="101">
        <v>49.854999999999997</v>
      </c>
      <c r="Z95" s="101">
        <v>49.807000000000002</v>
      </c>
      <c r="AA95" s="101">
        <v>49.898000000000003</v>
      </c>
      <c r="AB95" s="101">
        <v>49.975000000000001</v>
      </c>
      <c r="AC95" s="101">
        <v>49.936300000000003</v>
      </c>
      <c r="AD95" s="101">
        <v>50.03</v>
      </c>
      <c r="AE95" s="101">
        <v>50.012</v>
      </c>
      <c r="AF95" s="101">
        <v>50.078000000000003</v>
      </c>
      <c r="AG95" s="102"/>
      <c r="AH95" s="47">
        <f t="shared" si="13"/>
        <v>50.12</v>
      </c>
      <c r="AI95" s="48">
        <f t="shared" si="14"/>
        <v>49.8</v>
      </c>
    </row>
    <row r="96" spans="1:37" x14ac:dyDescent="0.25">
      <c r="A96" s="103" t="s">
        <v>104</v>
      </c>
      <c r="B96" s="65">
        <v>128.19999999999999</v>
      </c>
      <c r="C96" s="65">
        <v>128.30000000000001</v>
      </c>
      <c r="D96" s="65">
        <v>129.4</v>
      </c>
      <c r="E96" s="65">
        <v>129.6</v>
      </c>
      <c r="F96" s="65">
        <v>127.5</v>
      </c>
      <c r="G96" s="65">
        <v>128.5</v>
      </c>
      <c r="H96" s="65">
        <v>127.7</v>
      </c>
      <c r="I96" s="65">
        <v>127.8</v>
      </c>
      <c r="J96" s="65">
        <v>127</v>
      </c>
      <c r="K96" s="65">
        <v>126</v>
      </c>
      <c r="L96" s="65">
        <v>124.7</v>
      </c>
      <c r="M96" s="65">
        <v>126.6</v>
      </c>
      <c r="N96" s="65">
        <v>128.5</v>
      </c>
      <c r="O96" s="65">
        <v>128.5</v>
      </c>
      <c r="P96" s="65">
        <v>128.5</v>
      </c>
      <c r="Q96" s="65">
        <v>125.4</v>
      </c>
      <c r="R96" s="65">
        <v>124.7</v>
      </c>
      <c r="S96" s="65">
        <v>124.6</v>
      </c>
      <c r="T96" s="65">
        <v>125.2</v>
      </c>
      <c r="U96" s="65">
        <v>127.3</v>
      </c>
      <c r="V96" s="65">
        <v>130.19999999999999</v>
      </c>
      <c r="W96" s="65">
        <v>130.4</v>
      </c>
      <c r="X96" s="65">
        <v>129.4</v>
      </c>
      <c r="Y96" s="65">
        <v>128.80000000000001</v>
      </c>
      <c r="Z96" s="65">
        <v>129.80000000000001</v>
      </c>
      <c r="AA96" s="65">
        <v>130.6</v>
      </c>
      <c r="AB96" s="65">
        <v>130.69999999999999</v>
      </c>
      <c r="AC96" s="65">
        <v>128.69999999999999</v>
      </c>
      <c r="AD96" s="65">
        <v>128.19999999999999</v>
      </c>
      <c r="AE96" s="65">
        <v>126.7</v>
      </c>
      <c r="AF96" s="65">
        <v>127.8</v>
      </c>
      <c r="AG96" s="104"/>
      <c r="AH96" s="47">
        <f t="shared" si="13"/>
        <v>130.69999999999999</v>
      </c>
      <c r="AI96" s="48">
        <f t="shared" si="14"/>
        <v>124.6</v>
      </c>
    </row>
    <row r="97" spans="1:35" x14ac:dyDescent="0.25">
      <c r="A97" s="103" t="s">
        <v>105</v>
      </c>
      <c r="B97" s="65">
        <v>131.80000000000001</v>
      </c>
      <c r="C97" s="65">
        <v>131.80000000000001</v>
      </c>
      <c r="D97" s="65">
        <v>132.80000000000001</v>
      </c>
      <c r="E97" s="65">
        <v>132.9</v>
      </c>
      <c r="F97" s="65">
        <v>131.30000000000001</v>
      </c>
      <c r="G97" s="65">
        <v>131.9</v>
      </c>
      <c r="H97" s="65">
        <v>131.19999999999999</v>
      </c>
      <c r="I97" s="65">
        <v>130</v>
      </c>
      <c r="J97" s="65">
        <v>129.4</v>
      </c>
      <c r="K97" s="65">
        <v>127.7</v>
      </c>
      <c r="L97" s="65">
        <v>126.8</v>
      </c>
      <c r="M97" s="65">
        <v>128.69999999999999</v>
      </c>
      <c r="N97" s="65">
        <v>130.30000000000001</v>
      </c>
      <c r="O97" s="65">
        <v>130.30000000000001</v>
      </c>
      <c r="P97" s="65">
        <v>130.30000000000001</v>
      </c>
      <c r="Q97" s="65">
        <v>128.30000000000001</v>
      </c>
      <c r="R97" s="65">
        <v>127.9</v>
      </c>
      <c r="S97" s="65">
        <v>127.8</v>
      </c>
      <c r="T97" s="65">
        <v>128.30000000000001</v>
      </c>
      <c r="U97" s="65">
        <v>130</v>
      </c>
      <c r="V97" s="65">
        <v>131.80000000000001</v>
      </c>
      <c r="W97" s="65">
        <v>131.6</v>
      </c>
      <c r="X97" s="65">
        <v>131</v>
      </c>
      <c r="Y97" s="65">
        <v>130.4</v>
      </c>
      <c r="Z97" s="65">
        <v>131.1</v>
      </c>
      <c r="AA97" s="65">
        <v>132.1</v>
      </c>
      <c r="AB97" s="65">
        <v>132</v>
      </c>
      <c r="AC97" s="65">
        <v>130.9</v>
      </c>
      <c r="AD97" s="65">
        <v>130.80000000000001</v>
      </c>
      <c r="AE97" s="65">
        <v>130.4</v>
      </c>
      <c r="AF97" s="65">
        <v>131.80000000000001</v>
      </c>
      <c r="AG97" s="104"/>
      <c r="AH97" s="47">
        <f t="shared" si="13"/>
        <v>132.9</v>
      </c>
      <c r="AI97" s="48">
        <f t="shared" si="14"/>
        <v>126.8</v>
      </c>
    </row>
    <row r="98" spans="1:35" x14ac:dyDescent="0.25">
      <c r="A98" s="103" t="s">
        <v>106</v>
      </c>
      <c r="B98" s="65">
        <v>131.4</v>
      </c>
      <c r="C98" s="65">
        <v>131.4</v>
      </c>
      <c r="D98" s="65">
        <v>132.4</v>
      </c>
      <c r="E98" s="65">
        <v>131.4</v>
      </c>
      <c r="F98" s="65">
        <v>131</v>
      </c>
      <c r="G98" s="65">
        <v>130.69999999999999</v>
      </c>
      <c r="H98" s="65">
        <v>131.30000000000001</v>
      </c>
      <c r="I98" s="65">
        <v>7</v>
      </c>
      <c r="J98" s="65">
        <v>131.6</v>
      </c>
      <c r="K98" s="65">
        <v>126.9</v>
      </c>
      <c r="L98" s="65">
        <v>127.1</v>
      </c>
      <c r="M98" s="65">
        <v>127.4</v>
      </c>
      <c r="N98" s="65">
        <v>127.1</v>
      </c>
      <c r="O98" s="65">
        <v>127.1</v>
      </c>
      <c r="P98" s="65">
        <v>127.1</v>
      </c>
      <c r="Q98" s="65">
        <v>130.69999999999999</v>
      </c>
      <c r="R98" s="65">
        <v>126</v>
      </c>
      <c r="S98" s="65">
        <v>128.1</v>
      </c>
      <c r="T98" s="65">
        <v>128.5</v>
      </c>
      <c r="U98" s="65">
        <v>127.1</v>
      </c>
      <c r="V98" s="65">
        <v>130.6</v>
      </c>
      <c r="W98" s="65">
        <v>128.30000000000001</v>
      </c>
      <c r="X98" s="65">
        <v>128.69999999999999</v>
      </c>
      <c r="Y98" s="65">
        <v>129</v>
      </c>
      <c r="Z98" s="65">
        <v>129.4</v>
      </c>
      <c r="AA98" s="65">
        <v>131.30000000000001</v>
      </c>
      <c r="AB98" s="65">
        <v>129</v>
      </c>
      <c r="AC98" s="65">
        <v>128.80000000000001</v>
      </c>
      <c r="AD98" s="65">
        <v>128.69999999999999</v>
      </c>
      <c r="AE98" s="65">
        <v>128.6</v>
      </c>
      <c r="AF98" s="65">
        <v>130.1</v>
      </c>
      <c r="AG98" s="104"/>
      <c r="AH98" s="47">
        <f t="shared" si="13"/>
        <v>132.4</v>
      </c>
      <c r="AI98" s="48">
        <f t="shared" si="14"/>
        <v>7</v>
      </c>
    </row>
    <row r="99" spans="1:35" x14ac:dyDescent="0.25">
      <c r="A99" s="105" t="s">
        <v>107</v>
      </c>
      <c r="B99" s="65">
        <v>132.80000000000001</v>
      </c>
      <c r="C99" s="65">
        <v>132.80000000000001</v>
      </c>
      <c r="D99" s="65">
        <v>134</v>
      </c>
      <c r="E99" s="65">
        <v>133.1</v>
      </c>
      <c r="F99" s="65">
        <v>133.5</v>
      </c>
      <c r="G99" s="65">
        <v>133.4</v>
      </c>
      <c r="H99" s="65">
        <v>133.5</v>
      </c>
      <c r="I99" s="65">
        <v>132</v>
      </c>
      <c r="J99" s="65">
        <v>133.6</v>
      </c>
      <c r="K99" s="65">
        <v>130.19999999999999</v>
      </c>
      <c r="L99" s="65">
        <v>130.19999999999999</v>
      </c>
      <c r="M99" s="65">
        <v>129.69999999999999</v>
      </c>
      <c r="N99" s="65">
        <v>130</v>
      </c>
      <c r="O99" s="65">
        <v>130</v>
      </c>
      <c r="P99" s="65">
        <v>130</v>
      </c>
      <c r="Q99" s="65">
        <v>132.4</v>
      </c>
      <c r="R99" s="65">
        <v>129.30000000000001</v>
      </c>
      <c r="S99" s="65">
        <v>130.30000000000001</v>
      </c>
      <c r="T99" s="65">
        <v>130.5</v>
      </c>
      <c r="U99" s="65">
        <v>128.80000000000001</v>
      </c>
      <c r="V99" s="65">
        <v>132.4</v>
      </c>
      <c r="W99" s="65">
        <v>130.4</v>
      </c>
      <c r="X99" s="65">
        <v>132.1</v>
      </c>
      <c r="Y99" s="65">
        <v>133.30000000000001</v>
      </c>
      <c r="Z99" s="65">
        <v>132.1</v>
      </c>
      <c r="AA99" s="65">
        <v>134.5</v>
      </c>
      <c r="AB99" s="65">
        <v>131.1</v>
      </c>
      <c r="AC99" s="65">
        <v>130.6</v>
      </c>
      <c r="AD99" s="65">
        <v>131</v>
      </c>
      <c r="AE99" s="65">
        <v>131.5</v>
      </c>
      <c r="AF99" s="65">
        <v>133.19999999999999</v>
      </c>
      <c r="AG99" s="104"/>
      <c r="AH99" s="47">
        <f t="shared" si="13"/>
        <v>134.5</v>
      </c>
      <c r="AI99" s="48">
        <f t="shared" si="14"/>
        <v>128.80000000000001</v>
      </c>
    </row>
    <row r="100" spans="1:35" x14ac:dyDescent="0.25">
      <c r="A100" s="105" t="s">
        <v>108</v>
      </c>
      <c r="B100" s="106">
        <v>132.6</v>
      </c>
      <c r="C100" s="106">
        <v>132.69999999999999</v>
      </c>
      <c r="D100" s="106">
        <v>133.6</v>
      </c>
      <c r="E100" s="106">
        <v>133.6</v>
      </c>
      <c r="F100" s="106">
        <v>129</v>
      </c>
      <c r="G100" s="106">
        <v>134.4</v>
      </c>
      <c r="H100" s="106">
        <v>133.85</v>
      </c>
      <c r="I100" s="106">
        <v>133.30000000000001</v>
      </c>
      <c r="J100" s="106">
        <v>133.5</v>
      </c>
      <c r="K100" s="106">
        <v>132.6</v>
      </c>
      <c r="L100" s="106">
        <v>131.5</v>
      </c>
      <c r="M100" s="106">
        <v>133</v>
      </c>
      <c r="N100" s="106">
        <v>132.4</v>
      </c>
      <c r="O100" s="106">
        <v>132.4</v>
      </c>
      <c r="P100" s="106">
        <v>132.4</v>
      </c>
      <c r="Q100" s="106">
        <v>134.19999999999999</v>
      </c>
      <c r="R100" s="106">
        <v>132.69999999999999</v>
      </c>
      <c r="S100" s="106">
        <v>133</v>
      </c>
      <c r="T100" s="106">
        <v>133.19999999999999</v>
      </c>
      <c r="U100" s="106">
        <v>136.30000000000001</v>
      </c>
      <c r="V100" s="106">
        <v>137.69999999999999</v>
      </c>
      <c r="W100" s="106">
        <v>137.5</v>
      </c>
      <c r="X100" s="106">
        <v>135.80000000000001</v>
      </c>
      <c r="Y100" s="106">
        <v>133.80000000000001</v>
      </c>
      <c r="Z100" s="106">
        <v>134.80000000000001</v>
      </c>
      <c r="AA100" s="106">
        <v>134.1</v>
      </c>
      <c r="AB100" s="106">
        <v>134.30000000000001</v>
      </c>
      <c r="AC100" s="106">
        <v>133.80000000000001</v>
      </c>
      <c r="AD100" s="106">
        <v>133.4</v>
      </c>
      <c r="AE100" s="106">
        <v>131.4</v>
      </c>
      <c r="AF100" s="106">
        <v>130.9</v>
      </c>
      <c r="AG100" s="107"/>
      <c r="AH100" s="47">
        <f t="shared" si="13"/>
        <v>137.69999999999999</v>
      </c>
      <c r="AI100" s="48">
        <f t="shared" si="14"/>
        <v>129</v>
      </c>
    </row>
    <row r="101" spans="1:35" x14ac:dyDescent="0.25">
      <c r="A101" s="103" t="s">
        <v>109</v>
      </c>
      <c r="B101" s="65">
        <v>134.9</v>
      </c>
      <c r="C101" s="65">
        <v>139.80000000000001</v>
      </c>
      <c r="D101" s="65">
        <v>130.30000000000001</v>
      </c>
      <c r="E101" s="65">
        <v>135.30000000000001</v>
      </c>
      <c r="F101" s="65">
        <v>133</v>
      </c>
      <c r="G101" s="65">
        <v>136.19999999999999</v>
      </c>
      <c r="H101" s="65">
        <v>132.30000000000001</v>
      </c>
      <c r="I101" s="65">
        <v>134</v>
      </c>
      <c r="J101" s="65">
        <v>126.9</v>
      </c>
      <c r="K101" s="65">
        <v>130.30000000000001</v>
      </c>
      <c r="L101" s="65">
        <v>127.8</v>
      </c>
      <c r="M101" s="65">
        <v>128.30000000000001</v>
      </c>
      <c r="N101" s="65">
        <v>131</v>
      </c>
      <c r="O101" s="65">
        <v>131</v>
      </c>
      <c r="P101" s="65">
        <v>131</v>
      </c>
      <c r="Q101" s="65">
        <v>131</v>
      </c>
      <c r="R101" s="65">
        <v>129.9</v>
      </c>
      <c r="S101" s="65">
        <v>130.69999999999999</v>
      </c>
      <c r="T101" s="65">
        <v>129.80000000000001</v>
      </c>
      <c r="U101" s="65">
        <v>127.1</v>
      </c>
      <c r="V101" s="65">
        <v>131.5</v>
      </c>
      <c r="W101" s="65">
        <v>129.1</v>
      </c>
      <c r="X101" s="65">
        <v>130.1</v>
      </c>
      <c r="Y101" s="65">
        <v>134.69999999999999</v>
      </c>
      <c r="Z101" s="65">
        <v>133.5</v>
      </c>
      <c r="AA101" s="65">
        <v>131.4</v>
      </c>
      <c r="AB101" s="65">
        <v>134</v>
      </c>
      <c r="AC101" s="65">
        <v>133.19999999999999</v>
      </c>
      <c r="AD101" s="65">
        <v>135.4</v>
      </c>
      <c r="AE101" s="65">
        <v>139.5</v>
      </c>
      <c r="AF101" s="65">
        <v>134</v>
      </c>
      <c r="AG101" s="104"/>
      <c r="AH101" s="47">
        <f t="shared" si="13"/>
        <v>139.80000000000001</v>
      </c>
      <c r="AI101" s="48">
        <f t="shared" si="14"/>
        <v>126.9</v>
      </c>
    </row>
    <row r="102" spans="1:35" ht="15.75" thickBot="1" x14ac:dyDescent="0.3">
      <c r="A102" s="103" t="s">
        <v>110</v>
      </c>
      <c r="B102" s="92">
        <v>66</v>
      </c>
      <c r="C102" s="92">
        <v>66.2</v>
      </c>
      <c r="D102" s="92">
        <v>66.400000000000006</v>
      </c>
      <c r="E102" s="92">
        <v>66.599999999999994</v>
      </c>
      <c r="F102" s="92">
        <v>66</v>
      </c>
      <c r="G102" s="92">
        <v>66.2</v>
      </c>
      <c r="H102" s="92">
        <v>65.7</v>
      </c>
      <c r="I102" s="92">
        <v>65.5</v>
      </c>
      <c r="J102" s="92">
        <v>65.099999999999994</v>
      </c>
      <c r="K102" s="92">
        <v>63.7</v>
      </c>
      <c r="L102" s="92">
        <v>63.2</v>
      </c>
      <c r="M102" s="92">
        <v>64.5</v>
      </c>
      <c r="N102" s="92">
        <v>65.400000000000006</v>
      </c>
      <c r="O102" s="92">
        <v>65.400000000000006</v>
      </c>
      <c r="P102" s="92">
        <v>65.400000000000006</v>
      </c>
      <c r="Q102" s="92">
        <v>64.5</v>
      </c>
      <c r="R102" s="92">
        <v>64.599999999999994</v>
      </c>
      <c r="S102" s="92">
        <v>64.400000000000006</v>
      </c>
      <c r="T102" s="92">
        <v>64.7</v>
      </c>
      <c r="U102" s="92">
        <v>65.099999999999994</v>
      </c>
      <c r="V102" s="92">
        <v>66.099999999999994</v>
      </c>
      <c r="W102" s="92">
        <v>66.099999999999994</v>
      </c>
      <c r="X102" s="92">
        <v>65.8</v>
      </c>
      <c r="Y102" s="92">
        <v>65.400000000000006</v>
      </c>
      <c r="Z102" s="92">
        <v>65.8</v>
      </c>
      <c r="AA102" s="92">
        <v>66.3</v>
      </c>
      <c r="AB102" s="92">
        <v>66.3</v>
      </c>
      <c r="AC102" s="92">
        <v>65.8</v>
      </c>
      <c r="AD102" s="92">
        <v>65.900000000000006</v>
      </c>
      <c r="AE102" s="92">
        <v>66.2</v>
      </c>
      <c r="AF102" s="92">
        <v>66.7</v>
      </c>
      <c r="AG102" s="108"/>
      <c r="AH102" s="47">
        <f t="shared" si="13"/>
        <v>66.7</v>
      </c>
      <c r="AI102" s="48">
        <f t="shared" si="14"/>
        <v>63.2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13"/>
        <v>0</v>
      </c>
      <c r="AI103" s="48">
        <f t="shared" si="14"/>
        <v>0</v>
      </c>
    </row>
    <row r="104" spans="1:35" ht="15.75" thickBot="1" x14ac:dyDescent="0.3">
      <c r="A104" s="110" t="s">
        <v>112</v>
      </c>
      <c r="B104" s="111">
        <f t="shared" ref="B104:AF104" si="25">SUM(B16,B22,B25:B26,B52,B54:B55,B57,B59,B105:B109,B131,B137,B143,B152,B154,B166,B173,B176:B177,B184,B186,B188,B192:B194,B196:B198,B203,B209:B210,B212:B214,B222,B227)</f>
        <v>134.39999999999998</v>
      </c>
      <c r="C104" s="111">
        <f t="shared" si="25"/>
        <v>135.94</v>
      </c>
      <c r="D104" s="111">
        <f t="shared" si="25"/>
        <v>128.04</v>
      </c>
      <c r="E104" s="111">
        <f t="shared" si="25"/>
        <v>126.03999999999999</v>
      </c>
      <c r="F104" s="111">
        <f t="shared" si="25"/>
        <v>133.93999999999997</v>
      </c>
      <c r="G104" s="111">
        <f t="shared" si="25"/>
        <v>163.63999999999999</v>
      </c>
      <c r="H104" s="111">
        <f t="shared" si="25"/>
        <v>195.14</v>
      </c>
      <c r="I104" s="111">
        <f t="shared" si="25"/>
        <v>229.54000000000002</v>
      </c>
      <c r="J104" s="111">
        <f t="shared" si="25"/>
        <v>270.13999999999993</v>
      </c>
      <c r="K104" s="111">
        <f t="shared" si="25"/>
        <v>335.34</v>
      </c>
      <c r="L104" s="111">
        <f t="shared" si="25"/>
        <v>379.54</v>
      </c>
      <c r="M104" s="111">
        <f t="shared" si="25"/>
        <v>377.94</v>
      </c>
      <c r="N104" s="111">
        <f t="shared" si="25"/>
        <v>339.64</v>
      </c>
      <c r="O104" s="111">
        <f t="shared" si="25"/>
        <v>343.73999999999995</v>
      </c>
      <c r="P104" s="111">
        <v>42</v>
      </c>
      <c r="Q104" s="111">
        <f t="shared" si="25"/>
        <v>277.89999999999998</v>
      </c>
      <c r="R104" s="111">
        <f t="shared" si="25"/>
        <v>267.69999999999993</v>
      </c>
      <c r="S104" s="111">
        <f t="shared" si="25"/>
        <v>282.5</v>
      </c>
      <c r="T104" s="111">
        <f t="shared" si="25"/>
        <v>288.79999999999995</v>
      </c>
      <c r="U104" s="111">
        <f t="shared" si="25"/>
        <v>282.60000000000002</v>
      </c>
      <c r="V104" s="111">
        <f t="shared" si="25"/>
        <v>303.60000000000002</v>
      </c>
      <c r="W104" s="111">
        <f t="shared" si="25"/>
        <v>339.3</v>
      </c>
      <c r="X104" s="111">
        <f t="shared" si="25"/>
        <v>376.3</v>
      </c>
      <c r="Y104" s="111">
        <f t="shared" si="25"/>
        <v>415.70000000000005</v>
      </c>
      <c r="Z104" s="111">
        <f t="shared" si="25"/>
        <v>415.79999999999995</v>
      </c>
      <c r="AA104" s="111">
        <f t="shared" si="25"/>
        <v>390.2</v>
      </c>
      <c r="AB104" s="111">
        <f t="shared" si="25"/>
        <v>353.09999999999997</v>
      </c>
      <c r="AC104" s="111">
        <f t="shared" si="25"/>
        <v>305.20000000000005</v>
      </c>
      <c r="AD104" s="111">
        <f t="shared" si="25"/>
        <v>306.10000000000002</v>
      </c>
      <c r="AE104" s="111">
        <f t="shared" si="25"/>
        <v>204.4</v>
      </c>
      <c r="AF104" s="111">
        <f t="shared" si="25"/>
        <v>123.10000000000002</v>
      </c>
      <c r="AG104" s="112"/>
      <c r="AH104" s="47">
        <f t="shared" si="13"/>
        <v>415.79999999999995</v>
      </c>
      <c r="AI104" s="48">
        <f t="shared" si="14"/>
        <v>42</v>
      </c>
    </row>
    <row r="105" spans="1:35" x14ac:dyDescent="0.25">
      <c r="A105" s="100" t="s">
        <v>113</v>
      </c>
      <c r="B105" s="113">
        <v>-14.2</v>
      </c>
      <c r="C105" s="113">
        <v>-14</v>
      </c>
      <c r="D105" s="113">
        <v>-13.6</v>
      </c>
      <c r="E105" s="113">
        <v>-11.8</v>
      </c>
      <c r="F105" s="113">
        <v>-19.600000000000001</v>
      </c>
      <c r="G105" s="113">
        <v>-8.1999999999999993</v>
      </c>
      <c r="H105" s="113">
        <v>3.9</v>
      </c>
      <c r="I105" s="113">
        <v>2.2000000000000002</v>
      </c>
      <c r="J105" s="113">
        <v>12.1</v>
      </c>
      <c r="K105" s="113">
        <v>27.9</v>
      </c>
      <c r="L105" s="113">
        <v>39.299999999999997</v>
      </c>
      <c r="M105" s="113">
        <v>25.8</v>
      </c>
      <c r="N105" s="113">
        <v>29.2</v>
      </c>
      <c r="O105" s="113">
        <v>29.2</v>
      </c>
      <c r="P105" s="113">
        <v>23.4</v>
      </c>
      <c r="Q105" s="113">
        <v>23.3</v>
      </c>
      <c r="R105" s="113">
        <v>18.5</v>
      </c>
      <c r="S105" s="113">
        <v>15.4</v>
      </c>
      <c r="T105" s="113">
        <v>11.6</v>
      </c>
      <c r="U105" s="113">
        <v>7.6</v>
      </c>
      <c r="V105" s="113">
        <v>16.7</v>
      </c>
      <c r="W105" s="113">
        <v>18.600000000000001</v>
      </c>
      <c r="X105" s="113">
        <v>29</v>
      </c>
      <c r="Y105" s="113">
        <v>30</v>
      </c>
      <c r="Z105" s="113">
        <v>32.1</v>
      </c>
      <c r="AA105" s="113">
        <v>32.4</v>
      </c>
      <c r="AB105" s="113">
        <v>32.299999999999997</v>
      </c>
      <c r="AC105" s="113">
        <v>21.2</v>
      </c>
      <c r="AD105" s="113">
        <v>23.9</v>
      </c>
      <c r="AE105" s="113">
        <v>7.7</v>
      </c>
      <c r="AF105" s="113">
        <v>-8.4</v>
      </c>
      <c r="AG105" s="114">
        <v>75</v>
      </c>
      <c r="AH105" s="47">
        <f t="shared" si="13"/>
        <v>39.299999999999997</v>
      </c>
      <c r="AI105" s="48">
        <f t="shared" si="14"/>
        <v>-19.600000000000001</v>
      </c>
    </row>
    <row r="106" spans="1:35" x14ac:dyDescent="0.25">
      <c r="A106" s="103" t="s">
        <v>114</v>
      </c>
      <c r="B106" s="115">
        <v>-13</v>
      </c>
      <c r="C106" s="115">
        <v>-12.3</v>
      </c>
      <c r="D106" s="115">
        <v>-12.7</v>
      </c>
      <c r="E106" s="115">
        <v>-9.3000000000000007</v>
      </c>
      <c r="F106" s="115">
        <v>-19.899999999999999</v>
      </c>
      <c r="G106" s="115">
        <v>-8.6999999999999993</v>
      </c>
      <c r="H106" s="115">
        <v>7.2</v>
      </c>
      <c r="I106" s="115">
        <v>5.4</v>
      </c>
      <c r="J106" s="115">
        <v>18.899999999999999</v>
      </c>
      <c r="K106" s="115">
        <v>33.799999999999997</v>
      </c>
      <c r="L106" s="115">
        <v>49.1</v>
      </c>
      <c r="M106" s="115">
        <v>30.9</v>
      </c>
      <c r="N106" s="115">
        <v>39.799999999999997</v>
      </c>
      <c r="O106" s="115">
        <v>39.799999999999997</v>
      </c>
      <c r="P106" s="115">
        <v>34.4</v>
      </c>
      <c r="Q106" s="115">
        <v>38.4</v>
      </c>
      <c r="R106" s="115">
        <v>32.799999999999997</v>
      </c>
      <c r="S106" s="115">
        <v>27</v>
      </c>
      <c r="T106" s="115">
        <v>18.8</v>
      </c>
      <c r="U106" s="115">
        <v>11.5</v>
      </c>
      <c r="V106" s="115">
        <v>18.399999999999999</v>
      </c>
      <c r="W106" s="115">
        <v>29.8</v>
      </c>
      <c r="X106" s="115">
        <v>32.9</v>
      </c>
      <c r="Y106" s="115">
        <v>34.5</v>
      </c>
      <c r="Z106" s="115">
        <v>37.1</v>
      </c>
      <c r="AA106" s="115">
        <v>38</v>
      </c>
      <c r="AB106" s="115">
        <v>39.200000000000003</v>
      </c>
      <c r="AC106" s="115">
        <v>25</v>
      </c>
      <c r="AD106" s="115">
        <v>30.6</v>
      </c>
      <c r="AE106" s="115">
        <v>9.1999999999999993</v>
      </c>
      <c r="AF106" s="115">
        <v>-7.3</v>
      </c>
      <c r="AG106" s="114">
        <v>240</v>
      </c>
      <c r="AH106" s="47">
        <f t="shared" si="13"/>
        <v>49.1</v>
      </c>
      <c r="AI106" s="48">
        <f t="shared" si="14"/>
        <v>-19.899999999999999</v>
      </c>
    </row>
    <row r="107" spans="1:35" x14ac:dyDescent="0.25">
      <c r="A107" s="103" t="s">
        <v>115</v>
      </c>
      <c r="B107" s="115">
        <v>-38</v>
      </c>
      <c r="C107" s="115">
        <v>-35</v>
      </c>
      <c r="D107" s="115">
        <v>-37</v>
      </c>
      <c r="E107" s="115">
        <v>-39.9</v>
      </c>
      <c r="F107" s="115">
        <v>-29.3</v>
      </c>
      <c r="G107" s="115">
        <v>-23.7</v>
      </c>
      <c r="H107" s="115">
        <v>-23</v>
      </c>
      <c r="I107" s="115">
        <v>-2.4</v>
      </c>
      <c r="J107" s="115">
        <v>6.7</v>
      </c>
      <c r="K107" s="115">
        <v>29.5</v>
      </c>
      <c r="L107" s="115">
        <v>41.2</v>
      </c>
      <c r="M107" s="115">
        <f>27.5+32.6</f>
        <v>60.1</v>
      </c>
      <c r="N107" s="115">
        <f>17.1+18.8</f>
        <v>35.900000000000006</v>
      </c>
      <c r="O107" s="115">
        <f>17.1+18.8</f>
        <v>35.900000000000006</v>
      </c>
      <c r="P107" s="115">
        <v>16.5</v>
      </c>
      <c r="Q107" s="115">
        <f>-19-5.3</f>
        <v>-24.3</v>
      </c>
      <c r="R107" s="115">
        <f>-17.9-1.6</f>
        <v>-19.5</v>
      </c>
      <c r="S107" s="115">
        <v>1.2</v>
      </c>
      <c r="T107" s="115">
        <v>5.2</v>
      </c>
      <c r="U107" s="115">
        <v>7.5</v>
      </c>
      <c r="V107" s="115">
        <v>31.9</v>
      </c>
      <c r="W107" s="115">
        <v>56.2</v>
      </c>
      <c r="X107" s="115">
        <v>76</v>
      </c>
      <c r="Y107" s="115">
        <v>82</v>
      </c>
      <c r="Z107" s="115">
        <v>74.900000000000006</v>
      </c>
      <c r="AA107" s="115">
        <v>70.900000000000006</v>
      </c>
      <c r="AB107" s="115">
        <v>60</v>
      </c>
      <c r="AC107" s="115">
        <v>17.399999999999999</v>
      </c>
      <c r="AD107" s="115">
        <v>11</v>
      </c>
      <c r="AE107" s="115">
        <v>-5</v>
      </c>
      <c r="AF107" s="115">
        <v>-22</v>
      </c>
      <c r="AG107" s="114">
        <v>240</v>
      </c>
      <c r="AH107" s="47">
        <f t="shared" si="13"/>
        <v>82</v>
      </c>
      <c r="AI107" s="48">
        <f t="shared" si="14"/>
        <v>-39.9</v>
      </c>
    </row>
    <row r="108" spans="1:35" x14ac:dyDescent="0.25">
      <c r="A108" s="103" t="s">
        <v>116</v>
      </c>
      <c r="B108" s="115">
        <v>1.3</v>
      </c>
      <c r="C108" s="115">
        <v>-2.2000000000000002</v>
      </c>
      <c r="D108" s="115">
        <v>-4.5999999999999996</v>
      </c>
      <c r="E108" s="115">
        <v>-1.7</v>
      </c>
      <c r="F108" s="115">
        <v>-0.9</v>
      </c>
      <c r="G108" s="115">
        <v>-1.7</v>
      </c>
      <c r="H108" s="115">
        <v>2.8</v>
      </c>
      <c r="I108" s="115">
        <v>8.4</v>
      </c>
      <c r="J108" s="115">
        <v>10.7</v>
      </c>
      <c r="K108" s="115">
        <v>19.600000000000001</v>
      </c>
      <c r="L108" s="115">
        <v>22.5</v>
      </c>
      <c r="M108" s="115">
        <v>23.3</v>
      </c>
      <c r="N108" s="115">
        <v>20.5</v>
      </c>
      <c r="O108" s="115">
        <v>20.5</v>
      </c>
      <c r="P108" s="115">
        <v>13.2</v>
      </c>
      <c r="Q108" s="115">
        <v>24.4</v>
      </c>
      <c r="R108" s="115">
        <v>24.2</v>
      </c>
      <c r="S108" s="115">
        <v>25.3</v>
      </c>
      <c r="T108" s="115">
        <v>40.5</v>
      </c>
      <c r="U108" s="115">
        <v>43</v>
      </c>
      <c r="V108" s="115">
        <v>38.6</v>
      </c>
      <c r="W108" s="115">
        <v>30.2</v>
      </c>
      <c r="X108" s="115">
        <v>42.4</v>
      </c>
      <c r="Y108" s="115">
        <v>54</v>
      </c>
      <c r="Z108" s="115">
        <v>53.7</v>
      </c>
      <c r="AA108" s="115">
        <v>45.8</v>
      </c>
      <c r="AB108" s="115">
        <v>34</v>
      </c>
      <c r="AC108" s="115">
        <v>25.1</v>
      </c>
      <c r="AD108" s="115">
        <v>29</v>
      </c>
      <c r="AE108" s="115">
        <v>15.4</v>
      </c>
      <c r="AF108" s="115">
        <v>-0.4</v>
      </c>
      <c r="AG108" s="114">
        <v>60</v>
      </c>
      <c r="AH108" s="47">
        <f t="shared" si="13"/>
        <v>54</v>
      </c>
      <c r="AI108" s="48">
        <f t="shared" si="14"/>
        <v>-4.5999999999999996</v>
      </c>
    </row>
    <row r="109" spans="1:35" x14ac:dyDescent="0.25">
      <c r="A109" s="116" t="s">
        <v>117</v>
      </c>
      <c r="B109" s="117">
        <v>91.5</v>
      </c>
      <c r="C109" s="117">
        <v>89.2</v>
      </c>
      <c r="D109" s="117">
        <v>85.5</v>
      </c>
      <c r="E109" s="117">
        <v>80.3</v>
      </c>
      <c r="F109" s="117">
        <v>95.3</v>
      </c>
      <c r="G109" s="117">
        <v>97.4</v>
      </c>
      <c r="H109" s="117">
        <v>95.3</v>
      </c>
      <c r="I109" s="117">
        <v>106</v>
      </c>
      <c r="J109" s="117">
        <v>111</v>
      </c>
      <c r="K109" s="117">
        <v>112</v>
      </c>
      <c r="L109" s="117">
        <v>114.9</v>
      </c>
      <c r="M109" s="117">
        <v>125.3</v>
      </c>
      <c r="N109" s="117">
        <v>105.3</v>
      </c>
      <c r="O109" s="117">
        <v>105.3</v>
      </c>
      <c r="P109" s="117">
        <v>110.3</v>
      </c>
      <c r="Q109" s="117">
        <v>104</v>
      </c>
      <c r="R109" s="117">
        <v>99.6</v>
      </c>
      <c r="S109" s="117">
        <v>105.8</v>
      </c>
      <c r="T109" s="117">
        <v>105</v>
      </c>
      <c r="U109" s="117">
        <v>103</v>
      </c>
      <c r="V109" s="117">
        <v>90</v>
      </c>
      <c r="W109" s="117">
        <v>97</v>
      </c>
      <c r="X109" s="117">
        <v>90</v>
      </c>
      <c r="Y109" s="117">
        <v>108.6</v>
      </c>
      <c r="Z109" s="117">
        <v>111.6</v>
      </c>
      <c r="AA109" s="117">
        <v>96.5</v>
      </c>
      <c r="AB109" s="117">
        <v>81</v>
      </c>
      <c r="AC109" s="117">
        <v>109.9</v>
      </c>
      <c r="AD109" s="117">
        <v>105</v>
      </c>
      <c r="AE109" s="117">
        <v>102.6</v>
      </c>
      <c r="AF109" s="117">
        <v>96.9</v>
      </c>
      <c r="AG109" s="118">
        <v>120</v>
      </c>
      <c r="AH109" s="47">
        <f t="shared" si="13"/>
        <v>125.3</v>
      </c>
      <c r="AI109" s="48">
        <f t="shared" si="14"/>
        <v>80.3</v>
      </c>
    </row>
    <row r="110" spans="1:35" x14ac:dyDescent="0.25">
      <c r="A110" s="116" t="s">
        <v>118</v>
      </c>
      <c r="B110" s="117">
        <v>98.4</v>
      </c>
      <c r="C110" s="117">
        <v>97.1</v>
      </c>
      <c r="D110" s="117">
        <v>95.4</v>
      </c>
      <c r="E110" s="117">
        <v>99</v>
      </c>
      <c r="F110" s="117">
        <v>102.5</v>
      </c>
      <c r="G110" s="117">
        <v>101.4</v>
      </c>
      <c r="H110" s="117">
        <v>102</v>
      </c>
      <c r="I110" s="117">
        <v>100</v>
      </c>
      <c r="J110" s="117">
        <v>103</v>
      </c>
      <c r="K110" s="117">
        <v>97</v>
      </c>
      <c r="L110" s="117">
        <v>100.9</v>
      </c>
      <c r="M110" s="117">
        <v>90</v>
      </c>
      <c r="N110" s="117">
        <v>78.2</v>
      </c>
      <c r="O110" s="117">
        <v>78.2</v>
      </c>
      <c r="P110" s="117">
        <v>90.2</v>
      </c>
      <c r="Q110" s="117">
        <v>95.9</v>
      </c>
      <c r="R110" s="117">
        <v>87.4</v>
      </c>
      <c r="S110" s="117">
        <v>99.2</v>
      </c>
      <c r="T110" s="117">
        <v>100</v>
      </c>
      <c r="U110" s="117">
        <v>98</v>
      </c>
      <c r="V110" s="117">
        <v>77</v>
      </c>
      <c r="W110" s="117">
        <v>70</v>
      </c>
      <c r="X110" s="117">
        <v>85</v>
      </c>
      <c r="Y110" s="117">
        <v>82.8</v>
      </c>
      <c r="Z110" s="117">
        <v>72.2</v>
      </c>
      <c r="AA110" s="117">
        <v>72.599999999999994</v>
      </c>
      <c r="AB110" s="117">
        <v>70.5</v>
      </c>
      <c r="AC110" s="117">
        <v>82.5</v>
      </c>
      <c r="AD110" s="117">
        <v>87</v>
      </c>
      <c r="AE110" s="117">
        <v>93.8</v>
      </c>
      <c r="AF110" s="117">
        <v>98.5</v>
      </c>
      <c r="AG110" s="118"/>
      <c r="AH110" s="47">
        <f t="shared" si="13"/>
        <v>103</v>
      </c>
      <c r="AI110" s="48">
        <f t="shared" si="14"/>
        <v>70</v>
      </c>
    </row>
    <row r="111" spans="1:35" x14ac:dyDescent="0.25">
      <c r="A111" s="116" t="s">
        <v>119</v>
      </c>
      <c r="B111" s="117"/>
      <c r="C111" s="117">
        <v>28.6</v>
      </c>
      <c r="D111" s="117"/>
      <c r="E111" s="117"/>
      <c r="F111" s="117">
        <v>37.700000000000003</v>
      </c>
      <c r="G111" s="117"/>
      <c r="H111" s="117">
        <v>24.2</v>
      </c>
      <c r="I111" s="117"/>
      <c r="J111" s="117"/>
      <c r="K111" s="117">
        <v>14.4</v>
      </c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  <c r="AB111" s="117"/>
      <c r="AC111" s="117"/>
      <c r="AD111" s="117"/>
      <c r="AE111" s="117"/>
      <c r="AF111" s="117"/>
      <c r="AG111" s="119"/>
      <c r="AH111" s="47">
        <f t="shared" si="13"/>
        <v>37.700000000000003</v>
      </c>
      <c r="AI111" s="48">
        <f t="shared" si="14"/>
        <v>14.4</v>
      </c>
    </row>
    <row r="112" spans="1:35" x14ac:dyDescent="0.25">
      <c r="A112" s="120" t="s">
        <v>120</v>
      </c>
      <c r="B112" s="106">
        <v>7.9</v>
      </c>
      <c r="C112" s="106">
        <v>10.7</v>
      </c>
      <c r="D112" s="106">
        <v>14.1</v>
      </c>
      <c r="E112" s="106">
        <v>19</v>
      </c>
      <c r="F112" s="106">
        <v>14.2</v>
      </c>
      <c r="G112" s="106">
        <v>8.4</v>
      </c>
      <c r="H112" s="106">
        <v>0</v>
      </c>
      <c r="I112" s="106">
        <v>-8.6999999999999993</v>
      </c>
      <c r="J112" s="106">
        <v>-19.899999999999999</v>
      </c>
      <c r="K112" s="106">
        <v>-31.1</v>
      </c>
      <c r="L112" s="106">
        <v>-39.1</v>
      </c>
      <c r="M112" s="106">
        <v>-51.9</v>
      </c>
      <c r="N112" s="106">
        <v>-31.8</v>
      </c>
      <c r="O112" s="106">
        <v>-31.8</v>
      </c>
      <c r="P112" s="106">
        <v>-19.5</v>
      </c>
      <c r="Q112" s="106">
        <v>-13.2</v>
      </c>
      <c r="R112" s="106">
        <v>-3</v>
      </c>
      <c r="S112" s="106">
        <v>-11.4</v>
      </c>
      <c r="T112" s="106">
        <v>-5.0999999999999996</v>
      </c>
      <c r="U112" s="106">
        <v>-21.7</v>
      </c>
      <c r="V112" s="106">
        <v>-30.7</v>
      </c>
      <c r="W112" s="106">
        <v>-41.9</v>
      </c>
      <c r="X112" s="106">
        <v>-66</v>
      </c>
      <c r="Y112" s="106">
        <v>-57</v>
      </c>
      <c r="Z112" s="106">
        <v>-49.6</v>
      </c>
      <c r="AA112" s="106">
        <v>-43.4</v>
      </c>
      <c r="AB112" s="106">
        <v>-23.7</v>
      </c>
      <c r="AC112" s="106">
        <v>-18.399999999999999</v>
      </c>
      <c r="AD112" s="106">
        <v>-13.7</v>
      </c>
      <c r="AE112" s="106">
        <v>4.5</v>
      </c>
      <c r="AF112" s="106">
        <v>13.8</v>
      </c>
      <c r="AG112" s="119"/>
      <c r="AH112" s="47">
        <f t="shared" si="13"/>
        <v>19</v>
      </c>
      <c r="AI112" s="48">
        <f t="shared" si="14"/>
        <v>-66</v>
      </c>
    </row>
    <row r="113" spans="1:37" ht="15.75" thickBot="1" x14ac:dyDescent="0.3">
      <c r="A113" s="120" t="s">
        <v>121</v>
      </c>
      <c r="B113" s="106">
        <v>11.7</v>
      </c>
      <c r="C113" s="106">
        <v>9.5</v>
      </c>
      <c r="D113" s="106">
        <v>10.9</v>
      </c>
      <c r="E113" s="106">
        <v>15.9</v>
      </c>
      <c r="F113" s="106">
        <v>4.4000000000000004</v>
      </c>
      <c r="G113" s="106">
        <v>3.4</v>
      </c>
      <c r="H113" s="106">
        <v>8.3000000000000007</v>
      </c>
      <c r="I113" s="106">
        <v>-8.1999999999999993</v>
      </c>
      <c r="J113" s="106">
        <v>-9.1</v>
      </c>
      <c r="K113" s="106">
        <v>-27.6</v>
      </c>
      <c r="L113" s="106">
        <v>-29</v>
      </c>
      <c r="M113" s="106">
        <v>-47.9</v>
      </c>
      <c r="N113" s="106">
        <v>-29.5</v>
      </c>
      <c r="O113" s="106">
        <v>-29.5</v>
      </c>
      <c r="P113" s="106">
        <v>-14.2</v>
      </c>
      <c r="Q113" s="106">
        <v>-14.8</v>
      </c>
      <c r="R113" s="106">
        <v>-8.5</v>
      </c>
      <c r="S113" s="106">
        <v>12.4</v>
      </c>
      <c r="T113" s="106">
        <v>18.100000000000001</v>
      </c>
      <c r="U113" s="106">
        <v>11</v>
      </c>
      <c r="V113" s="106">
        <v>-7.9</v>
      </c>
      <c r="W113" s="106">
        <v>-36.1</v>
      </c>
      <c r="X113" s="106">
        <v>-42</v>
      </c>
      <c r="Y113" s="106">
        <v>-42.3</v>
      </c>
      <c r="Z113" s="106">
        <v>-35</v>
      </c>
      <c r="AA113" s="106">
        <v>-36.299999999999997</v>
      </c>
      <c r="AB113" s="106">
        <v>-37.200000000000003</v>
      </c>
      <c r="AC113" s="106">
        <v>-11.1</v>
      </c>
      <c r="AD113" s="106">
        <v>1.6</v>
      </c>
      <c r="AE113" s="106">
        <v>5.0999999999999996</v>
      </c>
      <c r="AF113" s="106">
        <v>2.2000000000000002</v>
      </c>
      <c r="AG113" s="119"/>
      <c r="AH113" s="47">
        <f t="shared" si="13"/>
        <v>18.100000000000001</v>
      </c>
      <c r="AI113" s="48">
        <f t="shared" si="14"/>
        <v>-47.9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26">SUM(B115:B219)</f>
        <v>0</v>
      </c>
      <c r="C220" s="136">
        <f t="shared" si="26"/>
        <v>0</v>
      </c>
      <c r="D220" s="136">
        <f t="shared" si="26"/>
        <v>0</v>
      </c>
      <c r="E220" s="136">
        <f t="shared" si="26"/>
        <v>0</v>
      </c>
      <c r="F220" s="136">
        <f t="shared" si="26"/>
        <v>0</v>
      </c>
      <c r="G220" s="136">
        <f t="shared" si="26"/>
        <v>0</v>
      </c>
      <c r="H220" s="136">
        <f t="shared" si="26"/>
        <v>0</v>
      </c>
      <c r="I220" s="136">
        <f t="shared" si="26"/>
        <v>0</v>
      </c>
      <c r="J220" s="136">
        <f t="shared" si="26"/>
        <v>0</v>
      </c>
      <c r="K220" s="136">
        <f t="shared" si="26"/>
        <v>0</v>
      </c>
      <c r="L220" s="136">
        <f t="shared" si="26"/>
        <v>0</v>
      </c>
      <c r="M220" s="136">
        <f t="shared" si="26"/>
        <v>0</v>
      </c>
      <c r="N220" s="136">
        <f t="shared" si="26"/>
        <v>0</v>
      </c>
      <c r="O220" s="136">
        <f t="shared" si="26"/>
        <v>0</v>
      </c>
      <c r="P220" s="136">
        <f t="shared" si="26"/>
        <v>0</v>
      </c>
      <c r="Q220" s="136">
        <f t="shared" si="26"/>
        <v>0</v>
      </c>
      <c r="R220" s="136">
        <f t="shared" si="26"/>
        <v>0</v>
      </c>
      <c r="S220" s="136">
        <f t="shared" si="26"/>
        <v>0</v>
      </c>
      <c r="T220" s="136">
        <f t="shared" si="26"/>
        <v>0</v>
      </c>
      <c r="U220" s="136">
        <f t="shared" si="26"/>
        <v>0</v>
      </c>
      <c r="V220" s="136">
        <f t="shared" si="26"/>
        <v>0</v>
      </c>
      <c r="W220" s="136">
        <f t="shared" si="26"/>
        <v>0</v>
      </c>
      <c r="X220" s="136">
        <f t="shared" si="26"/>
        <v>0</v>
      </c>
      <c r="Y220" s="136">
        <f t="shared" si="26"/>
        <v>0</v>
      </c>
      <c r="Z220" s="136">
        <f t="shared" si="26"/>
        <v>0</v>
      </c>
      <c r="AA220" s="136">
        <f t="shared" si="26"/>
        <v>0</v>
      </c>
      <c r="AB220" s="136">
        <f t="shared" si="26"/>
        <v>0</v>
      </c>
      <c r="AC220" s="136">
        <f t="shared" si="26"/>
        <v>0</v>
      </c>
      <c r="AD220" s="136">
        <f t="shared" si="26"/>
        <v>0</v>
      </c>
      <c r="AE220" s="136">
        <f t="shared" si="26"/>
        <v>0</v>
      </c>
      <c r="AF220" s="137">
        <f t="shared" si="26"/>
        <v>0</v>
      </c>
      <c r="AG220" s="138">
        <f t="shared" si="26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27">AF222</f>
        <v>0</v>
      </c>
      <c r="C222" s="140">
        <v>0.3</v>
      </c>
      <c r="D222" s="140">
        <f t="shared" ref="D222:P227" si="28">C222</f>
        <v>0.3</v>
      </c>
      <c r="E222" s="140">
        <f t="shared" si="28"/>
        <v>0.3</v>
      </c>
      <c r="F222" s="140">
        <f t="shared" si="28"/>
        <v>0.3</v>
      </c>
      <c r="G222" s="140">
        <f t="shared" si="28"/>
        <v>0.3</v>
      </c>
      <c r="H222" s="140">
        <f t="shared" si="28"/>
        <v>0.3</v>
      </c>
      <c r="I222" s="140">
        <f t="shared" si="28"/>
        <v>0.3</v>
      </c>
      <c r="J222" s="140">
        <f t="shared" si="28"/>
        <v>0.3</v>
      </c>
      <c r="K222" s="140">
        <f t="shared" si="28"/>
        <v>0.3</v>
      </c>
      <c r="L222" s="140">
        <f t="shared" si="28"/>
        <v>0.3</v>
      </c>
      <c r="M222" s="140">
        <f t="shared" si="28"/>
        <v>0.3</v>
      </c>
      <c r="N222" s="140">
        <f t="shared" si="28"/>
        <v>0.3</v>
      </c>
      <c r="O222" s="140">
        <f t="shared" si="28"/>
        <v>0.3</v>
      </c>
      <c r="P222" s="140">
        <f t="shared" si="28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27"/>
        <v>0</v>
      </c>
      <c r="C223" s="128">
        <v>0.4</v>
      </c>
      <c r="D223" s="128">
        <f t="shared" si="28"/>
        <v>0.4</v>
      </c>
      <c r="E223" s="128">
        <f t="shared" si="28"/>
        <v>0.4</v>
      </c>
      <c r="F223" s="128">
        <f t="shared" si="28"/>
        <v>0.4</v>
      </c>
      <c r="G223" s="128">
        <f t="shared" si="28"/>
        <v>0.4</v>
      </c>
      <c r="H223" s="128">
        <f t="shared" si="28"/>
        <v>0.4</v>
      </c>
      <c r="I223" s="128">
        <f t="shared" si="28"/>
        <v>0.4</v>
      </c>
      <c r="J223" s="128">
        <f t="shared" si="28"/>
        <v>0.4</v>
      </c>
      <c r="K223" s="128">
        <f t="shared" si="28"/>
        <v>0.4</v>
      </c>
      <c r="L223" s="128">
        <f t="shared" si="28"/>
        <v>0.4</v>
      </c>
      <c r="M223" s="128">
        <f t="shared" si="28"/>
        <v>0.4</v>
      </c>
      <c r="N223" s="128">
        <f t="shared" si="28"/>
        <v>0.4</v>
      </c>
      <c r="O223" s="128">
        <f t="shared" si="28"/>
        <v>0.4</v>
      </c>
      <c r="P223" s="128">
        <f t="shared" si="28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27"/>
        <v>0</v>
      </c>
      <c r="C224" s="128">
        <v>1.5</v>
      </c>
      <c r="D224" s="128">
        <f t="shared" si="28"/>
        <v>1.5</v>
      </c>
      <c r="E224" s="128">
        <f t="shared" si="28"/>
        <v>1.5</v>
      </c>
      <c r="F224" s="128">
        <f t="shared" si="28"/>
        <v>1.5</v>
      </c>
      <c r="G224" s="128">
        <f t="shared" si="28"/>
        <v>1.5</v>
      </c>
      <c r="H224" s="128">
        <f t="shared" si="28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28"/>
        <v>1.5</v>
      </c>
      <c r="K224" s="128">
        <f t="shared" ca="1" si="28"/>
        <v>1.5</v>
      </c>
      <c r="L224" s="128">
        <f t="shared" ca="1" si="28"/>
        <v>1.5</v>
      </c>
      <c r="M224" s="128">
        <f t="shared" ca="1" si="28"/>
        <v>1.5</v>
      </c>
      <c r="N224" s="128">
        <f t="shared" ca="1" si="28"/>
        <v>1.5</v>
      </c>
      <c r="O224" s="128">
        <f t="shared" ca="1" si="28"/>
        <v>1.5</v>
      </c>
      <c r="P224" s="128">
        <f t="shared" ca="1" si="28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27"/>
        <v>0</v>
      </c>
      <c r="C225" s="128">
        <v>0.3</v>
      </c>
      <c r="D225" s="128">
        <f t="shared" si="28"/>
        <v>0.3</v>
      </c>
      <c r="E225" s="128">
        <f t="shared" si="28"/>
        <v>0.3</v>
      </c>
      <c r="F225" s="128">
        <f t="shared" si="28"/>
        <v>0.3</v>
      </c>
      <c r="G225" s="128">
        <f t="shared" si="28"/>
        <v>0.3</v>
      </c>
      <c r="H225" s="128">
        <f t="shared" si="28"/>
        <v>0.3</v>
      </c>
      <c r="I225" s="128">
        <f t="shared" si="28"/>
        <v>0.3</v>
      </c>
      <c r="J225" s="128">
        <f t="shared" si="28"/>
        <v>0.3</v>
      </c>
      <c r="K225" s="128">
        <f t="shared" si="28"/>
        <v>0.3</v>
      </c>
      <c r="L225" s="128">
        <f t="shared" si="28"/>
        <v>0.3</v>
      </c>
      <c r="M225" s="128">
        <f t="shared" si="28"/>
        <v>0.3</v>
      </c>
      <c r="N225" s="128">
        <f t="shared" si="28"/>
        <v>0.3</v>
      </c>
      <c r="O225" s="128">
        <f t="shared" si="28"/>
        <v>0.3</v>
      </c>
      <c r="P225" s="128">
        <f t="shared" si="28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27"/>
        <v>0</v>
      </c>
      <c r="C226" s="128">
        <v>0.4</v>
      </c>
      <c r="D226" s="128">
        <f t="shared" si="28"/>
        <v>0.4</v>
      </c>
      <c r="E226" s="128">
        <f t="shared" si="28"/>
        <v>0.4</v>
      </c>
      <c r="F226" s="128">
        <f t="shared" si="28"/>
        <v>0.4</v>
      </c>
      <c r="G226" s="128">
        <f t="shared" si="28"/>
        <v>0.4</v>
      </c>
      <c r="H226" s="128">
        <f t="shared" si="28"/>
        <v>0.4</v>
      </c>
      <c r="I226" s="128">
        <f t="shared" si="28"/>
        <v>0.4</v>
      </c>
      <c r="J226" s="128">
        <f t="shared" si="28"/>
        <v>0.4</v>
      </c>
      <c r="K226" s="128">
        <f t="shared" si="28"/>
        <v>0.4</v>
      </c>
      <c r="L226" s="128">
        <f t="shared" si="28"/>
        <v>0.4</v>
      </c>
      <c r="M226" s="128">
        <f t="shared" si="28"/>
        <v>0.4</v>
      </c>
      <c r="N226" s="128">
        <f t="shared" si="28"/>
        <v>0.4</v>
      </c>
      <c r="O226" s="128">
        <f t="shared" si="28"/>
        <v>0.4</v>
      </c>
      <c r="P226" s="128">
        <f t="shared" si="28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27"/>
        <v>0</v>
      </c>
      <c r="C227" s="132">
        <v>0.64</v>
      </c>
      <c r="D227" s="132">
        <f t="shared" si="28"/>
        <v>0.64</v>
      </c>
      <c r="E227" s="132">
        <f t="shared" si="28"/>
        <v>0.64</v>
      </c>
      <c r="F227" s="132">
        <f t="shared" si="28"/>
        <v>0.64</v>
      </c>
      <c r="G227" s="132">
        <f t="shared" si="28"/>
        <v>0.64</v>
      </c>
      <c r="H227" s="132">
        <f t="shared" si="28"/>
        <v>0.64</v>
      </c>
      <c r="I227" s="132">
        <f t="shared" si="28"/>
        <v>0.64</v>
      </c>
      <c r="J227" s="132">
        <f t="shared" si="28"/>
        <v>0.64</v>
      </c>
      <c r="K227" s="132">
        <f t="shared" si="28"/>
        <v>0.64</v>
      </c>
      <c r="L227" s="132">
        <f t="shared" si="28"/>
        <v>0.64</v>
      </c>
      <c r="M227" s="132">
        <f t="shared" si="28"/>
        <v>0.64</v>
      </c>
      <c r="N227" s="132">
        <f t="shared" si="28"/>
        <v>0.64</v>
      </c>
      <c r="O227" s="132">
        <f t="shared" si="28"/>
        <v>0.64</v>
      </c>
      <c r="P227" s="132">
        <f t="shared" si="28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29">SUM(B222:B227)</f>
        <v>0</v>
      </c>
      <c r="C228" s="136">
        <f t="shared" si="29"/>
        <v>3.54</v>
      </c>
      <c r="D228" s="136">
        <f t="shared" si="29"/>
        <v>3.54</v>
      </c>
      <c r="E228" s="136">
        <f t="shared" si="29"/>
        <v>3.54</v>
      </c>
      <c r="F228" s="136">
        <f t="shared" si="29"/>
        <v>3.54</v>
      </c>
      <c r="G228" s="136">
        <f t="shared" si="29"/>
        <v>3.54</v>
      </c>
      <c r="H228" s="136">
        <f t="shared" si="29"/>
        <v>3.54</v>
      </c>
      <c r="I228" s="136">
        <f t="shared" ca="1" si="29"/>
        <v>3.54</v>
      </c>
      <c r="J228" s="136">
        <f t="shared" ca="1" si="29"/>
        <v>3.54</v>
      </c>
      <c r="K228" s="136">
        <f t="shared" ca="1" si="29"/>
        <v>3.54</v>
      </c>
      <c r="L228" s="136">
        <f t="shared" ca="1" si="29"/>
        <v>3.54</v>
      </c>
      <c r="M228" s="136">
        <f t="shared" ca="1" si="29"/>
        <v>3.54</v>
      </c>
      <c r="N228" s="136">
        <f t="shared" ca="1" si="29"/>
        <v>3.54</v>
      </c>
      <c r="O228" s="136">
        <f t="shared" ca="1" si="29"/>
        <v>3.54</v>
      </c>
      <c r="P228" s="136">
        <f t="shared" ca="1" si="29"/>
        <v>3.54</v>
      </c>
      <c r="Q228" s="136">
        <f t="shared" si="29"/>
        <v>0</v>
      </c>
      <c r="R228" s="136">
        <f t="shared" si="29"/>
        <v>0</v>
      </c>
      <c r="S228" s="136">
        <f t="shared" si="29"/>
        <v>0</v>
      </c>
      <c r="T228" s="136">
        <f t="shared" si="29"/>
        <v>0</v>
      </c>
      <c r="U228" s="136">
        <f t="shared" si="29"/>
        <v>0</v>
      </c>
      <c r="V228" s="136">
        <f t="shared" si="29"/>
        <v>0</v>
      </c>
      <c r="W228" s="136">
        <f t="shared" si="29"/>
        <v>0</v>
      </c>
      <c r="X228" s="136">
        <f t="shared" si="29"/>
        <v>0</v>
      </c>
      <c r="Y228" s="136">
        <f t="shared" si="29"/>
        <v>0</v>
      </c>
      <c r="Z228" s="136">
        <f t="shared" si="29"/>
        <v>0</v>
      </c>
      <c r="AA228" s="136">
        <f t="shared" si="29"/>
        <v>0</v>
      </c>
      <c r="AB228" s="136">
        <f t="shared" si="29"/>
        <v>0</v>
      </c>
      <c r="AC228" s="136">
        <f t="shared" si="29"/>
        <v>0</v>
      </c>
      <c r="AD228" s="136">
        <f t="shared" si="29"/>
        <v>0</v>
      </c>
      <c r="AE228" s="136">
        <f t="shared" si="29"/>
        <v>0</v>
      </c>
      <c r="AF228" s="136">
        <f t="shared" si="29"/>
        <v>0</v>
      </c>
      <c r="AG228" s="145">
        <f t="shared" si="29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1563.94</v>
      </c>
      <c r="C237" s="161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24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str">
        <f ca="1">"Pie Chart of Daily Peak Demand(Inclusive of Export) of Nepal ("&amp;A4&amp;" "&amp;B4&amp;")"</f>
        <v>Pie Chart of Daily Peak Demand(Inclusive of Export) of Nepal (Nepali Date: 2079/10/24)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2079/10/24)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30">B85</f>
        <v>1017.94</v>
      </c>
      <c r="U242" s="170">
        <f t="shared" si="30"/>
        <v>1008.34</v>
      </c>
      <c r="V242" s="170">
        <f t="shared" si="30"/>
        <v>1007.1400000000001</v>
      </c>
      <c r="W242" s="170">
        <f t="shared" si="30"/>
        <v>998.24</v>
      </c>
      <c r="X242" s="170">
        <f t="shared" si="30"/>
        <v>1026.24</v>
      </c>
      <c r="Y242" s="170">
        <f t="shared" si="30"/>
        <v>1063.1400000000001</v>
      </c>
      <c r="Z242" s="170">
        <f t="shared" si="30"/>
        <v>1184.04</v>
      </c>
      <c r="AA242" s="170">
        <f t="shared" si="30"/>
        <v>1170.24</v>
      </c>
      <c r="AB242" s="170">
        <f t="shared" si="30"/>
        <v>1228.54</v>
      </c>
      <c r="AC242" s="170">
        <f t="shared" si="30"/>
        <v>1448.74</v>
      </c>
      <c r="AD242" s="170">
        <f t="shared" si="30"/>
        <v>1542.1399999999999</v>
      </c>
      <c r="AE242" s="170">
        <f t="shared" si="30"/>
        <v>1563.94</v>
      </c>
      <c r="AF242" s="170">
        <f t="shared" si="30"/>
        <v>1468.54</v>
      </c>
      <c r="AG242" s="170">
        <f t="shared" si="30"/>
        <v>1388.6399999999999</v>
      </c>
      <c r="AH242" s="170">
        <f t="shared" si="30"/>
        <v>1278.3400000000001</v>
      </c>
      <c r="AI242" s="170">
        <f t="shared" si="30"/>
        <v>1315.1399999999999</v>
      </c>
      <c r="AJ242" s="170">
        <f t="shared" si="30"/>
        <v>1315.6399999999999</v>
      </c>
      <c r="AK242" s="170">
        <f t="shared" si="30"/>
        <v>1282.94</v>
      </c>
      <c r="AL242" s="170">
        <f t="shared" si="30"/>
        <v>1347.1399999999999</v>
      </c>
      <c r="AM242" s="170">
        <f t="shared" si="30"/>
        <v>1331.8400000000001</v>
      </c>
      <c r="AN242" s="170">
        <f t="shared" si="30"/>
        <v>1219.2399999999998</v>
      </c>
      <c r="AO242" s="170">
        <f t="shared" si="30"/>
        <v>1205.94</v>
      </c>
      <c r="AP242" s="170">
        <f t="shared" si="30"/>
        <v>1490.74</v>
      </c>
      <c r="AQ242" s="170">
        <f t="shared" si="30"/>
        <v>1619.5400000000002</v>
      </c>
      <c r="AR242" s="170">
        <f t="shared" si="30"/>
        <v>1575.3400000000001</v>
      </c>
      <c r="AS242" s="170">
        <f t="shared" si="30"/>
        <v>1513.3400000000001</v>
      </c>
      <c r="AT242" s="170">
        <f t="shared" si="30"/>
        <v>1398.94</v>
      </c>
      <c r="AU242" s="170">
        <f t="shared" si="30"/>
        <v>1370.84</v>
      </c>
      <c r="AV242" s="170">
        <f t="shared" si="30"/>
        <v>1259.6399999999999</v>
      </c>
      <c r="AW242" s="170">
        <f t="shared" si="30"/>
        <v>1160.6399999999999</v>
      </c>
      <c r="AX242" s="170">
        <f t="shared" si="30"/>
        <v>1028.54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31">C227</f>
        <v>0.64</v>
      </c>
      <c r="C263" s="173">
        <f t="shared" si="31"/>
        <v>0.64</v>
      </c>
      <c r="D263" s="173">
        <f t="shared" si="31"/>
        <v>0.64</v>
      </c>
      <c r="E263" s="173">
        <f t="shared" si="31"/>
        <v>0.64</v>
      </c>
      <c r="F263" s="173">
        <f t="shared" si="31"/>
        <v>0.64</v>
      </c>
      <c r="G263" s="173">
        <f t="shared" si="31"/>
        <v>0.64</v>
      </c>
      <c r="H263" s="173">
        <f t="shared" si="31"/>
        <v>0.64</v>
      </c>
      <c r="I263" s="173">
        <f t="shared" si="31"/>
        <v>0.64</v>
      </c>
      <c r="J263" s="173">
        <f t="shared" si="31"/>
        <v>0.64</v>
      </c>
      <c r="K263" s="173">
        <f t="shared" si="31"/>
        <v>0.64</v>
      </c>
      <c r="L263" s="173">
        <f t="shared" si="31"/>
        <v>0.64</v>
      </c>
      <c r="M263" s="173">
        <f t="shared" si="31"/>
        <v>0.64</v>
      </c>
      <c r="N263" s="173">
        <f t="shared" si="31"/>
        <v>0.64</v>
      </c>
      <c r="O263" s="173">
        <f t="shared" si="31"/>
        <v>0.64</v>
      </c>
      <c r="P263" s="173">
        <f t="shared" si="31"/>
        <v>0</v>
      </c>
      <c r="Q263" s="173">
        <f t="shared" si="31"/>
        <v>0</v>
      </c>
      <c r="R263" s="173">
        <f t="shared" si="31"/>
        <v>0</v>
      </c>
      <c r="S263" s="173">
        <f t="shared" si="31"/>
        <v>0</v>
      </c>
      <c r="T263" s="173">
        <f t="shared" si="31"/>
        <v>0</v>
      </c>
      <c r="U263" s="173">
        <f t="shared" si="31"/>
        <v>0</v>
      </c>
      <c r="V263" s="173">
        <f t="shared" si="31"/>
        <v>0</v>
      </c>
      <c r="W263" s="173">
        <f t="shared" si="31"/>
        <v>0</v>
      </c>
      <c r="X263" s="173">
        <f t="shared" si="31"/>
        <v>0</v>
      </c>
      <c r="Y263" s="173">
        <f t="shared" si="31"/>
        <v>0</v>
      </c>
      <c r="Z263" s="173">
        <f t="shared" si="31"/>
        <v>0</v>
      </c>
      <c r="AA263" s="173">
        <f t="shared" si="31"/>
        <v>0</v>
      </c>
      <c r="AB263" s="173">
        <f t="shared" si="31"/>
        <v>0</v>
      </c>
      <c r="AC263" s="173">
        <f t="shared" si="31"/>
        <v>0</v>
      </c>
      <c r="AD263" s="173">
        <f t="shared" si="31"/>
        <v>0</v>
      </c>
      <c r="AE263" s="173">
        <f t="shared" si="31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32">IF(B231&lt;100,"",B231-520)</f>
        <v/>
      </c>
      <c r="C264" s="174" t="str">
        <f t="shared" si="32"/>
        <v/>
      </c>
      <c r="D264" s="174" t="str">
        <f t="shared" si="32"/>
        <v/>
      </c>
      <c r="E264" s="174" t="str">
        <f t="shared" si="32"/>
        <v/>
      </c>
      <c r="F264" s="174" t="str">
        <f t="shared" si="32"/>
        <v/>
      </c>
      <c r="G264" s="174" t="str">
        <f t="shared" si="32"/>
        <v/>
      </c>
      <c r="H264" s="174" t="str">
        <f t="shared" si="32"/>
        <v/>
      </c>
      <c r="I264" s="174" t="str">
        <f t="shared" si="32"/>
        <v/>
      </c>
      <c r="J264" s="174" t="str">
        <f t="shared" si="32"/>
        <v/>
      </c>
      <c r="K264" s="174" t="str">
        <f t="shared" si="32"/>
        <v/>
      </c>
      <c r="L264" s="174" t="str">
        <f t="shared" si="32"/>
        <v/>
      </c>
      <c r="M264" s="174" t="str">
        <f t="shared" si="32"/>
        <v/>
      </c>
      <c r="N264" s="174" t="str">
        <f t="shared" si="32"/>
        <v/>
      </c>
      <c r="O264" s="174" t="str">
        <f t="shared" si="32"/>
        <v/>
      </c>
      <c r="P264" s="174" t="str">
        <f t="shared" si="32"/>
        <v/>
      </c>
      <c r="Q264" s="174" t="str">
        <f t="shared" si="32"/>
        <v/>
      </c>
      <c r="R264" s="174" t="str">
        <f t="shared" si="32"/>
        <v/>
      </c>
      <c r="S264" s="174" t="str">
        <f t="shared" si="32"/>
        <v/>
      </c>
      <c r="T264" s="174" t="str">
        <f t="shared" si="32"/>
        <v/>
      </c>
      <c r="U264" s="174" t="str">
        <f t="shared" si="32"/>
        <v/>
      </c>
      <c r="V264" s="174" t="str">
        <f t="shared" si="32"/>
        <v/>
      </c>
      <c r="W264" s="174" t="str">
        <f t="shared" si="32"/>
        <v/>
      </c>
      <c r="X264" s="174" t="str">
        <f t="shared" si="32"/>
        <v/>
      </c>
      <c r="Y264" s="174" t="str">
        <f t="shared" si="32"/>
        <v/>
      </c>
      <c r="Z264" s="174" t="str">
        <f t="shared" si="32"/>
        <v/>
      </c>
      <c r="AA264" s="174" t="str">
        <f t="shared" si="32"/>
        <v/>
      </c>
      <c r="AB264" s="174" t="str">
        <f t="shared" si="32"/>
        <v/>
      </c>
      <c r="AC264" s="174" t="str">
        <f t="shared" si="32"/>
        <v/>
      </c>
      <c r="AD264" s="174" t="str">
        <f t="shared" si="32"/>
        <v/>
      </c>
      <c r="AE264" s="174" t="str">
        <f t="shared" si="32"/>
        <v/>
      </c>
      <c r="AF264" s="174" t="str">
        <f t="shared" si="32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33">IF(B232&lt;100,"",B232-620)</f>
        <v/>
      </c>
      <c r="C265" s="174" t="str">
        <f t="shared" si="33"/>
        <v/>
      </c>
      <c r="D265" s="174" t="str">
        <f t="shared" si="33"/>
        <v/>
      </c>
      <c r="E265" s="174" t="str">
        <f t="shared" si="33"/>
        <v/>
      </c>
      <c r="F265" s="174" t="str">
        <f t="shared" si="33"/>
        <v/>
      </c>
      <c r="G265" s="174" t="str">
        <f t="shared" si="33"/>
        <v/>
      </c>
      <c r="H265" s="174" t="str">
        <f t="shared" si="33"/>
        <v/>
      </c>
      <c r="I265" s="174" t="str">
        <f t="shared" si="33"/>
        <v/>
      </c>
      <c r="J265" s="174" t="str">
        <f t="shared" si="33"/>
        <v/>
      </c>
      <c r="K265" s="174" t="str">
        <f t="shared" si="33"/>
        <v/>
      </c>
      <c r="L265" s="174" t="str">
        <f t="shared" si="33"/>
        <v/>
      </c>
      <c r="M265" s="174" t="str">
        <f t="shared" si="33"/>
        <v/>
      </c>
      <c r="N265" s="174" t="str">
        <f t="shared" si="33"/>
        <v/>
      </c>
      <c r="O265" s="174" t="str">
        <f t="shared" si="33"/>
        <v/>
      </c>
      <c r="P265" s="174" t="str">
        <f t="shared" si="33"/>
        <v/>
      </c>
      <c r="Q265" s="174" t="str">
        <f t="shared" si="33"/>
        <v/>
      </c>
      <c r="R265" s="174" t="str">
        <f t="shared" si="33"/>
        <v/>
      </c>
      <c r="S265" s="174" t="str">
        <f t="shared" si="33"/>
        <v/>
      </c>
      <c r="T265" s="174" t="str">
        <f t="shared" si="33"/>
        <v/>
      </c>
      <c r="U265" s="174" t="str">
        <f t="shared" si="33"/>
        <v/>
      </c>
      <c r="V265" s="174" t="str">
        <f t="shared" si="33"/>
        <v/>
      </c>
      <c r="W265" s="174" t="str">
        <f t="shared" si="33"/>
        <v/>
      </c>
      <c r="X265" s="174" t="str">
        <f t="shared" si="33"/>
        <v/>
      </c>
      <c r="Y265" s="174" t="str">
        <f t="shared" si="33"/>
        <v/>
      </c>
      <c r="Z265" s="174" t="str">
        <f t="shared" si="33"/>
        <v/>
      </c>
      <c r="AA265" s="174" t="str">
        <f t="shared" si="33"/>
        <v/>
      </c>
      <c r="AB265" s="174" t="str">
        <f t="shared" si="33"/>
        <v/>
      </c>
      <c r="AC265" s="174" t="str">
        <f t="shared" si="33"/>
        <v/>
      </c>
      <c r="AD265" s="174" t="str">
        <f t="shared" si="33"/>
        <v/>
      </c>
      <c r="AE265" s="174" t="str">
        <f t="shared" si="33"/>
        <v/>
      </c>
      <c r="AF265" s="174" t="str">
        <f t="shared" si="33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34">IF(B233&lt;100,"",B233-330)</f>
        <v/>
      </c>
      <c r="C266" s="174" t="str">
        <f t="shared" si="34"/>
        <v/>
      </c>
      <c r="D266" s="174" t="str">
        <f t="shared" si="34"/>
        <v/>
      </c>
      <c r="E266" s="174" t="str">
        <f t="shared" si="34"/>
        <v/>
      </c>
      <c r="F266" s="174" t="str">
        <f t="shared" si="34"/>
        <v/>
      </c>
      <c r="G266" s="174" t="str">
        <f t="shared" si="34"/>
        <v/>
      </c>
      <c r="H266" s="174" t="str">
        <f t="shared" si="34"/>
        <v/>
      </c>
      <c r="I266" s="174" t="str">
        <f t="shared" si="34"/>
        <v/>
      </c>
      <c r="J266" s="174" t="str">
        <f t="shared" si="34"/>
        <v/>
      </c>
      <c r="K266" s="174" t="str">
        <f t="shared" si="34"/>
        <v/>
      </c>
      <c r="L266" s="174" t="str">
        <f t="shared" si="34"/>
        <v/>
      </c>
      <c r="M266" s="174" t="str">
        <f t="shared" si="34"/>
        <v/>
      </c>
      <c r="N266" s="174" t="str">
        <f t="shared" si="34"/>
        <v/>
      </c>
      <c r="O266" s="174" t="str">
        <f t="shared" si="34"/>
        <v/>
      </c>
      <c r="P266" s="174" t="str">
        <f t="shared" si="34"/>
        <v/>
      </c>
      <c r="Q266" s="174" t="str">
        <f t="shared" si="34"/>
        <v/>
      </c>
      <c r="R266" s="174" t="str">
        <f t="shared" si="34"/>
        <v/>
      </c>
      <c r="S266" s="174" t="str">
        <f t="shared" si="34"/>
        <v/>
      </c>
      <c r="T266" s="174" t="str">
        <f t="shared" si="34"/>
        <v/>
      </c>
      <c r="U266" s="174" t="str">
        <f t="shared" si="34"/>
        <v/>
      </c>
      <c r="V266" s="174" t="str">
        <f t="shared" si="34"/>
        <v/>
      </c>
      <c r="W266" s="174" t="str">
        <f t="shared" si="34"/>
        <v/>
      </c>
      <c r="X266" s="174" t="str">
        <f t="shared" si="34"/>
        <v/>
      </c>
      <c r="Y266" s="174" t="str">
        <f t="shared" si="34"/>
        <v/>
      </c>
      <c r="Z266" s="174" t="str">
        <f t="shared" si="34"/>
        <v/>
      </c>
      <c r="AA266" s="174" t="str">
        <f t="shared" si="34"/>
        <v/>
      </c>
      <c r="AB266" s="174" t="str">
        <f t="shared" si="34"/>
        <v/>
      </c>
      <c r="AC266" s="174" t="str">
        <f t="shared" si="34"/>
        <v/>
      </c>
      <c r="AD266" s="174" t="str">
        <f t="shared" si="34"/>
        <v/>
      </c>
      <c r="AE266" s="174" t="str">
        <f t="shared" si="34"/>
        <v/>
      </c>
      <c r="AF266" s="174" t="str">
        <f t="shared" si="34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35">IF(B234&lt;100,"",B234-1500)</f>
        <v/>
      </c>
      <c r="C267" s="174" t="str">
        <f t="shared" si="35"/>
        <v/>
      </c>
      <c r="D267" s="174" t="str">
        <f t="shared" si="35"/>
        <v/>
      </c>
      <c r="E267" s="174" t="str">
        <f t="shared" si="35"/>
        <v/>
      </c>
      <c r="F267" s="174" t="str">
        <f t="shared" si="35"/>
        <v/>
      </c>
      <c r="G267" s="174" t="str">
        <f t="shared" si="35"/>
        <v/>
      </c>
      <c r="H267" s="174" t="str">
        <f t="shared" si="35"/>
        <v/>
      </c>
      <c r="I267" s="174" t="str">
        <f t="shared" si="35"/>
        <v/>
      </c>
      <c r="J267" s="174" t="str">
        <f t="shared" si="35"/>
        <v/>
      </c>
      <c r="K267" s="174" t="str">
        <f t="shared" si="35"/>
        <v/>
      </c>
      <c r="L267" s="174" t="str">
        <f t="shared" si="35"/>
        <v/>
      </c>
      <c r="M267" s="174" t="str">
        <f t="shared" si="35"/>
        <v/>
      </c>
      <c r="N267" s="174" t="str">
        <f t="shared" si="35"/>
        <v/>
      </c>
      <c r="O267" s="174" t="str">
        <f t="shared" si="35"/>
        <v/>
      </c>
      <c r="P267" s="174" t="str">
        <f t="shared" si="35"/>
        <v/>
      </c>
      <c r="Q267" s="174" t="str">
        <f t="shared" si="35"/>
        <v/>
      </c>
      <c r="R267" s="174" t="str">
        <f t="shared" si="35"/>
        <v/>
      </c>
      <c r="S267" s="174" t="str">
        <f t="shared" si="35"/>
        <v/>
      </c>
      <c r="T267" s="174" t="str">
        <f t="shared" si="35"/>
        <v/>
      </c>
      <c r="U267" s="174" t="str">
        <f t="shared" si="35"/>
        <v/>
      </c>
      <c r="V267" s="174" t="str">
        <f t="shared" si="35"/>
        <v/>
      </c>
      <c r="W267" s="174" t="str">
        <f t="shared" si="35"/>
        <v/>
      </c>
      <c r="X267" s="174" t="str">
        <f t="shared" si="35"/>
        <v/>
      </c>
      <c r="Y267" s="174" t="str">
        <f t="shared" si="35"/>
        <v/>
      </c>
      <c r="Z267" s="174" t="str">
        <f t="shared" si="35"/>
        <v/>
      </c>
      <c r="AA267" s="174" t="str">
        <f t="shared" si="35"/>
        <v/>
      </c>
      <c r="AB267" s="174" t="str">
        <f t="shared" si="35"/>
        <v/>
      </c>
      <c r="AC267" s="174" t="str">
        <f t="shared" si="35"/>
        <v/>
      </c>
      <c r="AD267" s="174" t="str">
        <f t="shared" si="35"/>
        <v/>
      </c>
      <c r="AE267" s="174" t="str">
        <f t="shared" si="35"/>
        <v/>
      </c>
      <c r="AF267" s="174" t="str">
        <f t="shared" si="35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X11:AA13 D105:AF105 D107:AF112 Y14:AA41 AB11:AF41">
    <cfRule type="expression" dxfId="3270" priority="234">
      <formula>B$9&gt;=20/24</formula>
    </cfRule>
    <cfRule type="expression" dxfId="3269" priority="235">
      <formula>AND(B$9&gt;=14/24,B$9&lt;20/24)</formula>
    </cfRule>
    <cfRule type="expression" dxfId="3268" priority="236">
      <formula>AND(B$9&gt;=8/24,B$9&lt;14/24)</formula>
    </cfRule>
    <cfRule type="expression" dxfId="3267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G61 X11:AA13 Y14:AA41 AB11:AF41">
    <cfRule type="expression" dxfId="3266" priority="232">
      <formula>X11&gt;$AG11</formula>
    </cfRule>
  </conditionalFormatting>
  <conditionalFormatting sqref="A95:A105 A55:A82 A91:A93 A198:A228 A42:A53 A114:A185 A38:A39 A87:A89 A84:A85 A107:A109 A35:A36 A17:A18 A11:A15 A20:A33">
    <cfRule type="expression" dxfId="3265" priority="231">
      <formula>$AH11=0</formula>
    </cfRule>
  </conditionalFormatting>
  <conditionalFormatting sqref="A110">
    <cfRule type="expression" dxfId="3264" priority="230">
      <formula>$AH110=0</formula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3263" priority="228">
      <formula>$AH41=0</formula>
    </cfRule>
  </conditionalFormatting>
  <conditionalFormatting sqref="A94">
    <cfRule type="expression" dxfId="3262" priority="227">
      <formula>$AH94=0</formula>
    </cfRule>
  </conditionalFormatting>
  <conditionalFormatting sqref="A16">
    <cfRule type="expression" dxfId="3261" priority="226">
      <formula>$AH16=0</formula>
    </cfRule>
  </conditionalFormatting>
  <conditionalFormatting sqref="A192:A197">
    <cfRule type="expression" dxfId="3260" priority="225">
      <formula>$AH192=0</formula>
    </cfRule>
  </conditionalFormatting>
  <conditionalFormatting sqref="A186:A191">
    <cfRule type="expression" dxfId="3259" priority="224">
      <formula>$AH186=0</formula>
    </cfRule>
  </conditionalFormatting>
  <conditionalFormatting sqref="A54">
    <cfRule type="expression" dxfId="3258" priority="223">
      <formula>$AH54=0</formula>
    </cfRule>
  </conditionalFormatting>
  <conditionalFormatting sqref="A90">
    <cfRule type="expression" dxfId="3257" priority="222">
      <formula>$AH90=0</formula>
    </cfRule>
  </conditionalFormatting>
  <conditionalFormatting sqref="AD95:AF95 E95:X95">
    <cfRule type="expression" dxfId="3256" priority="218">
      <formula>E$9&gt;=20/24</formula>
    </cfRule>
    <cfRule type="expression" dxfId="3255" priority="219">
      <formula>AND(E$9&gt;=14/24,E$9&lt;20/24)</formula>
    </cfRule>
    <cfRule type="expression" dxfId="3254" priority="220">
      <formula>AND(E$9&gt;=8/24,E$9&lt;14/24)</formula>
    </cfRule>
    <cfRule type="expression" dxfId="3253" priority="221">
      <formula>E$9&lt;8/24</formula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252" priority="240">
      <formula>C$9&gt;=20/24</formula>
    </cfRule>
    <cfRule type="expression" dxfId="3251" priority="241">
      <formula>AND(C$9&gt;=14/24,C$9&lt;20/24)</formula>
    </cfRule>
    <cfRule type="expression" dxfId="3250" priority="242">
      <formula>AND(C$9&gt;=8/24,C$9&lt;14/24)</formula>
    </cfRule>
    <cfRule type="expression" dxfId="3249" priority="243">
      <formula>C$9&lt;8/24</formula>
    </cfRule>
  </conditionalFormatting>
  <conditionalFormatting sqref="A229">
    <cfRule type="expression" dxfId="3248" priority="244">
      <formula>$AH229=0</formula>
    </cfRule>
  </conditionalFormatting>
  <conditionalFormatting sqref="AG241">
    <cfRule type="expression" dxfId="3247" priority="245">
      <formula>B$9&gt;=20/24</formula>
    </cfRule>
    <cfRule type="expression" dxfId="3246" priority="246">
      <formula>AND(B$9&gt;=14/24,B$9&lt;20/24)</formula>
    </cfRule>
    <cfRule type="expression" dxfId="3245" priority="247">
      <formula>AND(B$9&gt;=8/24,B$9&lt;14/24)</formula>
    </cfRule>
    <cfRule type="expression" dxfId="3244" priority="248">
      <formula>B$9&lt;8/24</formula>
    </cfRule>
  </conditionalFormatting>
  <conditionalFormatting sqref="S8">
    <cfRule type="expression" dxfId="3243" priority="213">
      <formula>U$9&gt;=20/24</formula>
    </cfRule>
    <cfRule type="expression" dxfId="3242" priority="214">
      <formula>AND(U$9&gt;=14/24,U$9&lt;20/24)</formula>
    </cfRule>
    <cfRule type="expression" dxfId="3241" priority="215">
      <formula>AND(U$9&gt;=8/24,U$9&lt;14/24)</formula>
    </cfRule>
    <cfRule type="expression" dxfId="3240" priority="216">
      <formula>U$9&lt;8/24</formula>
    </cfRule>
  </conditionalFormatting>
  <conditionalFormatting sqref="AB8">
    <cfRule type="expression" dxfId="3239" priority="209">
      <formula>AD$9&gt;=20/24</formula>
    </cfRule>
    <cfRule type="expression" dxfId="3238" priority="210">
      <formula>AND(AD$9&gt;=14/24,AD$9&lt;20/24)</formula>
    </cfRule>
    <cfRule type="expression" dxfId="3237" priority="211">
      <formula>AND(AD$9&gt;=8/24,AD$9&lt;14/24)</formula>
    </cfRule>
    <cfRule type="expression" dxfId="3236" priority="212">
      <formula>AD$9&lt;8/24</formula>
    </cfRule>
  </conditionalFormatting>
  <conditionalFormatting sqref="AH241:AX241">
    <cfRule type="expression" dxfId="3235" priority="249">
      <formula>AG$9&gt;=20/24</formula>
    </cfRule>
    <cfRule type="expression" dxfId="3234" priority="250">
      <formula>AND(AG$9&gt;=14/24,AG$9&lt;20/24)</formula>
    </cfRule>
    <cfRule type="expression" dxfId="3233" priority="251">
      <formula>AND(AG$9&gt;=8/24,AG$9&lt;14/24)</formula>
    </cfRule>
    <cfRule type="expression" dxfId="3232" priority="252">
      <formula>AG$9&lt;8/24</formula>
    </cfRule>
  </conditionalFormatting>
  <conditionalFormatting sqref="T241">
    <cfRule type="expression" dxfId="3231" priority="253">
      <formula>AX$9&gt;=20/24</formula>
    </cfRule>
    <cfRule type="expression" dxfId="3230" priority="254">
      <formula>AND(AX$9&gt;=14/24,AX$9&lt;20/24)</formula>
    </cfRule>
    <cfRule type="expression" dxfId="3229" priority="255">
      <formula>AND(AX$9&gt;=8/24,AX$9&lt;14/24)</formula>
    </cfRule>
    <cfRule type="expression" dxfId="3228" priority="256">
      <formula>AX$9&lt;8/24</formula>
    </cfRule>
  </conditionalFormatting>
  <conditionalFormatting sqref="A111:A112">
    <cfRule type="expression" dxfId="3227" priority="208">
      <formula>$AH111=0</formula>
    </cfRule>
  </conditionalFormatting>
  <conditionalFormatting sqref="AB50:AC51 W52:AC52 O50:Q54 R52:R54 E67:AF67 S54:U54 Y53:AC53 AD50:AF53">
    <cfRule type="expression" dxfId="3226" priority="204">
      <formula>E$9&gt;=20/24</formula>
    </cfRule>
    <cfRule type="expression" dxfId="3225" priority="205">
      <formula>AND(E$9&gt;=14/24,E$9&lt;20/24)</formula>
    </cfRule>
    <cfRule type="expression" dxfId="3224" priority="206">
      <formula>AND(E$9&gt;=8/24,E$9&lt;14/24)</formula>
    </cfRule>
    <cfRule type="expression" dxfId="3223" priority="207">
      <formula>E$9&lt;8/24</formula>
    </cfRule>
  </conditionalFormatting>
  <conditionalFormatting sqref="O49:Q49 AB49:AF49">
    <cfRule type="expression" dxfId="3222" priority="200">
      <formula>O$9&gt;=20/24</formula>
    </cfRule>
    <cfRule type="expression" dxfId="3221" priority="201">
      <formula>AND(O$9&gt;=14/24,O$9&lt;20/24)</formula>
    </cfRule>
    <cfRule type="expression" dxfId="3220" priority="202">
      <formula>AND(O$9&gt;=8/24,O$9&lt;14/24)</formula>
    </cfRule>
    <cfRule type="expression" dxfId="3219" priority="203">
      <formula>O$9&lt;8/24</formula>
    </cfRule>
  </conditionalFormatting>
  <conditionalFormatting sqref="AB49:AC51 W52:AC52 O49:Q54 R52:R54 S54:U54 Y53:AC53 AD49:AF53">
    <cfRule type="expression" dxfId="3218" priority="199">
      <formula>O49&gt;$AG49</formula>
    </cfRule>
  </conditionalFormatting>
  <conditionalFormatting sqref="X70:AC70 X92:AF92 AD96:AF102 D82:AF82 M96:X102 E68:AC69 X43:AF43 X63:AF65 AD68:AF70">
    <cfRule type="expression" dxfId="3217" priority="195">
      <formula>D$9&gt;=20/24</formula>
    </cfRule>
    <cfRule type="expression" dxfId="3216" priority="196">
      <formula>AND(D$9&gt;=14/24,D$9&lt;20/24)</formula>
    </cfRule>
    <cfRule type="expression" dxfId="3215" priority="197">
      <formula>AND(D$9&gt;=8/24,D$9&lt;14/24)</formula>
    </cfRule>
    <cfRule type="expression" dxfId="3214" priority="198">
      <formula>D$9&lt;8/24</formula>
    </cfRule>
  </conditionalFormatting>
  <conditionalFormatting sqref="X43:AF43 X63:AF65">
    <cfRule type="expression" dxfId="3213" priority="194">
      <formula>X43&gt;$AG43</formula>
    </cfRule>
  </conditionalFormatting>
  <conditionalFormatting sqref="R49:AA51 S52:V53 V54 W53:X54">
    <cfRule type="expression" dxfId="3212" priority="190">
      <formula>R$9&gt;=20/24</formula>
    </cfRule>
    <cfRule type="expression" dxfId="3211" priority="191">
      <formula>AND(R$9&gt;=14/24,R$9&lt;20/24)</formula>
    </cfRule>
    <cfRule type="expression" dxfId="3210" priority="192">
      <formula>AND(R$9&gt;=8/24,R$9&lt;14/24)</formula>
    </cfRule>
    <cfRule type="expression" dxfId="3209" priority="193">
      <formula>R$9&lt;8/24</formula>
    </cfRule>
  </conditionalFormatting>
  <conditionalFormatting sqref="R49:AA51 S52:V53 V54 W53:X54">
    <cfRule type="expression" dxfId="3208" priority="189">
      <formula>R49&gt;$AG49</formula>
    </cfRule>
  </conditionalFormatting>
  <conditionalFormatting sqref="C84:AF84 C93:AF93">
    <cfRule type="expression" dxfId="3207" priority="185">
      <formula>C$9&gt;=20/24</formula>
    </cfRule>
    <cfRule type="expression" dxfId="3206" priority="186">
      <formula>AND(C$9&gt;=14/24,C$9&lt;20/24)</formula>
    </cfRule>
    <cfRule type="expression" dxfId="3205" priority="187">
      <formula>AND(C$9&gt;=8/24,C$9&lt;14/24)</formula>
    </cfRule>
    <cfRule type="expression" dxfId="3204" priority="188">
      <formula>C$9&lt;8/24</formula>
    </cfRule>
  </conditionalFormatting>
  <conditionalFormatting sqref="T43:W43">
    <cfRule type="expression" dxfId="3203" priority="181">
      <formula>T$9&gt;=20/24</formula>
    </cfRule>
    <cfRule type="expression" dxfId="3202" priority="182">
      <formula>AND(T$9&gt;=14/24,T$9&lt;20/24)</formula>
    </cfRule>
    <cfRule type="expression" dxfId="3201" priority="183">
      <formula>AND(T$9&gt;=8/24,T$9&lt;14/24)</formula>
    </cfRule>
    <cfRule type="expression" dxfId="3200" priority="184">
      <formula>T$9&lt;8/24</formula>
    </cfRule>
  </conditionalFormatting>
  <conditionalFormatting sqref="T43:W43">
    <cfRule type="expression" dxfId="3199" priority="180">
      <formula>T43&gt;$AG43</formula>
    </cfRule>
  </conditionalFormatting>
  <conditionalFormatting sqref="E50:N51 Y42:AF42">
    <cfRule type="expression" dxfId="3198" priority="176">
      <formula>E$9&gt;=20/24</formula>
    </cfRule>
    <cfRule type="expression" dxfId="3197" priority="177">
      <formula>AND(E$9&gt;=14/24,E$9&lt;20/24)</formula>
    </cfRule>
    <cfRule type="expression" dxfId="3196" priority="178">
      <formula>AND(E$9&gt;=8/24,E$9&lt;14/24)</formula>
    </cfRule>
    <cfRule type="expression" dxfId="3195" priority="179">
      <formula>E$9&lt;8/24</formula>
    </cfRule>
  </conditionalFormatting>
  <conditionalFormatting sqref="E49:N49">
    <cfRule type="expression" dxfId="3194" priority="172">
      <formula>E$9&gt;=20/24</formula>
    </cfRule>
    <cfRule type="expression" dxfId="3193" priority="173">
      <formula>AND(E$9&gt;=14/24,E$9&lt;20/24)</formula>
    </cfRule>
    <cfRule type="expression" dxfId="3192" priority="174">
      <formula>AND(E$9&gt;=8/24,E$9&lt;14/24)</formula>
    </cfRule>
    <cfRule type="expression" dxfId="3191" priority="175">
      <formula>E$9&lt;8/24</formula>
    </cfRule>
  </conditionalFormatting>
  <conditionalFormatting sqref="E49:N51 Y42:AF42">
    <cfRule type="expression" dxfId="3190" priority="171">
      <formula>E42&gt;$AG42</formula>
    </cfRule>
  </conditionalFormatting>
  <conditionalFormatting sqref="AG66 AG83 E96:L102 Q63:W65">
    <cfRule type="expression" dxfId="3189" priority="167">
      <formula>E$9&gt;=20/24</formula>
    </cfRule>
    <cfRule type="expression" dxfId="3188" priority="168">
      <formula>AND(E$9&gt;=14/24,E$9&lt;20/24)</formula>
    </cfRule>
    <cfRule type="expression" dxfId="3187" priority="169">
      <formula>AND(E$9&gt;=8/24,E$9&lt;14/24)</formula>
    </cfRule>
    <cfRule type="expression" dxfId="3186" priority="170">
      <formula>E$9&lt;8/24</formula>
    </cfRule>
  </conditionalFormatting>
  <conditionalFormatting sqref="AG44 AG62 AG66 Q63:W65">
    <cfRule type="expression" dxfId="3185" priority="166">
      <formula>Q44&gt;$AG44</formula>
    </cfRule>
  </conditionalFormatting>
  <conditionalFormatting sqref="Y54:AF54">
    <cfRule type="expression" dxfId="3184" priority="162">
      <formula>Y$9&gt;=20/24</formula>
    </cfRule>
    <cfRule type="expression" dxfId="3183" priority="163">
      <formula>AND(Y$9&gt;=14/24,Y$9&lt;20/24)</formula>
    </cfRule>
    <cfRule type="expression" dxfId="3182" priority="164">
      <formula>AND(Y$9&gt;=8/24,Y$9&lt;14/24)</formula>
    </cfRule>
    <cfRule type="expression" dxfId="3181" priority="165">
      <formula>Y$9&lt;8/24</formula>
    </cfRule>
  </conditionalFormatting>
  <conditionalFormatting sqref="Y54:AF54">
    <cfRule type="expression" dxfId="3180" priority="161">
      <formula>Y54&gt;$AG54</formula>
    </cfRule>
  </conditionalFormatting>
  <conditionalFormatting sqref="A40">
    <cfRule type="expression" dxfId="3179" priority="160">
      <formula>$AH40=0</formula>
    </cfRule>
  </conditionalFormatting>
  <conditionalFormatting sqref="X87:AF91">
    <cfRule type="expression" dxfId="3178" priority="156">
      <formula>X$9&gt;=20/24</formula>
    </cfRule>
    <cfRule type="expression" dxfId="3177" priority="157">
      <formula>AND(X$9&gt;=14/24,X$9&lt;20/24)</formula>
    </cfRule>
    <cfRule type="expression" dxfId="3176" priority="158">
      <formula>AND(X$9&gt;=8/24,X$9&lt;14/24)</formula>
    </cfRule>
    <cfRule type="expression" dxfId="3175" priority="159">
      <formula>X$9&lt;8/24</formula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E45:AF47">
    <cfRule type="expression" dxfId="3174" priority="152">
      <formula>E$9&gt;=20/24</formula>
    </cfRule>
    <cfRule type="expression" dxfId="3173" priority="153">
      <formula>AND(E$9&gt;=14/24,E$9&lt;20/24)</formula>
    </cfRule>
    <cfRule type="expression" dxfId="3172" priority="154">
      <formula>AND(E$9&gt;=8/24,E$9&lt;14/24)</formula>
    </cfRule>
    <cfRule type="expression" dxfId="3171" priority="155">
      <formula>E$9&lt;8/24</formula>
    </cfRule>
  </conditionalFormatting>
  <conditionalFormatting sqref="E45:AF47">
    <cfRule type="expression" dxfId="3170" priority="151">
      <formula>E45&gt;$AG45</formula>
    </cfRule>
  </conditionalFormatting>
  <conditionalFormatting sqref="AG48">
    <cfRule type="expression" dxfId="3169" priority="147">
      <formula>AG$9&gt;=20/24</formula>
    </cfRule>
    <cfRule type="expression" dxfId="3168" priority="148">
      <formula>AND(AG$9&gt;=14/24,AG$9&lt;20/24)</formula>
    </cfRule>
    <cfRule type="expression" dxfId="3167" priority="149">
      <formula>AND(AG$9&gt;=8/24,AG$9&lt;14/24)</formula>
    </cfRule>
    <cfRule type="expression" dxfId="3166" priority="150">
      <formula>AG$9&lt;8/24</formula>
    </cfRule>
  </conditionalFormatting>
  <conditionalFormatting sqref="AG48">
    <cfRule type="expression" dxfId="3165" priority="146">
      <formula>AG48&gt;$AG48</formula>
    </cfRule>
  </conditionalFormatting>
  <conditionalFormatting sqref="C103:AF103">
    <cfRule type="expression" dxfId="3164" priority="142">
      <formula>C$9&gt;=20/24</formula>
    </cfRule>
    <cfRule type="expression" dxfId="3163" priority="143">
      <formula>AND(C$9&gt;=14/24,C$9&lt;20/24)</formula>
    </cfRule>
    <cfRule type="expression" dxfId="3162" priority="144">
      <formula>AND(C$9&gt;=8/24,C$9&lt;14/24)</formula>
    </cfRule>
    <cfRule type="expression" dxfId="3161" priority="145">
      <formula>C$9&lt;8/24</formula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3160" priority="140">
      <formula>$AH37=0</formula>
    </cfRule>
  </conditionalFormatting>
  <conditionalFormatting sqref="A86">
    <cfRule type="expression" dxfId="3159" priority="138">
      <formula>$AH86=0</formula>
    </cfRule>
  </conditionalFormatting>
  <conditionalFormatting sqref="A83">
    <cfRule type="expression" dxfId="3158" priority="139">
      <formula>$AH83=0</formula>
    </cfRule>
  </conditionalFormatting>
  <conditionalFormatting sqref="A113">
    <cfRule type="expression" dxfId="3157" priority="129">
      <formula>$AH113=0</formula>
    </cfRule>
  </conditionalFormatting>
  <conditionalFormatting sqref="D106:AF106">
    <cfRule type="expression" dxfId="3156" priority="125">
      <formula>D$9&gt;=20/24</formula>
    </cfRule>
    <cfRule type="expression" dxfId="3155" priority="126">
      <formula>AND(D$9&gt;=14/24,D$9&lt;20/24)</formula>
    </cfRule>
    <cfRule type="expression" dxfId="3154" priority="127">
      <formula>AND(D$9&gt;=8/24,D$9&lt;14/24)</formula>
    </cfRule>
    <cfRule type="expression" dxfId="3153" priority="128">
      <formula>D$9&lt;8/24</formula>
    </cfRule>
  </conditionalFormatting>
  <conditionalFormatting sqref="A106">
    <cfRule type="expression" dxfId="3152" priority="124">
      <formula>$AH106=0</formula>
    </cfRule>
  </conditionalFormatting>
  <conditionalFormatting sqref="A19">
    <cfRule type="expression" dxfId="3151" priority="122">
      <formula>$AH19=0</formula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3150" priority="120">
      <formula>$AH34=0</formula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3149" priority="116">
      <formula>Y$9&gt;=20/24</formula>
    </cfRule>
    <cfRule type="expression" dxfId="3148" priority="117">
      <formula>AND(Y$9&gt;=14/24,Y$9&lt;20/24)</formula>
    </cfRule>
    <cfRule type="expression" dxfId="3147" priority="118">
      <formula>AND(Y$9&gt;=8/24,Y$9&lt;14/24)</formula>
    </cfRule>
    <cfRule type="expression" dxfId="3146" priority="119">
      <formula>Y$9&lt;8/24</formula>
    </cfRule>
  </conditionalFormatting>
  <conditionalFormatting sqref="Y96:AC102">
    <cfRule type="expression" dxfId="3145" priority="112">
      <formula>Y$9&gt;=20/24</formula>
    </cfRule>
    <cfRule type="expression" dxfId="3144" priority="113">
      <formula>AND(Y$9&gt;=14/24,Y$9&lt;20/24)</formula>
    </cfRule>
    <cfRule type="expression" dxfId="3143" priority="114">
      <formula>AND(Y$9&gt;=8/24,Y$9&lt;14/24)</formula>
    </cfRule>
    <cfRule type="expression" dxfId="3142" priority="115">
      <formula>Y$9&lt;8/24</formula>
    </cfRule>
  </conditionalFormatting>
  <conditionalFormatting sqref="B105:C105 B107:C112 B15:X40">
    <cfRule type="expression" dxfId="3141" priority="108">
      <formula>B$9&gt;=20/24</formula>
    </cfRule>
    <cfRule type="expression" dxfId="3140" priority="109">
      <formula>AND(B$9&gt;=14/24,B$9&lt;20/24)</formula>
    </cfRule>
    <cfRule type="expression" dxfId="3139" priority="110">
      <formula>AND(B$9&gt;=8/24,B$9&lt;14/24)</formula>
    </cfRule>
    <cfRule type="expression" dxfId="3138" priority="111">
      <formula>B$9&lt;8/24</formula>
    </cfRule>
  </conditionalFormatting>
  <conditionalFormatting sqref="B43:S43">
    <cfRule type="expression" dxfId="3137" priority="104">
      <formula>B$9&gt;=20/24</formula>
    </cfRule>
    <cfRule type="expression" dxfId="3136" priority="105">
      <formula>AND(B$9&gt;=14/24,B$9&lt;20/24)</formula>
    </cfRule>
    <cfRule type="expression" dxfId="3135" priority="106">
      <formula>AND(B$9&gt;=8/24,B$9&lt;14/24)</formula>
    </cfRule>
    <cfRule type="expression" dxfId="3134" priority="107">
      <formula>B$9&lt;8/24</formula>
    </cfRule>
  </conditionalFormatting>
  <conditionalFormatting sqref="B43:S43 B15:X40">
    <cfRule type="expression" dxfId="3133" priority="103">
      <formula>B15&gt;$AG15</formula>
    </cfRule>
  </conditionalFormatting>
  <conditionalFormatting sqref="B95:D95">
    <cfRule type="expression" dxfId="3132" priority="99">
      <formula>B$9&gt;=20/24</formula>
    </cfRule>
    <cfRule type="expression" dxfId="3131" priority="100">
      <formula>AND(B$9&gt;=14/24,B$9&lt;20/24)</formula>
    </cfRule>
    <cfRule type="expression" dxfId="3130" priority="101">
      <formula>AND(B$9&gt;=8/24,B$9&lt;14/24)</formula>
    </cfRule>
    <cfRule type="expression" dxfId="3129" priority="102">
      <formula>B$9&lt;8/24</formula>
    </cfRule>
  </conditionalFormatting>
  <conditionalFormatting sqref="B67:D67 B50:D51">
    <cfRule type="expression" dxfId="3128" priority="95">
      <formula>B$9&gt;=20/24</formula>
    </cfRule>
    <cfRule type="expression" dxfId="3127" priority="96">
      <formula>AND(B$9&gt;=14/24,B$9&lt;20/24)</formula>
    </cfRule>
    <cfRule type="expression" dxfId="3126" priority="97">
      <formula>AND(B$9&gt;=8/24,B$9&lt;14/24)</formula>
    </cfRule>
    <cfRule type="expression" dxfId="3125" priority="98">
      <formula>B$9&lt;8/24</formula>
    </cfRule>
  </conditionalFormatting>
  <conditionalFormatting sqref="B49:D49">
    <cfRule type="expression" dxfId="3124" priority="91">
      <formula>B$9&gt;=20/24</formula>
    </cfRule>
    <cfRule type="expression" dxfId="3123" priority="92">
      <formula>AND(B$9&gt;=14/24,B$9&lt;20/24)</formula>
    </cfRule>
    <cfRule type="expression" dxfId="3122" priority="93">
      <formula>AND(B$9&gt;=8/24,B$9&lt;14/24)</formula>
    </cfRule>
    <cfRule type="expression" dxfId="3121" priority="94">
      <formula>B$9&lt;8/24</formula>
    </cfRule>
  </conditionalFormatting>
  <conditionalFormatting sqref="B49:D51">
    <cfRule type="expression" dxfId="3120" priority="90">
      <formula>B49&gt;$AG49</formula>
    </cfRule>
  </conditionalFormatting>
  <conditionalFormatting sqref="B82:C82 B68:D72 B96:D102 B92:W92 B79:AF81 B63:P65 E70:W72 X71:AF72">
    <cfRule type="expression" dxfId="3119" priority="86">
      <formula>B$9&gt;=20/24</formula>
    </cfRule>
    <cfRule type="expression" dxfId="3118" priority="87">
      <formula>AND(B$9&gt;=14/24,B$9&lt;20/24)</formula>
    </cfRule>
    <cfRule type="expression" dxfId="3117" priority="88">
      <formula>AND(B$9&gt;=8/24,B$9&lt;14/24)</formula>
    </cfRule>
    <cfRule type="expression" dxfId="3116" priority="89">
      <formula>B$9&lt;8/24</formula>
    </cfRule>
  </conditionalFormatting>
  <conditionalFormatting sqref="B52:N53 B63:P65">
    <cfRule type="expression" dxfId="3115" priority="85">
      <formula>B52&gt;$AG52</formula>
    </cfRule>
  </conditionalFormatting>
  <conditionalFormatting sqref="B54:N54">
    <cfRule type="expression" dxfId="3114" priority="81">
      <formula>B$9&gt;=20/24</formula>
    </cfRule>
    <cfRule type="expression" dxfId="3113" priority="82">
      <formula>AND(B$9&gt;=14/24,B$9&lt;20/24)</formula>
    </cfRule>
    <cfRule type="expression" dxfId="3112" priority="83">
      <formula>AND(B$9&gt;=8/24,B$9&lt;14/24)</formula>
    </cfRule>
    <cfRule type="expression" dxfId="3111" priority="84">
      <formula>B$9&lt;8/24</formula>
    </cfRule>
  </conditionalFormatting>
  <conditionalFormatting sqref="B54:N54">
    <cfRule type="expression" dxfId="3110" priority="80">
      <formula>B54&gt;$AG54</formula>
    </cfRule>
  </conditionalFormatting>
  <conditionalFormatting sqref="B84 B93">
    <cfRule type="expression" dxfId="3109" priority="76">
      <formula>B$9&gt;=20/24</formula>
    </cfRule>
    <cfRule type="expression" dxfId="3108" priority="77">
      <formula>AND(B$9&gt;=14/24,B$9&lt;20/24)</formula>
    </cfRule>
    <cfRule type="expression" dxfId="3107" priority="78">
      <formula>AND(B$9&gt;=8/24,B$9&lt;14/24)</formula>
    </cfRule>
    <cfRule type="expression" dxfId="3106" priority="79">
      <formula>B$9&lt;8/24</formula>
    </cfRule>
  </conditionalFormatting>
  <conditionalFormatting sqref="B42:X42">
    <cfRule type="expression" dxfId="3105" priority="72">
      <formula>B$9&gt;=20/24</formula>
    </cfRule>
    <cfRule type="expression" dxfId="3104" priority="73">
      <formula>AND(B$9&gt;=14/24,B$9&lt;20/24)</formula>
    </cfRule>
    <cfRule type="expression" dxfId="3103" priority="74">
      <formula>AND(B$9&gt;=8/24,B$9&lt;14/24)</formula>
    </cfRule>
    <cfRule type="expression" dxfId="3102" priority="75">
      <formula>B$9&lt;8/24</formula>
    </cfRule>
  </conditionalFormatting>
  <conditionalFormatting sqref="B42:X42">
    <cfRule type="expression" dxfId="3101" priority="71">
      <formula>B42&gt;$AG42</formula>
    </cfRule>
  </conditionalFormatting>
  <conditionalFormatting sqref="B66:AF66 B83:AF83 B85:AF85 B94:AF94">
    <cfRule type="expression" dxfId="3100" priority="67">
      <formula>B$9&gt;=20/24</formula>
    </cfRule>
    <cfRule type="expression" dxfId="3099" priority="68">
      <formula>AND(B$9&gt;=14/24,B$9&lt;20/24)</formula>
    </cfRule>
    <cfRule type="expression" dxfId="3098" priority="69">
      <formula>AND(B$9&gt;=8/24,B$9&lt;14/24)</formula>
    </cfRule>
    <cfRule type="expression" dxfId="3097" priority="70">
      <formula>B$9&lt;8/24</formula>
    </cfRule>
  </conditionalFormatting>
  <conditionalFormatting sqref="B66:AF66 B44:AF44 B61:AF62">
    <cfRule type="expression" dxfId="3096" priority="66">
      <formula>B44&gt;$AG44</formula>
    </cfRule>
  </conditionalFormatting>
  <conditionalFormatting sqref="B78:AF78">
    <cfRule type="expression" dxfId="3095" priority="62">
      <formula>B$9&gt;=20/24</formula>
    </cfRule>
    <cfRule type="expression" dxfId="3094" priority="63">
      <formula>AND(B$9&gt;=14/24,B$9&lt;20/24)</formula>
    </cfRule>
    <cfRule type="expression" dxfId="3093" priority="64">
      <formula>AND(B$9&gt;=8/24,B$9&lt;14/24)</formula>
    </cfRule>
    <cfRule type="expression" dxfId="3092" priority="65">
      <formula>B$9&lt;8/24</formula>
    </cfRule>
  </conditionalFormatting>
  <conditionalFormatting sqref="B87:W91">
    <cfRule type="expression" dxfId="3091" priority="58">
      <formula>B$9&gt;=20/24</formula>
    </cfRule>
    <cfRule type="expression" dxfId="3090" priority="59">
      <formula>AND(B$9&gt;=14/24,B$9&lt;20/24)</formula>
    </cfRule>
    <cfRule type="expression" dxfId="3089" priority="60">
      <formula>AND(B$9&gt;=8/24,B$9&lt;14/24)</formula>
    </cfRule>
    <cfRule type="expression" dxfId="3088" priority="61">
      <formula>B$9&lt;8/24</formula>
    </cfRule>
  </conditionalFormatting>
  <conditionalFormatting sqref="B45:D47">
    <cfRule type="expression" dxfId="3087" priority="54">
      <formula>B$9&gt;=20/24</formula>
    </cfRule>
    <cfRule type="expression" dxfId="3086" priority="55">
      <formula>AND(B$9&gt;=14/24,B$9&lt;20/24)</formula>
    </cfRule>
    <cfRule type="expression" dxfId="3085" priority="56">
      <formula>AND(B$9&gt;=8/24,B$9&lt;14/24)</formula>
    </cfRule>
    <cfRule type="expression" dxfId="3084" priority="57">
      <formula>B$9&lt;8/24</formula>
    </cfRule>
  </conditionalFormatting>
  <conditionalFormatting sqref="B45:D47">
    <cfRule type="expression" dxfId="3083" priority="53">
      <formula>B45&gt;$AG45</formula>
    </cfRule>
  </conditionalFormatting>
  <conditionalFormatting sqref="B48:AF48">
    <cfRule type="expression" dxfId="3082" priority="49">
      <formula>B$9&gt;=20/24</formula>
    </cfRule>
    <cfRule type="expression" dxfId="3081" priority="50">
      <formula>AND(B$9&gt;=14/24,B$9&lt;20/24)</formula>
    </cfRule>
    <cfRule type="expression" dxfId="3080" priority="51">
      <formula>AND(B$9&gt;=8/24,B$9&lt;14/24)</formula>
    </cfRule>
    <cfRule type="expression" dxfId="3079" priority="52">
      <formula>B$9&lt;8/24</formula>
    </cfRule>
  </conditionalFormatting>
  <conditionalFormatting sqref="B48:AF48">
    <cfRule type="expression" dxfId="3078" priority="48">
      <formula>B48&gt;$AG48</formula>
    </cfRule>
  </conditionalFormatting>
  <conditionalFormatting sqref="B103">
    <cfRule type="expression" dxfId="3077" priority="44">
      <formula>B$9&gt;=20/24</formula>
    </cfRule>
    <cfRule type="expression" dxfId="3076" priority="45">
      <formula>AND(B$9&gt;=14/24,B$9&lt;20/24)</formula>
    </cfRule>
    <cfRule type="expression" dxfId="3075" priority="46">
      <formula>AND(B$9&gt;=8/24,B$9&lt;14/24)</formula>
    </cfRule>
    <cfRule type="expression" dxfId="3074" priority="47">
      <formula>B$9&lt;8/24</formula>
    </cfRule>
  </conditionalFormatting>
  <conditionalFormatting sqref="B106:C106">
    <cfRule type="expression" dxfId="3073" priority="32">
      <formula>B$9&gt;=20/24</formula>
    </cfRule>
    <cfRule type="expression" dxfId="3072" priority="33">
      <formula>AND(B$9&gt;=14/24,B$9&lt;20/24)</formula>
    </cfRule>
    <cfRule type="expression" dxfId="3071" priority="34">
      <formula>AND(B$9&gt;=8/24,B$9&lt;14/24)</formula>
    </cfRule>
    <cfRule type="expression" dxfId="3070" priority="35">
      <formula>B$9&lt;8/24</formula>
    </cfRule>
  </conditionalFormatting>
  <conditionalFormatting sqref="B55:AF60">
    <cfRule type="expression" dxfId="3069" priority="28">
      <formula>B$9&gt;=20/24</formula>
    </cfRule>
    <cfRule type="expression" dxfId="3068" priority="29">
      <formula>AND(B$9&gt;=14/24,B$9&lt;20/24)</formula>
    </cfRule>
    <cfRule type="expression" dxfId="3067" priority="30">
      <formula>AND(B$9&gt;=8/24,B$9&lt;14/24)</formula>
    </cfRule>
    <cfRule type="expression" dxfId="3066" priority="31">
      <formula>B$9&lt;8/24</formula>
    </cfRule>
  </conditionalFormatting>
  <conditionalFormatting sqref="B55:AF60">
    <cfRule type="expression" dxfId="3065" priority="27">
      <formula>B55&gt;$AG55</formula>
    </cfRule>
  </conditionalFormatting>
  <conditionalFormatting sqref="B12:W14 B41:X41 X14">
    <cfRule type="expression" dxfId="3064" priority="26">
      <formula>B12&gt;$AG12</formula>
    </cfRule>
  </conditionalFormatting>
  <conditionalFormatting sqref="B11:W11">
    <cfRule type="expression" dxfId="3063" priority="22">
      <formula>B$9&gt;=20/24</formula>
    </cfRule>
    <cfRule type="expression" dxfId="3062" priority="23">
      <formula>AND(B$9&gt;=14/24,B$9&lt;20/24)</formula>
    </cfRule>
    <cfRule type="expression" dxfId="3061" priority="24">
      <formula>AND(B$9&gt;=8/24,B$9&lt;14/24)</formula>
    </cfRule>
    <cfRule type="expression" dxfId="3060" priority="25">
      <formula>B$9&lt;8/24</formula>
    </cfRule>
  </conditionalFormatting>
  <conditionalFormatting sqref="B11:W11">
    <cfRule type="expression" dxfId="3059" priority="21">
      <formula>B11&gt;$AG11</formula>
    </cfRule>
  </conditionalFormatting>
  <conditionalFormatting sqref="B12:W14 X14">
    <cfRule type="expression" dxfId="3058" priority="17">
      <formula>B$9&gt;=20/24</formula>
    </cfRule>
    <cfRule type="expression" dxfId="3057" priority="18">
      <formula>AND(B$9&gt;=14/24,B$9&lt;20/24)</formula>
    </cfRule>
    <cfRule type="expression" dxfId="3056" priority="19">
      <formula>AND(B$9&gt;=8/24,B$9&lt;14/24)</formula>
    </cfRule>
    <cfRule type="expression" dxfId="3055" priority="20">
      <formula>B$9&lt;8/24</formula>
    </cfRule>
  </conditionalFormatting>
  <conditionalFormatting sqref="B41:X41">
    <cfRule type="expression" dxfId="3054" priority="13">
      <formula>B$9&gt;=20/24</formula>
    </cfRule>
    <cfRule type="expression" dxfId="3053" priority="14">
      <formula>AND(B$9&gt;=14/24,B$9&lt;20/24)</formula>
    </cfRule>
    <cfRule type="expression" dxfId="3052" priority="15">
      <formula>AND(B$9&gt;=8/24,B$9&lt;14/24)</formula>
    </cfRule>
    <cfRule type="expression" dxfId="3051" priority="16">
      <formula>B$9&lt;8/24</formula>
    </cfRule>
  </conditionalFormatting>
  <conditionalFormatting sqref="B73:AF77">
    <cfRule type="expression" dxfId="3050" priority="9">
      <formula>B$9&gt;=20/24</formula>
    </cfRule>
    <cfRule type="expression" dxfId="3049" priority="10">
      <formula>AND(B$9&gt;=14/24,B$9&lt;20/24)</formula>
    </cfRule>
    <cfRule type="expression" dxfId="3048" priority="11">
      <formula>AND(B$9&gt;=8/24,B$9&lt;14/24)</formula>
    </cfRule>
    <cfRule type="expression" dxfId="3047" priority="12">
      <formula>B$9&lt;8/24</formula>
    </cfRule>
  </conditionalFormatting>
  <conditionalFormatting sqref="AL74:AN74 AL80:AN80 AN75:AN76">
    <cfRule type="expression" dxfId="3046" priority="5">
      <formula>AL$9&gt;=20/24</formula>
    </cfRule>
    <cfRule type="expression" dxfId="3045" priority="6">
      <formula>AND(AL$9&gt;=14/24,AL$9&lt;20/24)</formula>
    </cfRule>
    <cfRule type="expression" dxfId="3044" priority="7">
      <formula>AND(AL$9&gt;=8/24,AL$9&lt;14/24)</formula>
    </cfRule>
    <cfRule type="expression" dxfId="3043" priority="8">
      <formula>AL$9&lt;8/24</formula>
    </cfRule>
  </conditionalFormatting>
  <conditionalFormatting sqref="AN77:AN78">
    <cfRule type="expression" dxfId="3042" priority="1">
      <formula>AN$9&gt;=20/24</formula>
    </cfRule>
    <cfRule type="expression" dxfId="3041" priority="2">
      <formula>AND(AN$9&gt;=14/24,AN$9&lt;20/24)</formula>
    </cfRule>
    <cfRule type="expression" dxfId="3040" priority="3">
      <formula>AND(AN$9&gt;=8/24,AN$9&lt;14/24)</formula>
    </cfRule>
    <cfRule type="expression" dxfId="3039" priority="4">
      <formula>AN$9&lt;8/24</formula>
    </cfRule>
  </conditionalFormatting>
  <conditionalFormatting sqref="AL75:AM79">
    <cfRule type="expression" dxfId="3038" priority="258">
      <formula>AJ$9&gt;=20/24</formula>
    </cfRule>
    <cfRule type="expression" dxfId="3037" priority="259">
      <formula>AND(AJ$9&gt;=14/24,AJ$9&lt;20/24)</formula>
    </cfRule>
    <cfRule type="expression" dxfId="3036" priority="260">
      <formula>AND(AJ$9&gt;=8/24,AJ$9&lt;14/24)</formula>
    </cfRule>
    <cfRule type="expression" dxfId="3035" priority="261">
      <formula>AJ$9&lt;8/24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4" id="{732EF3EE-D7A6-499C-834E-5EE65570EFE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65CA7E11-DF36-465C-83C4-B00BE3C3A2ED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27F08E17-59F8-416B-83AE-5F84411A4433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B2D62B7E-05F8-4076-8A8D-938F84288495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30" id="{8F5E6D6A-5726-4CAE-9438-76DB291A0A07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1E17D572-BBDF-4C9A-8016-F77D83CFD1CC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39ED09F4-12D5-4DC0-9D08-DCA6F502B194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5351175D-EC5A-4BA5-8883-A6CB299A1D5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40" id="{C4D5EB13-76CE-42B7-84B1-BBE44AB2CF7B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FBABF500-71D1-404F-8986-1B6F24A4C7BA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" id="{65D714C4-67E7-494D-86DF-61EBA7AB6C14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" id="{80E0239A-B234-4968-8DAC-8E59C46A320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6" id="{8DFD5653-66CF-423A-9C70-B9B9210E9994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C7841445-F185-44AB-A3B6-DA40531F0300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23EF1921-1E43-4344-BF06-47C6E76FAE4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ADBEA6E8-DF5F-4AE5-977D-A335AD3CCC8D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J274"/>
  <sheetViews>
    <sheetView zoomScale="90" zoomScaleNormal="90" workbookViewId="0">
      <pane ySplit="10" topLeftCell="A38" activePane="bottomLeft" state="frozen"/>
      <selection activeCell="U80" sqref="U80"/>
      <selection pane="bottomLeft" activeCell="F28" sqref="F2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4" width="6.85546875" style="1" customWidth="1"/>
    <col min="25" max="25" width="8.42578125" style="1" bestFit="1" customWidth="1"/>
    <col min="26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/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str">
        <f ca="1">"2079/"&amp;"10/"&amp;INT(MID(CELL("filename",D6),FIND("]",CELL("filename",D6))+1,200))</f>
        <v>2079/10/25</v>
      </c>
      <c r="C4" s="771"/>
      <c r="D4" s="771"/>
      <c r="E4" s="772" t="str">
        <f ca="1">"2079/"&amp;"10/"&amp;INT(MID(CELL("filename",G6),FIND("]",CELL("filename",G6))+1,200))</f>
        <v>2079/10/25</v>
      </c>
      <c r="F4" s="772"/>
      <c r="G4" s="772"/>
      <c r="H4" s="772" t="str">
        <f ca="1">TEXT(E4,"dddd")</f>
        <v>Wednesday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465.6</v>
      </c>
      <c r="C5" s="30">
        <f t="shared" si="0"/>
        <v>470.2</v>
      </c>
      <c r="D5" s="30">
        <f t="shared" si="0"/>
        <v>471.59999999999997</v>
      </c>
      <c r="E5" s="30">
        <f t="shared" si="0"/>
        <v>486.8</v>
      </c>
      <c r="F5" s="30">
        <f t="shared" si="0"/>
        <v>488.5</v>
      </c>
      <c r="G5" s="30">
        <f t="shared" si="0"/>
        <v>509.8</v>
      </c>
      <c r="H5" s="30">
        <f t="shared" si="0"/>
        <v>462.50000000000006</v>
      </c>
      <c r="I5" s="30">
        <f t="shared" si="0"/>
        <v>503.8</v>
      </c>
      <c r="J5" s="30">
        <f t="shared" si="0"/>
        <v>459.5</v>
      </c>
      <c r="K5" s="30">
        <f t="shared" si="0"/>
        <v>449</v>
      </c>
      <c r="L5" s="30">
        <f t="shared" si="0"/>
        <v>474</v>
      </c>
      <c r="M5" s="30">
        <f t="shared" si="0"/>
        <v>460.1</v>
      </c>
      <c r="N5" s="30">
        <f t="shared" si="0"/>
        <v>463.8</v>
      </c>
      <c r="O5" s="30">
        <f t="shared" si="0"/>
        <v>0</v>
      </c>
      <c r="P5" s="30">
        <f t="shared" si="0"/>
        <v>456.2</v>
      </c>
      <c r="Q5" s="30">
        <f t="shared" si="0"/>
        <v>507.5</v>
      </c>
      <c r="R5" s="30">
        <f t="shared" si="0"/>
        <v>440</v>
      </c>
      <c r="S5" s="30">
        <f t="shared" si="0"/>
        <v>450.40000000000003</v>
      </c>
      <c r="T5" s="30">
        <f t="shared" si="0"/>
        <v>490.9</v>
      </c>
      <c r="U5" s="30">
        <f t="shared" si="0"/>
        <v>455.29999999999995</v>
      </c>
      <c r="V5" s="30">
        <f t="shared" si="0"/>
        <v>481.4</v>
      </c>
      <c r="W5" s="30">
        <f t="shared" si="0"/>
        <v>485.1</v>
      </c>
      <c r="X5" s="30">
        <f t="shared" si="0"/>
        <v>462.5</v>
      </c>
      <c r="Y5" s="30">
        <f t="shared" si="0"/>
        <v>346.7</v>
      </c>
      <c r="Z5" s="30">
        <f t="shared" si="0"/>
        <v>352.5</v>
      </c>
      <c r="AA5" s="30">
        <f t="shared" si="0"/>
        <v>453.8</v>
      </c>
      <c r="AB5" s="30">
        <f t="shared" si="0"/>
        <v>491</v>
      </c>
      <c r="AC5" s="30">
        <f t="shared" si="0"/>
        <v>459</v>
      </c>
      <c r="AD5" s="30">
        <f t="shared" si="0"/>
        <v>478</v>
      </c>
      <c r="AE5" s="30">
        <f t="shared" si="0"/>
        <v>490</v>
      </c>
      <c r="AF5" s="30">
        <f>B78</f>
        <v>451.4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1570MW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B85</f>
        <v>996.83999999999992</v>
      </c>
      <c r="C7" s="35">
        <f t="shared" si="1"/>
        <v>1008.74</v>
      </c>
      <c r="D7" s="35">
        <f t="shared" si="1"/>
        <v>1000.6399999999999</v>
      </c>
      <c r="E7" s="35">
        <f t="shared" si="1"/>
        <v>989.54</v>
      </c>
      <c r="F7" s="35">
        <f t="shared" si="1"/>
        <v>1004.94</v>
      </c>
      <c r="G7" s="35">
        <f t="shared" si="1"/>
        <v>1006.64</v>
      </c>
      <c r="H7" s="35">
        <f t="shared" si="1"/>
        <v>1110.1399999999999</v>
      </c>
      <c r="I7" s="35">
        <f t="shared" si="1"/>
        <v>1174.04</v>
      </c>
      <c r="J7" s="35">
        <f t="shared" si="1"/>
        <v>1403.14</v>
      </c>
      <c r="K7" s="35">
        <f t="shared" si="1"/>
        <v>1451.8400000000001</v>
      </c>
      <c r="L7" s="35">
        <f t="shared" si="1"/>
        <v>1569.84</v>
      </c>
      <c r="M7" s="35">
        <f t="shared" si="1"/>
        <v>1536.64</v>
      </c>
      <c r="N7" s="35">
        <f>N85</f>
        <v>1464.6399999999999</v>
      </c>
      <c r="O7" s="35">
        <f t="shared" si="1"/>
        <v>1408.44</v>
      </c>
      <c r="P7" s="35">
        <f t="shared" si="1"/>
        <v>3.54</v>
      </c>
      <c r="Q7" s="35">
        <f t="shared" si="1"/>
        <v>1264.04</v>
      </c>
      <c r="R7" s="35">
        <f t="shared" si="1"/>
        <v>1312.04</v>
      </c>
      <c r="S7" s="35">
        <f t="shared" si="1"/>
        <v>1310.6400000000001</v>
      </c>
      <c r="T7" s="35">
        <f t="shared" si="1"/>
        <v>1301.7400000000002</v>
      </c>
      <c r="U7" s="35">
        <f t="shared" si="1"/>
        <v>1349.3400000000001</v>
      </c>
      <c r="V7" s="35">
        <f t="shared" si="1"/>
        <v>1226.6399999999999</v>
      </c>
      <c r="W7" s="35">
        <f t="shared" si="1"/>
        <v>1255.1399999999999</v>
      </c>
      <c r="X7" s="35">
        <f t="shared" si="1"/>
        <v>1501.74</v>
      </c>
      <c r="Y7" s="35">
        <f t="shared" si="1"/>
        <v>1633.24</v>
      </c>
      <c r="Z7" s="35">
        <f t="shared" si="1"/>
        <v>1592.0400000000002</v>
      </c>
      <c r="AA7" s="35">
        <f t="shared" si="1"/>
        <v>1491.64</v>
      </c>
      <c r="AB7" s="35">
        <f t="shared" si="1"/>
        <v>1441.04</v>
      </c>
      <c r="AC7" s="35">
        <f t="shared" si="1"/>
        <v>1416.74</v>
      </c>
      <c r="AD7" s="35">
        <f t="shared" si="1"/>
        <v>1281.54</v>
      </c>
      <c r="AE7" s="35">
        <f t="shared" si="1"/>
        <v>1202.04</v>
      </c>
      <c r="AF7" s="35">
        <f t="shared" si="1"/>
        <v>1120.54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6.5" thickTop="1" x14ac:dyDescent="0.25">
      <c r="A11" s="44" t="s">
        <v>19</v>
      </c>
      <c r="B11" s="45">
        <v>16.8</v>
      </c>
      <c r="C11" s="45">
        <v>16.8</v>
      </c>
      <c r="D11" s="45">
        <v>16.8</v>
      </c>
      <c r="E11" s="45">
        <v>16.7</v>
      </c>
      <c r="F11" s="45">
        <v>16.899999999999999</v>
      </c>
      <c r="G11" s="45">
        <v>17.899999999999999</v>
      </c>
      <c r="H11" s="45">
        <v>17.899999999999999</v>
      </c>
      <c r="I11" s="45">
        <v>17.899999999999999</v>
      </c>
      <c r="J11" s="45">
        <v>17.899999999999999</v>
      </c>
      <c r="K11" s="45">
        <v>17.899999999999999</v>
      </c>
      <c r="L11" s="45">
        <v>17.899999999999999</v>
      </c>
      <c r="M11" s="45">
        <v>15.9</v>
      </c>
      <c r="N11" s="45">
        <v>15.9</v>
      </c>
      <c r="O11" s="45">
        <v>14.3</v>
      </c>
      <c r="P11" s="45" t="s">
        <v>716</v>
      </c>
      <c r="Q11" s="45">
        <v>14.9</v>
      </c>
      <c r="R11" s="45">
        <v>14.9</v>
      </c>
      <c r="S11" s="45">
        <v>14.9</v>
      </c>
      <c r="T11" s="45">
        <v>14.9</v>
      </c>
      <c r="U11" s="45">
        <v>14.9</v>
      </c>
      <c r="V11" s="45">
        <v>14.9</v>
      </c>
      <c r="W11" s="45">
        <v>13.9</v>
      </c>
      <c r="X11" s="45">
        <v>13.9</v>
      </c>
      <c r="Y11" s="678">
        <v>13.9</v>
      </c>
      <c r="Z11" s="678">
        <v>13.9</v>
      </c>
      <c r="AA11" s="678">
        <v>13.9</v>
      </c>
      <c r="AB11" s="678">
        <v>15.4</v>
      </c>
      <c r="AC11" s="678">
        <v>15.4</v>
      </c>
      <c r="AD11" s="678">
        <v>15.4</v>
      </c>
      <c r="AE11" s="678">
        <v>15.4</v>
      </c>
      <c r="AF11" s="678">
        <v>15.4</v>
      </c>
      <c r="AG11" s="46">
        <v>52.4</v>
      </c>
      <c r="AH11" s="47">
        <f t="shared" ref="AH11:AH74" si="2">MAX(B11:AF11)</f>
        <v>17.899999999999999</v>
      </c>
      <c r="AI11" s="48">
        <f t="shared" ref="AI11:AI74" si="3">MIN(B11:AF11)</f>
        <v>13.9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ht="15.75" x14ac:dyDescent="0.25">
      <c r="A12" s="44" t="s">
        <v>20</v>
      </c>
      <c r="B12" s="45">
        <v>32.9</v>
      </c>
      <c r="C12" s="45">
        <v>32.9</v>
      </c>
      <c r="D12" s="45">
        <v>32.9</v>
      </c>
      <c r="E12" s="45">
        <v>31.6</v>
      </c>
      <c r="F12" s="45">
        <v>31.7</v>
      </c>
      <c r="G12" s="45">
        <v>31.7</v>
      </c>
      <c r="H12" s="45">
        <v>31.7</v>
      </c>
      <c r="I12" s="45">
        <v>31.7</v>
      </c>
      <c r="J12" s="45">
        <v>31.7</v>
      </c>
      <c r="K12" s="45">
        <v>31.7</v>
      </c>
      <c r="L12" s="45">
        <v>31.7</v>
      </c>
      <c r="M12" s="45">
        <v>31.9</v>
      </c>
      <c r="N12" s="45">
        <v>31.4</v>
      </c>
      <c r="O12" s="45">
        <v>34.1</v>
      </c>
      <c r="P12" s="45" t="s">
        <v>717</v>
      </c>
      <c r="Q12" s="45">
        <v>40.1</v>
      </c>
      <c r="R12" s="45">
        <v>39.5</v>
      </c>
      <c r="S12" s="45">
        <v>39.5</v>
      </c>
      <c r="T12" s="45">
        <v>39.5</v>
      </c>
      <c r="U12" s="45">
        <v>33</v>
      </c>
      <c r="V12" s="45">
        <v>33</v>
      </c>
      <c r="W12" s="45">
        <v>32.1</v>
      </c>
      <c r="X12" s="45">
        <v>32.1</v>
      </c>
      <c r="Y12" s="679">
        <v>32.1</v>
      </c>
      <c r="Z12" s="679">
        <v>32.1</v>
      </c>
      <c r="AA12" s="679">
        <v>32.1</v>
      </c>
      <c r="AB12" s="679">
        <v>31.3</v>
      </c>
      <c r="AC12" s="679">
        <v>31.3</v>
      </c>
      <c r="AD12" s="679">
        <v>31.3</v>
      </c>
      <c r="AE12" s="679">
        <v>31.3</v>
      </c>
      <c r="AF12" s="679">
        <v>31.3</v>
      </c>
      <c r="AG12" s="50">
        <v>50</v>
      </c>
      <c r="AH12" s="47">
        <f t="shared" si="2"/>
        <v>40.1</v>
      </c>
      <c r="AI12" s="48">
        <f t="shared" si="3"/>
        <v>31.3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ht="15.75" x14ac:dyDescent="0.25">
      <c r="A13" s="44" t="s">
        <v>21</v>
      </c>
      <c r="B13" s="45">
        <v>19.399999999999999</v>
      </c>
      <c r="C13" s="45">
        <v>19.399999999999999</v>
      </c>
      <c r="D13" s="45">
        <v>19.399999999999999</v>
      </c>
      <c r="E13" s="45">
        <v>19.100000000000001</v>
      </c>
      <c r="F13" s="45">
        <v>19</v>
      </c>
      <c r="G13" s="45">
        <v>19</v>
      </c>
      <c r="H13" s="45">
        <v>19</v>
      </c>
      <c r="I13" s="45">
        <v>19</v>
      </c>
      <c r="J13" s="45">
        <v>19</v>
      </c>
      <c r="K13" s="45">
        <v>19</v>
      </c>
      <c r="L13" s="45">
        <v>19</v>
      </c>
      <c r="M13" s="45">
        <v>19</v>
      </c>
      <c r="N13" s="45">
        <v>16</v>
      </c>
      <c r="O13" s="45">
        <v>15.5</v>
      </c>
      <c r="P13" s="45" t="s">
        <v>716</v>
      </c>
      <c r="Q13" s="45">
        <v>16.2</v>
      </c>
      <c r="R13" s="45">
        <v>15.5</v>
      </c>
      <c r="S13" s="45">
        <v>15.5</v>
      </c>
      <c r="T13" s="45">
        <v>15.5</v>
      </c>
      <c r="U13" s="45">
        <v>15.5</v>
      </c>
      <c r="V13" s="45">
        <v>15.5</v>
      </c>
      <c r="W13" s="45">
        <v>19.100000000000001</v>
      </c>
      <c r="X13" s="45">
        <v>19.100000000000001</v>
      </c>
      <c r="Y13" s="679">
        <v>19.100000000000001</v>
      </c>
      <c r="Z13" s="679">
        <v>19.100000000000001</v>
      </c>
      <c r="AA13" s="679">
        <v>19.100000000000001</v>
      </c>
      <c r="AB13" s="679">
        <v>19</v>
      </c>
      <c r="AC13" s="679">
        <v>19</v>
      </c>
      <c r="AD13" s="679">
        <v>19</v>
      </c>
      <c r="AE13" s="679">
        <v>19</v>
      </c>
      <c r="AF13" s="679">
        <v>19</v>
      </c>
      <c r="AG13" s="50">
        <v>45</v>
      </c>
      <c r="AH13" s="47">
        <f t="shared" si="2"/>
        <v>19.399999999999999</v>
      </c>
      <c r="AI13" s="48">
        <f t="shared" si="3"/>
        <v>15.5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x14ac:dyDescent="0.25">
      <c r="A14" s="44" t="s">
        <v>22</v>
      </c>
      <c r="B14" s="45">
        <v>0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 t="s">
        <v>718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679">
        <v>0</v>
      </c>
      <c r="Z14" s="679">
        <v>0</v>
      </c>
      <c r="AA14" s="679">
        <v>0</v>
      </c>
      <c r="AB14" s="679">
        <v>0</v>
      </c>
      <c r="AC14" s="679">
        <v>0</v>
      </c>
      <c r="AD14" s="679">
        <v>0</v>
      </c>
      <c r="AE14" s="679">
        <v>0</v>
      </c>
      <c r="AF14" s="679">
        <v>0</v>
      </c>
      <c r="AG14" s="50">
        <v>42</v>
      </c>
      <c r="AH14" s="47">
        <f t="shared" si="2"/>
        <v>0</v>
      </c>
      <c r="AI14" s="48">
        <f t="shared" si="3"/>
        <v>0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x14ac:dyDescent="0.25">
      <c r="A15" s="44" t="s">
        <v>23</v>
      </c>
      <c r="B15" s="45">
        <v>13</v>
      </c>
      <c r="C15" s="45">
        <v>13</v>
      </c>
      <c r="D15" s="45">
        <v>13</v>
      </c>
      <c r="E15" s="45">
        <v>13</v>
      </c>
      <c r="F15" s="45">
        <v>13</v>
      </c>
      <c r="G15" s="45">
        <v>13</v>
      </c>
      <c r="H15" s="45">
        <v>13</v>
      </c>
      <c r="I15" s="45">
        <v>13</v>
      </c>
      <c r="J15" s="45">
        <v>13</v>
      </c>
      <c r="K15" s="45">
        <v>13</v>
      </c>
      <c r="L15" s="45">
        <v>13</v>
      </c>
      <c r="M15" s="45">
        <v>13</v>
      </c>
      <c r="N15" s="45">
        <v>13</v>
      </c>
      <c r="O15" s="45">
        <v>13</v>
      </c>
      <c r="P15" s="45" t="s">
        <v>719</v>
      </c>
      <c r="Q15" s="45">
        <v>13</v>
      </c>
      <c r="R15" s="45">
        <v>13</v>
      </c>
      <c r="S15" s="45">
        <v>13</v>
      </c>
      <c r="T15" s="45">
        <v>13</v>
      </c>
      <c r="U15" s="45">
        <v>13</v>
      </c>
      <c r="V15" s="45">
        <v>13</v>
      </c>
      <c r="W15" s="45">
        <v>13</v>
      </c>
      <c r="X15" s="45">
        <v>13</v>
      </c>
      <c r="Y15" s="679">
        <v>13</v>
      </c>
      <c r="Z15" s="679">
        <v>13</v>
      </c>
      <c r="AA15" s="679">
        <v>13</v>
      </c>
      <c r="AB15" s="679">
        <v>13</v>
      </c>
      <c r="AC15" s="679">
        <v>13</v>
      </c>
      <c r="AD15" s="679">
        <v>13</v>
      </c>
      <c r="AE15" s="679">
        <v>13</v>
      </c>
      <c r="AF15" s="679">
        <v>13</v>
      </c>
      <c r="AG15" s="50">
        <v>36</v>
      </c>
      <c r="AH15" s="47">
        <f t="shared" si="2"/>
        <v>13</v>
      </c>
      <c r="AI15" s="48">
        <f t="shared" si="3"/>
        <v>13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ht="15.75" x14ac:dyDescent="0.25">
      <c r="A16" s="44" t="s">
        <v>24</v>
      </c>
      <c r="B16" s="45">
        <v>8.6999999999999993</v>
      </c>
      <c r="C16" s="45">
        <v>8.6999999999999993</v>
      </c>
      <c r="D16" s="45">
        <v>8.6999999999999993</v>
      </c>
      <c r="E16" s="45">
        <v>8.6999999999999993</v>
      </c>
      <c r="F16" s="45">
        <v>8.6999999999999993</v>
      </c>
      <c r="G16" s="45">
        <v>8.6999999999999993</v>
      </c>
      <c r="H16" s="45">
        <v>8.6999999999999993</v>
      </c>
      <c r="I16" s="45">
        <v>8.6999999999999993</v>
      </c>
      <c r="J16" s="45">
        <v>8.6999999999999993</v>
      </c>
      <c r="K16" s="45">
        <v>8.6999999999999993</v>
      </c>
      <c r="L16" s="45">
        <v>8.6999999999999993</v>
      </c>
      <c r="M16" s="45">
        <v>8</v>
      </c>
      <c r="N16" s="45">
        <v>8</v>
      </c>
      <c r="O16" s="45">
        <v>7.8</v>
      </c>
      <c r="P16" s="45" t="s">
        <v>720</v>
      </c>
      <c r="Q16" s="45">
        <v>7.8</v>
      </c>
      <c r="R16" s="45">
        <v>8.6999999999999993</v>
      </c>
      <c r="S16" s="45">
        <v>8.6999999999999993</v>
      </c>
      <c r="T16" s="45">
        <v>8.6999999999999993</v>
      </c>
      <c r="U16" s="45">
        <v>8.6999999999999993</v>
      </c>
      <c r="V16" s="45">
        <v>8.6999999999999993</v>
      </c>
      <c r="W16" s="45">
        <v>8.6999999999999993</v>
      </c>
      <c r="X16" s="45">
        <v>8.6999999999999993</v>
      </c>
      <c r="Y16" s="679">
        <v>8.6999999999999993</v>
      </c>
      <c r="Z16" s="679">
        <v>8.6999999999999993</v>
      </c>
      <c r="AA16" s="679">
        <v>8.6999999999999993</v>
      </c>
      <c r="AB16" s="679">
        <v>8.6999999999999993</v>
      </c>
      <c r="AC16" s="679">
        <v>8.6999999999999993</v>
      </c>
      <c r="AD16" s="679">
        <v>8.6999999999999993</v>
      </c>
      <c r="AE16" s="679">
        <v>8.6999999999999993</v>
      </c>
      <c r="AF16" s="679">
        <v>8.6999999999999993</v>
      </c>
      <c r="AG16" s="51">
        <v>30</v>
      </c>
      <c r="AH16" s="47">
        <f t="shared" si="2"/>
        <v>8.6999999999999993</v>
      </c>
      <c r="AI16" s="48">
        <f t="shared" si="3"/>
        <v>7.8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ht="15.75" x14ac:dyDescent="0.25">
      <c r="A17" s="44" t="s">
        <v>25</v>
      </c>
      <c r="B17" s="45">
        <v>7.5</v>
      </c>
      <c r="C17" s="45">
        <v>7.5</v>
      </c>
      <c r="D17" s="45">
        <v>7.5</v>
      </c>
      <c r="E17" s="45">
        <v>7.5</v>
      </c>
      <c r="F17" s="45">
        <v>7.5</v>
      </c>
      <c r="G17" s="45">
        <v>7.5</v>
      </c>
      <c r="H17" s="45">
        <v>7.5</v>
      </c>
      <c r="I17" s="45">
        <v>7.5</v>
      </c>
      <c r="J17" s="45">
        <v>7.5</v>
      </c>
      <c r="K17" s="45">
        <v>7.5</v>
      </c>
      <c r="L17" s="45">
        <v>7.5</v>
      </c>
      <c r="M17" s="45">
        <v>6.7</v>
      </c>
      <c r="N17" s="45">
        <v>6.7</v>
      </c>
      <c r="O17" s="45">
        <v>6.7</v>
      </c>
      <c r="P17" s="45"/>
      <c r="Q17" s="45">
        <v>6.7</v>
      </c>
      <c r="R17" s="45">
        <v>7.6</v>
      </c>
      <c r="S17" s="45">
        <v>7.6</v>
      </c>
      <c r="T17" s="45">
        <v>7.6</v>
      </c>
      <c r="U17" s="45">
        <v>7.6</v>
      </c>
      <c r="V17" s="45">
        <v>7.6</v>
      </c>
      <c r="W17" s="45">
        <v>7.6</v>
      </c>
      <c r="X17" s="45">
        <v>7.6</v>
      </c>
      <c r="Y17" s="680">
        <v>7.6</v>
      </c>
      <c r="Z17" s="680">
        <v>7.6</v>
      </c>
      <c r="AA17" s="680">
        <v>7.6</v>
      </c>
      <c r="AB17" s="680">
        <v>7.6</v>
      </c>
      <c r="AC17" s="680">
        <v>7.6</v>
      </c>
      <c r="AD17" s="680">
        <v>7.6</v>
      </c>
      <c r="AE17" s="680">
        <v>7.6</v>
      </c>
      <c r="AF17" s="680">
        <v>7.6</v>
      </c>
      <c r="AG17" s="50">
        <v>24.2</v>
      </c>
      <c r="AH17" s="47">
        <f t="shared" si="2"/>
        <v>7.6</v>
      </c>
      <c r="AI17" s="48">
        <f t="shared" si="3"/>
        <v>6.7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ht="15.75" x14ac:dyDescent="0.25">
      <c r="A18" s="44" t="s">
        <v>26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/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681">
        <v>8</v>
      </c>
      <c r="Z18" s="681">
        <v>8</v>
      </c>
      <c r="AA18" s="681">
        <v>8</v>
      </c>
      <c r="AB18" s="681">
        <v>8</v>
      </c>
      <c r="AC18" s="681">
        <v>8</v>
      </c>
      <c r="AD18" s="681">
        <v>8</v>
      </c>
      <c r="AE18" s="681">
        <v>8</v>
      </c>
      <c r="AF18" s="681">
        <v>8</v>
      </c>
      <c r="AG18" s="50">
        <v>28</v>
      </c>
      <c r="AH18" s="47">
        <f t="shared" si="2"/>
        <v>8</v>
      </c>
      <c r="AI18" s="48">
        <f t="shared" si="3"/>
        <v>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ht="15.75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 t="s">
        <v>721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679">
        <v>13</v>
      </c>
      <c r="Z19" s="679">
        <v>13</v>
      </c>
      <c r="AA19" s="679">
        <v>13</v>
      </c>
      <c r="AB19" s="679">
        <v>13</v>
      </c>
      <c r="AC19" s="679">
        <v>13</v>
      </c>
      <c r="AD19" s="679">
        <v>13</v>
      </c>
      <c r="AE19" s="679">
        <v>13</v>
      </c>
      <c r="AF19" s="679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ht="15.75" x14ac:dyDescent="0.25">
      <c r="A20" s="44" t="s">
        <v>28</v>
      </c>
      <c r="B20" s="45">
        <v>9.4</v>
      </c>
      <c r="C20" s="45">
        <v>9.4</v>
      </c>
      <c r="D20" s="45">
        <v>9.4</v>
      </c>
      <c r="E20" s="45">
        <v>9.4</v>
      </c>
      <c r="F20" s="45">
        <v>9.4</v>
      </c>
      <c r="G20" s="45">
        <v>9.4</v>
      </c>
      <c r="H20" s="45">
        <v>9.4</v>
      </c>
      <c r="I20" s="45">
        <v>9.4</v>
      </c>
      <c r="J20" s="45">
        <v>9.4</v>
      </c>
      <c r="K20" s="45">
        <v>9.4</v>
      </c>
      <c r="L20" s="45">
        <v>9.4</v>
      </c>
      <c r="M20" s="45">
        <v>9.4</v>
      </c>
      <c r="N20" s="45">
        <v>9.4</v>
      </c>
      <c r="O20" s="45">
        <v>9.4</v>
      </c>
      <c r="P20" s="45" t="s">
        <v>722</v>
      </c>
      <c r="Q20" s="45">
        <v>9.4</v>
      </c>
      <c r="R20" s="45">
        <v>7</v>
      </c>
      <c r="S20" s="45">
        <v>7</v>
      </c>
      <c r="T20" s="45">
        <v>7</v>
      </c>
      <c r="U20" s="45">
        <v>7</v>
      </c>
      <c r="V20" s="45">
        <v>7</v>
      </c>
      <c r="W20" s="45">
        <v>7</v>
      </c>
      <c r="X20" s="45">
        <v>7</v>
      </c>
      <c r="Y20" s="679">
        <v>9.1999999999999993</v>
      </c>
      <c r="Z20" s="679">
        <v>9.1999999999999993</v>
      </c>
      <c r="AA20" s="679">
        <v>9.1999999999999993</v>
      </c>
      <c r="AB20" s="679">
        <v>9.1999999999999993</v>
      </c>
      <c r="AC20" s="679">
        <v>9.1999999999999993</v>
      </c>
      <c r="AD20" s="679">
        <v>9.1999999999999993</v>
      </c>
      <c r="AE20" s="679">
        <v>9.1999999999999993</v>
      </c>
      <c r="AF20" s="679">
        <v>9.1999999999999993</v>
      </c>
      <c r="AG20" s="50">
        <v>25</v>
      </c>
      <c r="AH20" s="47">
        <f t="shared" si="2"/>
        <v>9.4</v>
      </c>
      <c r="AI20" s="48">
        <f t="shared" si="3"/>
        <v>7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ht="15.75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 t="s">
        <v>716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679">
        <v>10</v>
      </c>
      <c r="Z21" s="679">
        <v>10</v>
      </c>
      <c r="AA21" s="679">
        <v>10</v>
      </c>
      <c r="AB21" s="679">
        <v>10</v>
      </c>
      <c r="AC21" s="679">
        <v>10</v>
      </c>
      <c r="AD21" s="679">
        <v>10</v>
      </c>
      <c r="AE21" s="679">
        <v>10</v>
      </c>
      <c r="AF21" s="679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ht="15.75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 t="s">
        <v>696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679">
        <v>11</v>
      </c>
      <c r="Z22" s="679">
        <v>11</v>
      </c>
      <c r="AA22" s="679">
        <v>11</v>
      </c>
      <c r="AB22" s="679">
        <v>11</v>
      </c>
      <c r="AC22" s="679">
        <v>11</v>
      </c>
      <c r="AD22" s="679">
        <v>11</v>
      </c>
      <c r="AE22" s="679">
        <v>11</v>
      </c>
      <c r="AF22" s="679">
        <v>11</v>
      </c>
      <c r="AG22" s="50">
        <v>25</v>
      </c>
      <c r="AH22" s="47">
        <f t="shared" si="2"/>
        <v>11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ht="15.75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 t="s">
        <v>700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679">
        <v>13</v>
      </c>
      <c r="Z23" s="679">
        <v>13</v>
      </c>
      <c r="AA23" s="679">
        <v>13</v>
      </c>
      <c r="AB23" s="679">
        <v>13</v>
      </c>
      <c r="AC23" s="679">
        <v>13</v>
      </c>
      <c r="AD23" s="679">
        <v>13</v>
      </c>
      <c r="AE23" s="679">
        <v>13</v>
      </c>
      <c r="AF23" s="679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ht="15.75" x14ac:dyDescent="0.25">
      <c r="A24" s="44" t="s">
        <v>32</v>
      </c>
      <c r="B24" s="45">
        <v>7.2</v>
      </c>
      <c r="C24" s="45">
        <v>7.2</v>
      </c>
      <c r="D24" s="45">
        <v>7.2</v>
      </c>
      <c r="E24" s="45">
        <v>7.2</v>
      </c>
      <c r="F24" s="45">
        <v>7.2</v>
      </c>
      <c r="G24" s="45">
        <v>7.2</v>
      </c>
      <c r="H24" s="45">
        <v>7.2</v>
      </c>
      <c r="I24" s="45">
        <v>7.2</v>
      </c>
      <c r="J24" s="45">
        <v>7.2</v>
      </c>
      <c r="K24" s="45">
        <v>7.2</v>
      </c>
      <c r="L24" s="45">
        <v>7.2</v>
      </c>
      <c r="M24" s="45">
        <v>7.2</v>
      </c>
      <c r="N24" s="45">
        <v>7.2</v>
      </c>
      <c r="O24" s="45">
        <v>7.2</v>
      </c>
      <c r="P24" s="45" t="s">
        <v>692</v>
      </c>
      <c r="Q24" s="45">
        <v>7.2</v>
      </c>
      <c r="R24" s="45">
        <v>0</v>
      </c>
      <c r="S24" s="45">
        <v>0</v>
      </c>
      <c r="T24" s="45">
        <v>0</v>
      </c>
      <c r="U24" s="45">
        <v>0</v>
      </c>
      <c r="V24" s="45">
        <v>7.6</v>
      </c>
      <c r="W24" s="45">
        <v>7.6</v>
      </c>
      <c r="X24" s="45">
        <v>7.6</v>
      </c>
      <c r="Y24" s="680">
        <v>7.6</v>
      </c>
      <c r="Z24" s="680">
        <v>7.6</v>
      </c>
      <c r="AA24" s="680">
        <v>7.6</v>
      </c>
      <c r="AB24" s="680">
        <v>7.6</v>
      </c>
      <c r="AC24" s="680">
        <v>7.6</v>
      </c>
      <c r="AD24" s="680">
        <v>7.6</v>
      </c>
      <c r="AE24" s="680">
        <v>7.6</v>
      </c>
      <c r="AF24" s="680">
        <v>7.6</v>
      </c>
      <c r="AG24" s="50">
        <v>23.5</v>
      </c>
      <c r="AH24" s="47">
        <f t="shared" si="2"/>
        <v>7.6</v>
      </c>
      <c r="AI24" s="48">
        <f t="shared" si="3"/>
        <v>0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ht="15.75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 t="s">
        <v>701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680">
        <v>7</v>
      </c>
      <c r="Z25" s="680">
        <v>7</v>
      </c>
      <c r="AA25" s="680">
        <v>7</v>
      </c>
      <c r="AB25" s="680">
        <v>7</v>
      </c>
      <c r="AC25" s="680">
        <v>7</v>
      </c>
      <c r="AD25" s="680">
        <v>7</v>
      </c>
      <c r="AE25" s="680">
        <v>7</v>
      </c>
      <c r="AF25" s="680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ht="15.75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/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680">
        <v>7</v>
      </c>
      <c r="Z26" s="680">
        <v>7</v>
      </c>
      <c r="AA26" s="680">
        <v>7</v>
      </c>
      <c r="AB26" s="680">
        <v>7</v>
      </c>
      <c r="AC26" s="680">
        <v>7</v>
      </c>
      <c r="AD26" s="680">
        <v>7</v>
      </c>
      <c r="AE26" s="680">
        <v>7</v>
      </c>
      <c r="AF26" s="680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ht="15.75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/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680">
        <v>8</v>
      </c>
      <c r="Z27" s="680">
        <v>8</v>
      </c>
      <c r="AA27" s="680">
        <v>8</v>
      </c>
      <c r="AB27" s="680">
        <v>8</v>
      </c>
      <c r="AC27" s="680">
        <v>8</v>
      </c>
      <c r="AD27" s="680">
        <v>8</v>
      </c>
      <c r="AE27" s="680">
        <v>8</v>
      </c>
      <c r="AF27" s="680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ht="15.75" x14ac:dyDescent="0.25">
      <c r="A28" s="44" t="s">
        <v>36</v>
      </c>
      <c r="B28" s="45">
        <v>8</v>
      </c>
      <c r="C28" s="45">
        <v>8</v>
      </c>
      <c r="D28" s="45">
        <v>8</v>
      </c>
      <c r="E28" s="45">
        <v>8</v>
      </c>
      <c r="F28" s="45">
        <v>8</v>
      </c>
      <c r="G28" s="45">
        <v>8</v>
      </c>
      <c r="H28" s="45">
        <v>8</v>
      </c>
      <c r="I28" s="45">
        <v>8</v>
      </c>
      <c r="J28" s="45">
        <v>8</v>
      </c>
      <c r="K28" s="45">
        <v>8</v>
      </c>
      <c r="L28" s="45">
        <v>8</v>
      </c>
      <c r="M28" s="45">
        <v>8</v>
      </c>
      <c r="N28" s="45">
        <v>8</v>
      </c>
      <c r="O28" s="45">
        <v>8</v>
      </c>
      <c r="P28" s="45"/>
      <c r="Q28" s="45">
        <v>8</v>
      </c>
      <c r="R28" s="45">
        <v>8</v>
      </c>
      <c r="S28" s="45">
        <v>8</v>
      </c>
      <c r="T28" s="45">
        <v>8</v>
      </c>
      <c r="U28" s="45">
        <v>8</v>
      </c>
      <c r="V28" s="45">
        <v>8</v>
      </c>
      <c r="W28" s="45">
        <v>8</v>
      </c>
      <c r="X28" s="45">
        <v>8</v>
      </c>
      <c r="Y28" s="680">
        <v>8</v>
      </c>
      <c r="Z28" s="680">
        <v>8</v>
      </c>
      <c r="AA28" s="680">
        <v>8</v>
      </c>
      <c r="AB28" s="680">
        <v>8</v>
      </c>
      <c r="AC28" s="680">
        <v>8</v>
      </c>
      <c r="AD28" s="680">
        <v>8</v>
      </c>
      <c r="AE28" s="680">
        <v>8</v>
      </c>
      <c r="AF28" s="680">
        <v>8</v>
      </c>
      <c r="AG28" s="50">
        <v>22</v>
      </c>
      <c r="AH28" s="47">
        <f t="shared" si="2"/>
        <v>8</v>
      </c>
      <c r="AI28" s="48">
        <f t="shared" si="3"/>
        <v>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ht="15.75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/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681">
        <v>7</v>
      </c>
      <c r="Z29" s="681">
        <v>7</v>
      </c>
      <c r="AA29" s="681">
        <v>7</v>
      </c>
      <c r="AB29" s="681">
        <v>7</v>
      </c>
      <c r="AC29" s="681">
        <v>7</v>
      </c>
      <c r="AD29" s="681">
        <v>7</v>
      </c>
      <c r="AE29" s="681">
        <v>7</v>
      </c>
      <c r="AF29" s="681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ht="15.75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/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681">
        <v>3.8</v>
      </c>
      <c r="Z30" s="681">
        <v>3.8</v>
      </c>
      <c r="AA30" s="681">
        <v>3.8</v>
      </c>
      <c r="AB30" s="681">
        <v>3.8</v>
      </c>
      <c r="AC30" s="681">
        <v>3.8</v>
      </c>
      <c r="AD30" s="681">
        <v>3.8</v>
      </c>
      <c r="AE30" s="681">
        <v>3.8</v>
      </c>
      <c r="AF30" s="681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ht="15.75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/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680">
        <v>6.2</v>
      </c>
      <c r="Z31" s="680">
        <v>6.2</v>
      </c>
      <c r="AA31" s="680">
        <v>6.2</v>
      </c>
      <c r="AB31" s="680">
        <v>6.2</v>
      </c>
      <c r="AC31" s="680">
        <v>6.2</v>
      </c>
      <c r="AD31" s="680">
        <v>6.2</v>
      </c>
      <c r="AE31" s="680">
        <v>6.2</v>
      </c>
      <c r="AF31" s="680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ht="15.75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/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682">
        <v>0</v>
      </c>
      <c r="Z32" s="682">
        <v>0</v>
      </c>
      <c r="AA32" s="682">
        <v>0</v>
      </c>
      <c r="AB32" s="682">
        <v>0</v>
      </c>
      <c r="AC32" s="682">
        <v>0</v>
      </c>
      <c r="AD32" s="682">
        <v>0</v>
      </c>
      <c r="AE32" s="682">
        <v>0</v>
      </c>
      <c r="AF32" s="682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ht="15.75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/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680">
        <v>5</v>
      </c>
      <c r="Z33" s="680">
        <v>5</v>
      </c>
      <c r="AA33" s="680">
        <v>5</v>
      </c>
      <c r="AB33" s="680">
        <v>5</v>
      </c>
      <c r="AC33" s="680">
        <v>5</v>
      </c>
      <c r="AD33" s="680">
        <v>5</v>
      </c>
      <c r="AE33" s="680">
        <v>5</v>
      </c>
      <c r="AF33" s="680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ht="15.75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/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680">
        <v>7</v>
      </c>
      <c r="Z34" s="680">
        <v>7</v>
      </c>
      <c r="AA34" s="680">
        <v>7</v>
      </c>
      <c r="AB34" s="680">
        <v>7</v>
      </c>
      <c r="AC34" s="680">
        <v>7</v>
      </c>
      <c r="AD34" s="680">
        <v>7</v>
      </c>
      <c r="AE34" s="680">
        <v>7</v>
      </c>
      <c r="AF34" s="680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ht="15.75" x14ac:dyDescent="0.25">
      <c r="A35" s="4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>
        <v>10</v>
      </c>
      <c r="L35" s="45">
        <v>10</v>
      </c>
      <c r="M35" s="45">
        <v>10</v>
      </c>
      <c r="N35" s="45">
        <v>10</v>
      </c>
      <c r="O35" s="45">
        <v>10</v>
      </c>
      <c r="P35" s="45"/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680">
        <v>10</v>
      </c>
      <c r="Z35" s="680">
        <v>10</v>
      </c>
      <c r="AA35" s="680">
        <v>10</v>
      </c>
      <c r="AB35" s="680">
        <v>10</v>
      </c>
      <c r="AC35" s="680">
        <v>10</v>
      </c>
      <c r="AD35" s="680">
        <v>10</v>
      </c>
      <c r="AE35" s="680">
        <v>10</v>
      </c>
      <c r="AF35" s="680">
        <v>10</v>
      </c>
      <c r="AG35" s="50">
        <v>12</v>
      </c>
      <c r="AH35" s="47">
        <f t="shared" si="2"/>
        <v>10</v>
      </c>
      <c r="AI35" s="48">
        <f t="shared" si="3"/>
        <v>10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ht="15.75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/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680">
        <v>7</v>
      </c>
      <c r="Z36" s="680">
        <v>7</v>
      </c>
      <c r="AA36" s="680">
        <v>7</v>
      </c>
      <c r="AB36" s="680">
        <v>7</v>
      </c>
      <c r="AC36" s="680">
        <v>7</v>
      </c>
      <c r="AD36" s="680">
        <v>7</v>
      </c>
      <c r="AE36" s="680">
        <v>7</v>
      </c>
      <c r="AF36" s="680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/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680">
        <v>6</v>
      </c>
      <c r="Z37" s="680">
        <v>6</v>
      </c>
      <c r="AA37" s="680">
        <v>6</v>
      </c>
      <c r="AB37" s="680">
        <v>6</v>
      </c>
      <c r="AC37" s="680">
        <v>6</v>
      </c>
      <c r="AD37" s="680">
        <v>6</v>
      </c>
      <c r="AE37" s="680">
        <v>6</v>
      </c>
      <c r="AF37" s="680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/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680">
        <v>5.2</v>
      </c>
      <c r="Z38" s="680">
        <v>5.2</v>
      </c>
      <c r="AA38" s="680">
        <v>5.2</v>
      </c>
      <c r="AB38" s="680">
        <v>5.2</v>
      </c>
      <c r="AC38" s="680">
        <v>5.2</v>
      </c>
      <c r="AD38" s="680">
        <v>5.2</v>
      </c>
      <c r="AE38" s="680">
        <v>5.2</v>
      </c>
      <c r="AF38" s="680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/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680">
        <v>8.5</v>
      </c>
      <c r="Z39" s="680">
        <v>8.5</v>
      </c>
      <c r="AA39" s="680">
        <v>8.5</v>
      </c>
      <c r="AB39" s="680">
        <v>8.5</v>
      </c>
      <c r="AC39" s="680">
        <v>8.5</v>
      </c>
      <c r="AD39" s="680">
        <v>8.5</v>
      </c>
      <c r="AE39" s="680">
        <v>8.5</v>
      </c>
      <c r="AF39" s="680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/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680">
        <v>4</v>
      </c>
      <c r="Z40" s="680">
        <v>4</v>
      </c>
      <c r="AA40" s="680">
        <v>4</v>
      </c>
      <c r="AB40" s="680">
        <v>4</v>
      </c>
      <c r="AC40" s="680">
        <v>4</v>
      </c>
      <c r="AD40" s="680">
        <v>4</v>
      </c>
      <c r="AE40" s="680">
        <v>4</v>
      </c>
      <c r="AF40" s="680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ht="15.75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/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680">
        <v>0</v>
      </c>
      <c r="Z41" s="680">
        <v>0</v>
      </c>
      <c r="AA41" s="680">
        <v>0</v>
      </c>
      <c r="AB41" s="680">
        <v>0</v>
      </c>
      <c r="AC41" s="680">
        <v>0</v>
      </c>
      <c r="AD41" s="680">
        <v>0</v>
      </c>
      <c r="AE41" s="680">
        <v>0</v>
      </c>
      <c r="AF41" s="680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ht="15.75" x14ac:dyDescent="0.25">
      <c r="A42" s="55" t="s">
        <v>50</v>
      </c>
      <c r="B42" s="56">
        <v>100</v>
      </c>
      <c r="C42" s="56">
        <v>100</v>
      </c>
      <c r="D42" s="56">
        <v>100</v>
      </c>
      <c r="E42" s="56">
        <v>100</v>
      </c>
      <c r="F42" s="56">
        <v>100</v>
      </c>
      <c r="G42" s="56">
        <v>100</v>
      </c>
      <c r="H42" s="56">
        <v>100</v>
      </c>
      <c r="I42" s="56">
        <v>100</v>
      </c>
      <c r="J42" s="56">
        <v>100</v>
      </c>
      <c r="K42" s="56">
        <v>100</v>
      </c>
      <c r="L42" s="56">
        <v>100</v>
      </c>
      <c r="M42" s="56">
        <v>100</v>
      </c>
      <c r="N42" s="56">
        <v>100</v>
      </c>
      <c r="O42" s="56">
        <v>100</v>
      </c>
      <c r="P42" s="56"/>
      <c r="Q42" s="56">
        <v>100</v>
      </c>
      <c r="R42" s="56">
        <v>100</v>
      </c>
      <c r="S42" s="56">
        <v>100</v>
      </c>
      <c r="T42" s="56">
        <v>100</v>
      </c>
      <c r="U42" s="56">
        <v>100</v>
      </c>
      <c r="V42" s="56">
        <v>100</v>
      </c>
      <c r="W42" s="56">
        <v>100</v>
      </c>
      <c r="X42" s="56">
        <v>100</v>
      </c>
      <c r="Y42" s="680">
        <v>100</v>
      </c>
      <c r="Z42" s="680">
        <v>100</v>
      </c>
      <c r="AA42" s="680">
        <v>100</v>
      </c>
      <c r="AB42" s="680">
        <v>100</v>
      </c>
      <c r="AC42" s="680">
        <v>100</v>
      </c>
      <c r="AD42" s="680">
        <v>100</v>
      </c>
      <c r="AE42" s="680">
        <v>100</v>
      </c>
      <c r="AF42" s="680">
        <v>100</v>
      </c>
      <c r="AG42" s="54">
        <v>85</v>
      </c>
      <c r="AH42" s="47">
        <f t="shared" si="2"/>
        <v>100</v>
      </c>
      <c r="AI42" s="48">
        <f t="shared" si="3"/>
        <v>100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:AG44" si="4">SUM(B11:B42)</f>
        <v>369.59999999999997</v>
      </c>
      <c r="C44" s="60">
        <f t="shared" si="4"/>
        <v>369.59999999999997</v>
      </c>
      <c r="D44" s="60">
        <f t="shared" si="4"/>
        <v>369.59999999999997</v>
      </c>
      <c r="E44" s="60">
        <f t="shared" si="4"/>
        <v>367.9</v>
      </c>
      <c r="F44" s="60">
        <f t="shared" si="4"/>
        <v>368.09999999999997</v>
      </c>
      <c r="G44" s="60">
        <f t="shared" si="4"/>
        <v>369.09999999999997</v>
      </c>
      <c r="H44" s="60">
        <f t="shared" si="4"/>
        <v>369.09999999999997</v>
      </c>
      <c r="I44" s="60">
        <f t="shared" si="4"/>
        <v>369.09999999999997</v>
      </c>
      <c r="J44" s="60">
        <f t="shared" si="4"/>
        <v>369.09999999999997</v>
      </c>
      <c r="K44" s="60">
        <f t="shared" si="4"/>
        <v>369.09999999999997</v>
      </c>
      <c r="L44" s="60">
        <f t="shared" si="4"/>
        <v>369.09999999999997</v>
      </c>
      <c r="M44" s="60">
        <f t="shared" si="4"/>
        <v>365.79999999999995</v>
      </c>
      <c r="N44" s="60">
        <f t="shared" si="4"/>
        <v>362.29999999999995</v>
      </c>
      <c r="O44" s="60">
        <f t="shared" si="4"/>
        <v>362.7</v>
      </c>
      <c r="P44" s="60">
        <f t="shared" si="4"/>
        <v>0</v>
      </c>
      <c r="Q44" s="60">
        <f t="shared" si="4"/>
        <v>370</v>
      </c>
      <c r="R44" s="60">
        <f t="shared" si="4"/>
        <v>360.9</v>
      </c>
      <c r="S44" s="60">
        <f t="shared" si="4"/>
        <v>360.9</v>
      </c>
      <c r="T44" s="60">
        <f t="shared" si="4"/>
        <v>360.9</v>
      </c>
      <c r="U44" s="60">
        <f t="shared" si="4"/>
        <v>354.4</v>
      </c>
      <c r="V44" s="60">
        <f t="shared" si="4"/>
        <v>362</v>
      </c>
      <c r="W44" s="60">
        <f t="shared" si="4"/>
        <v>363.69999999999993</v>
      </c>
      <c r="X44" s="60">
        <f t="shared" si="4"/>
        <v>363.69999999999993</v>
      </c>
      <c r="Y44" s="60">
        <f t="shared" si="4"/>
        <v>365.9</v>
      </c>
      <c r="Z44" s="60">
        <f t="shared" si="4"/>
        <v>365.9</v>
      </c>
      <c r="AA44" s="60">
        <f t="shared" si="4"/>
        <v>365.9</v>
      </c>
      <c r="AB44" s="60">
        <f t="shared" si="4"/>
        <v>366.5</v>
      </c>
      <c r="AC44" s="60">
        <f t="shared" si="4"/>
        <v>366.5</v>
      </c>
      <c r="AD44" s="60">
        <f t="shared" si="4"/>
        <v>366.5</v>
      </c>
      <c r="AE44" s="60">
        <f t="shared" si="4"/>
        <v>366.5</v>
      </c>
      <c r="AF44" s="60">
        <f t="shared" si="4"/>
        <v>366.5</v>
      </c>
      <c r="AG44" s="61">
        <f t="shared" si="4"/>
        <v>814.78000000000009</v>
      </c>
      <c r="AH44" s="47">
        <f t="shared" si="2"/>
        <v>370</v>
      </c>
      <c r="AI44" s="48">
        <f t="shared" si="3"/>
        <v>0</v>
      </c>
      <c r="AK44" s="49"/>
    </row>
    <row r="45" spans="1:88" ht="15.75" x14ac:dyDescent="0.25">
      <c r="A45" s="62" t="s">
        <v>53</v>
      </c>
      <c r="B45" s="45">
        <v>15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60</v>
      </c>
      <c r="J45" s="45">
        <v>180</v>
      </c>
      <c r="K45" s="45">
        <v>130</v>
      </c>
      <c r="L45" s="45">
        <v>180</v>
      </c>
      <c r="M45" s="63">
        <v>228</v>
      </c>
      <c r="N45" s="63">
        <v>200</v>
      </c>
      <c r="O45" s="45">
        <v>175</v>
      </c>
      <c r="P45" s="45"/>
      <c r="Q45" s="45">
        <v>30</v>
      </c>
      <c r="R45" s="45">
        <v>100</v>
      </c>
      <c r="S45" s="45">
        <v>125</v>
      </c>
      <c r="T45" s="45">
        <v>120</v>
      </c>
      <c r="U45" s="45">
        <v>110</v>
      </c>
      <c r="V45" s="45">
        <v>80</v>
      </c>
      <c r="W45" s="45">
        <v>60</v>
      </c>
      <c r="X45" s="45">
        <v>70</v>
      </c>
      <c r="Y45" s="683">
        <v>210</v>
      </c>
      <c r="Z45" s="45">
        <v>300</v>
      </c>
      <c r="AA45" s="45">
        <v>255</v>
      </c>
      <c r="AB45" s="45">
        <v>170</v>
      </c>
      <c r="AC45" s="45">
        <v>140</v>
      </c>
      <c r="AD45" s="45">
        <v>100</v>
      </c>
      <c r="AE45" s="45">
        <v>40</v>
      </c>
      <c r="AF45" s="45">
        <v>0</v>
      </c>
      <c r="AG45" s="51">
        <v>456</v>
      </c>
      <c r="AH45" s="47">
        <f t="shared" si="2"/>
        <v>300</v>
      </c>
      <c r="AI45" s="48">
        <f t="shared" si="3"/>
        <v>0</v>
      </c>
      <c r="AK45" s="49"/>
    </row>
    <row r="46" spans="1:88" ht="15.75" x14ac:dyDescent="0.25">
      <c r="A46" s="64" t="s">
        <v>54</v>
      </c>
      <c r="B46" s="65">
        <v>28</v>
      </c>
      <c r="C46" s="65">
        <v>28</v>
      </c>
      <c r="D46" s="65">
        <v>28</v>
      </c>
      <c r="E46" s="65">
        <v>28</v>
      </c>
      <c r="F46" s="65">
        <v>28</v>
      </c>
      <c r="G46" s="65">
        <v>28</v>
      </c>
      <c r="H46" s="65">
        <v>28</v>
      </c>
      <c r="I46" s="65">
        <v>28</v>
      </c>
      <c r="J46" s="65">
        <v>28</v>
      </c>
      <c r="K46" s="65">
        <v>28</v>
      </c>
      <c r="L46" s="65">
        <v>28</v>
      </c>
      <c r="M46" s="65">
        <v>28</v>
      </c>
      <c r="N46" s="65">
        <v>28</v>
      </c>
      <c r="O46" s="65">
        <v>28</v>
      </c>
      <c r="P46" s="65"/>
      <c r="Q46" s="65">
        <v>28</v>
      </c>
      <c r="R46" s="65">
        <v>28</v>
      </c>
      <c r="S46" s="65">
        <v>28</v>
      </c>
      <c r="T46" s="65">
        <v>28</v>
      </c>
      <c r="U46" s="65">
        <v>28</v>
      </c>
      <c r="V46" s="65">
        <v>28</v>
      </c>
      <c r="W46" s="65">
        <v>28</v>
      </c>
      <c r="X46" s="65">
        <v>28</v>
      </c>
      <c r="Y46" s="679">
        <v>28</v>
      </c>
      <c r="Z46" s="65">
        <v>28</v>
      </c>
      <c r="AA46" s="65">
        <v>28</v>
      </c>
      <c r="AB46" s="65">
        <v>28</v>
      </c>
      <c r="AC46" s="65">
        <v>28</v>
      </c>
      <c r="AD46" s="65">
        <v>28</v>
      </c>
      <c r="AE46" s="65">
        <v>28</v>
      </c>
      <c r="AF46" s="65">
        <v>28</v>
      </c>
      <c r="AG46" s="54">
        <v>60</v>
      </c>
      <c r="AH46" s="47">
        <f t="shared" si="2"/>
        <v>28</v>
      </c>
      <c r="AI46" s="48">
        <f t="shared" si="3"/>
        <v>28</v>
      </c>
      <c r="AK46" s="49"/>
    </row>
    <row r="47" spans="1:88" ht="16.5" thickBot="1" x14ac:dyDescent="0.3">
      <c r="A47" s="66" t="s">
        <v>55</v>
      </c>
      <c r="B47" s="67">
        <v>10.1</v>
      </c>
      <c r="C47" s="67">
        <v>10.1</v>
      </c>
      <c r="D47" s="67">
        <v>10.1</v>
      </c>
      <c r="E47" s="67">
        <v>10.1</v>
      </c>
      <c r="F47" s="67">
        <v>10.1</v>
      </c>
      <c r="G47" s="67">
        <v>10.199999999999999</v>
      </c>
      <c r="H47" s="67">
        <v>10.199999999999999</v>
      </c>
      <c r="I47" s="67">
        <v>10.3</v>
      </c>
      <c r="J47" s="67">
        <v>10.3</v>
      </c>
      <c r="K47" s="67">
        <v>10.3</v>
      </c>
      <c r="L47" s="67">
        <v>10.6</v>
      </c>
      <c r="M47" s="67">
        <v>10.199999999999999</v>
      </c>
      <c r="N47" s="67">
        <v>10.199999999999999</v>
      </c>
      <c r="O47" s="67">
        <v>10.199999999999999</v>
      </c>
      <c r="P47" s="67"/>
      <c r="Q47" s="67">
        <v>16.2</v>
      </c>
      <c r="R47" s="67">
        <v>10.3</v>
      </c>
      <c r="S47" s="67">
        <v>10.3</v>
      </c>
      <c r="T47" s="67">
        <v>10.3</v>
      </c>
      <c r="U47" s="67">
        <v>10.3</v>
      </c>
      <c r="V47" s="67">
        <v>10.3</v>
      </c>
      <c r="W47" s="67">
        <v>10.3</v>
      </c>
      <c r="X47" s="67">
        <v>10.3</v>
      </c>
      <c r="Y47" s="684">
        <v>17.100000000000001</v>
      </c>
      <c r="Z47" s="67">
        <v>17.100000000000001</v>
      </c>
      <c r="AA47" s="67">
        <v>17.100000000000001</v>
      </c>
      <c r="AB47" s="67">
        <v>17.100000000000001</v>
      </c>
      <c r="AC47" s="67">
        <v>17.100000000000001</v>
      </c>
      <c r="AD47" s="67">
        <v>17.100000000000001</v>
      </c>
      <c r="AE47" s="67">
        <v>17.100000000000001</v>
      </c>
      <c r="AF47" s="67">
        <v>17.100000000000001</v>
      </c>
      <c r="AG47" s="68">
        <v>22.1</v>
      </c>
      <c r="AH47" s="47">
        <f t="shared" si="2"/>
        <v>17.100000000000001</v>
      </c>
      <c r="AI47" s="48">
        <f t="shared" si="3"/>
        <v>10.1</v>
      </c>
      <c r="AK47" s="49"/>
    </row>
    <row r="48" spans="1:88" ht="15.75" thickBot="1" x14ac:dyDescent="0.3">
      <c r="A48" s="69" t="s">
        <v>56</v>
      </c>
      <c r="B48" s="60">
        <f t="shared" ref="B48:AG48" si="5">SUM(B45:B47)</f>
        <v>53.1</v>
      </c>
      <c r="C48" s="60">
        <f t="shared" si="5"/>
        <v>38.1</v>
      </c>
      <c r="D48" s="60">
        <f t="shared" si="5"/>
        <v>38.1</v>
      </c>
      <c r="E48" s="60">
        <f t="shared" si="5"/>
        <v>38.1</v>
      </c>
      <c r="F48" s="60">
        <f t="shared" si="5"/>
        <v>38.1</v>
      </c>
      <c r="G48" s="60">
        <f t="shared" si="5"/>
        <v>38.200000000000003</v>
      </c>
      <c r="H48" s="60">
        <f t="shared" si="5"/>
        <v>38.200000000000003</v>
      </c>
      <c r="I48" s="60">
        <f t="shared" si="5"/>
        <v>98.3</v>
      </c>
      <c r="J48" s="60">
        <f t="shared" si="5"/>
        <v>218.3</v>
      </c>
      <c r="K48" s="60">
        <f t="shared" si="5"/>
        <v>168.3</v>
      </c>
      <c r="L48" s="60">
        <f t="shared" si="5"/>
        <v>218.6</v>
      </c>
      <c r="M48" s="60">
        <f t="shared" si="5"/>
        <v>266.2</v>
      </c>
      <c r="N48" s="60">
        <f t="shared" si="5"/>
        <v>238.2</v>
      </c>
      <c r="O48" s="60">
        <f t="shared" si="5"/>
        <v>213.2</v>
      </c>
      <c r="P48" s="60">
        <f t="shared" si="5"/>
        <v>0</v>
      </c>
      <c r="Q48" s="60">
        <f t="shared" si="5"/>
        <v>74.2</v>
      </c>
      <c r="R48" s="60">
        <f t="shared" si="5"/>
        <v>138.30000000000001</v>
      </c>
      <c r="S48" s="60">
        <f t="shared" si="5"/>
        <v>163.30000000000001</v>
      </c>
      <c r="T48" s="60">
        <f t="shared" si="5"/>
        <v>158.30000000000001</v>
      </c>
      <c r="U48" s="60">
        <f t="shared" si="5"/>
        <v>148.30000000000001</v>
      </c>
      <c r="V48" s="60">
        <f t="shared" si="5"/>
        <v>118.3</v>
      </c>
      <c r="W48" s="60">
        <f t="shared" si="5"/>
        <v>98.3</v>
      </c>
      <c r="X48" s="60">
        <f t="shared" si="5"/>
        <v>108.3</v>
      </c>
      <c r="Y48" s="60">
        <f t="shared" si="5"/>
        <v>255.1</v>
      </c>
      <c r="Z48" s="60">
        <f t="shared" si="5"/>
        <v>345.1</v>
      </c>
      <c r="AA48" s="60">
        <f t="shared" si="5"/>
        <v>300.10000000000002</v>
      </c>
      <c r="AB48" s="60">
        <f t="shared" si="5"/>
        <v>215.1</v>
      </c>
      <c r="AC48" s="60">
        <f t="shared" si="5"/>
        <v>185.1</v>
      </c>
      <c r="AD48" s="60">
        <f t="shared" si="5"/>
        <v>145.1</v>
      </c>
      <c r="AE48" s="60">
        <f t="shared" si="5"/>
        <v>85.1</v>
      </c>
      <c r="AF48" s="60">
        <f t="shared" si="5"/>
        <v>45.1</v>
      </c>
      <c r="AG48" s="61">
        <f t="shared" si="5"/>
        <v>538.1</v>
      </c>
      <c r="AH48" s="47">
        <f t="shared" si="2"/>
        <v>345.1</v>
      </c>
      <c r="AI48" s="48">
        <f t="shared" si="3"/>
        <v>0</v>
      </c>
      <c r="AK48" s="49"/>
    </row>
    <row r="49" spans="1:41" ht="15.75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48</v>
      </c>
      <c r="I49" s="45">
        <v>60</v>
      </c>
      <c r="J49" s="45">
        <v>96</v>
      </c>
      <c r="K49" s="45">
        <v>132</v>
      </c>
      <c r="L49" s="45">
        <v>142</v>
      </c>
      <c r="M49" s="45">
        <v>95.5</v>
      </c>
      <c r="N49" s="45">
        <v>90</v>
      </c>
      <c r="O49" s="45">
        <v>76.3</v>
      </c>
      <c r="P49" s="45"/>
      <c r="Q49" s="45">
        <v>70.3</v>
      </c>
      <c r="R49" s="45">
        <v>73.5</v>
      </c>
      <c r="S49" s="45">
        <v>93.6</v>
      </c>
      <c r="T49" s="45">
        <v>97.6</v>
      </c>
      <c r="U49" s="45">
        <v>82</v>
      </c>
      <c r="V49" s="45">
        <v>60</v>
      </c>
      <c r="W49" s="45">
        <v>61.2</v>
      </c>
      <c r="X49" s="45">
        <v>95.3</v>
      </c>
      <c r="Y49" s="685">
        <v>109.2</v>
      </c>
      <c r="Z49" s="45">
        <v>81.7</v>
      </c>
      <c r="AA49" s="45">
        <v>81.599999999999994</v>
      </c>
      <c r="AB49" s="45">
        <v>60.7</v>
      </c>
      <c r="AC49" s="45">
        <v>71</v>
      </c>
      <c r="AD49" s="45">
        <v>67</v>
      </c>
      <c r="AE49" s="45">
        <v>44</v>
      </c>
      <c r="AF49" s="45">
        <v>0</v>
      </c>
      <c r="AG49" s="51">
        <v>144</v>
      </c>
      <c r="AH49" s="47">
        <f t="shared" si="2"/>
        <v>142</v>
      </c>
      <c r="AI49" s="48">
        <f t="shared" si="3"/>
        <v>0</v>
      </c>
      <c r="AK49" s="49"/>
    </row>
    <row r="50" spans="1:41" ht="15.75" x14ac:dyDescent="0.25">
      <c r="A50" s="53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46.2</v>
      </c>
      <c r="J50" s="65">
        <v>60</v>
      </c>
      <c r="K50" s="65">
        <v>69</v>
      </c>
      <c r="L50" s="65">
        <v>68.3</v>
      </c>
      <c r="M50" s="65">
        <v>44.7</v>
      </c>
      <c r="N50" s="65">
        <v>44.9</v>
      </c>
      <c r="O50" s="65">
        <v>23.6</v>
      </c>
      <c r="P50" s="65"/>
      <c r="Q50" s="65">
        <v>48.9</v>
      </c>
      <c r="R50" s="45">
        <v>71</v>
      </c>
      <c r="S50" s="45">
        <v>69.8</v>
      </c>
      <c r="T50" s="45">
        <v>34.9</v>
      </c>
      <c r="U50" s="45">
        <v>27.3</v>
      </c>
      <c r="V50" s="45">
        <v>22.4</v>
      </c>
      <c r="W50" s="45">
        <v>41.8</v>
      </c>
      <c r="X50" s="45">
        <v>42.3</v>
      </c>
      <c r="Y50" s="685">
        <v>42.6</v>
      </c>
      <c r="Z50" s="45">
        <v>56.7</v>
      </c>
      <c r="AA50" s="45">
        <v>32.9</v>
      </c>
      <c r="AB50" s="45">
        <v>21.8</v>
      </c>
      <c r="AC50" s="65">
        <v>22</v>
      </c>
      <c r="AD50" s="65">
        <v>22</v>
      </c>
      <c r="AE50" s="65">
        <v>30</v>
      </c>
      <c r="AF50" s="65">
        <v>30</v>
      </c>
      <c r="AG50" s="54">
        <v>70</v>
      </c>
      <c r="AH50" s="47">
        <f t="shared" si="2"/>
        <v>71</v>
      </c>
      <c r="AI50" s="48">
        <f t="shared" si="3"/>
        <v>0</v>
      </c>
      <c r="AK50" s="49"/>
    </row>
    <row r="51" spans="1:41" ht="15.75" x14ac:dyDescent="0.25">
      <c r="A51" s="53" t="s">
        <v>59</v>
      </c>
      <c r="B51" s="65">
        <v>34</v>
      </c>
      <c r="C51" s="65">
        <v>46.7</v>
      </c>
      <c r="D51" s="65">
        <v>34</v>
      </c>
      <c r="E51" s="65">
        <v>23.2</v>
      </c>
      <c r="F51" s="65">
        <v>23.2</v>
      </c>
      <c r="G51" s="65">
        <v>22.1</v>
      </c>
      <c r="H51" s="65">
        <v>46.2</v>
      </c>
      <c r="I51" s="65">
        <v>34</v>
      </c>
      <c r="J51" s="65">
        <v>52</v>
      </c>
      <c r="K51" s="65">
        <v>50</v>
      </c>
      <c r="L51" s="65">
        <v>66.2</v>
      </c>
      <c r="M51" s="65">
        <v>33.799999999999997</v>
      </c>
      <c r="N51" s="65">
        <v>16.5</v>
      </c>
      <c r="O51" s="65">
        <v>16.2</v>
      </c>
      <c r="P51" s="65"/>
      <c r="Q51" s="65">
        <v>19.8</v>
      </c>
      <c r="R51" s="45">
        <v>19.8</v>
      </c>
      <c r="S51" s="45">
        <v>19.899999999999999</v>
      </c>
      <c r="T51" s="45">
        <v>40.700000000000003</v>
      </c>
      <c r="U51" s="45">
        <v>45.5</v>
      </c>
      <c r="V51" s="45">
        <v>35.200000000000003</v>
      </c>
      <c r="W51" s="45">
        <v>39.5</v>
      </c>
      <c r="X51" s="45">
        <v>53.1</v>
      </c>
      <c r="Y51" s="685">
        <v>56.6</v>
      </c>
      <c r="Z51" s="45">
        <v>54.2</v>
      </c>
      <c r="AA51" s="45">
        <v>62.6</v>
      </c>
      <c r="AB51" s="45">
        <v>52.9</v>
      </c>
      <c r="AC51" s="65">
        <v>52.6</v>
      </c>
      <c r="AD51" s="65">
        <v>69</v>
      </c>
      <c r="AE51" s="65">
        <v>60</v>
      </c>
      <c r="AF51" s="65">
        <v>51</v>
      </c>
      <c r="AG51" s="54">
        <v>69</v>
      </c>
      <c r="AH51" s="47">
        <f t="shared" si="2"/>
        <v>69</v>
      </c>
      <c r="AI51" s="48">
        <f t="shared" si="3"/>
        <v>16.2</v>
      </c>
      <c r="AK51" s="49"/>
    </row>
    <row r="52" spans="1:41" ht="15.75" x14ac:dyDescent="0.25">
      <c r="A52" s="53" t="s">
        <v>60</v>
      </c>
      <c r="B52" s="56">
        <v>43.3</v>
      </c>
      <c r="C52" s="56">
        <v>43.3</v>
      </c>
      <c r="D52" s="56">
        <v>43.3</v>
      </c>
      <c r="E52" s="56">
        <v>43.3</v>
      </c>
      <c r="F52" s="56">
        <v>43.3</v>
      </c>
      <c r="G52" s="56">
        <v>43.3</v>
      </c>
      <c r="H52" s="56">
        <v>43.5</v>
      </c>
      <c r="I52" s="56">
        <v>43.6</v>
      </c>
      <c r="J52" s="56">
        <v>43.6</v>
      </c>
      <c r="K52" s="56">
        <v>43.6</v>
      </c>
      <c r="L52" s="56">
        <v>46.3</v>
      </c>
      <c r="M52" s="65">
        <v>46.3</v>
      </c>
      <c r="N52" s="65">
        <v>44.3</v>
      </c>
      <c r="O52" s="65">
        <v>44.3</v>
      </c>
      <c r="P52" s="65"/>
      <c r="Q52" s="65">
        <v>30.7</v>
      </c>
      <c r="R52" s="45">
        <v>31</v>
      </c>
      <c r="S52" s="45">
        <v>49.9</v>
      </c>
      <c r="T52" s="45">
        <v>46.1</v>
      </c>
      <c r="U52" s="45">
        <v>46.1</v>
      </c>
      <c r="V52" s="45">
        <v>41.5</v>
      </c>
      <c r="W52" s="45">
        <v>41.3</v>
      </c>
      <c r="X52" s="65">
        <v>42.3</v>
      </c>
      <c r="Y52" s="685">
        <v>42.8</v>
      </c>
      <c r="Z52" s="685">
        <v>42.8</v>
      </c>
      <c r="AA52" s="65">
        <v>42.6</v>
      </c>
      <c r="AB52" s="65">
        <v>42.6</v>
      </c>
      <c r="AC52" s="65">
        <v>42.6</v>
      </c>
      <c r="AD52" s="65">
        <v>42.6</v>
      </c>
      <c r="AE52" s="65">
        <v>42.6</v>
      </c>
      <c r="AF52" s="65">
        <v>42.6</v>
      </c>
      <c r="AG52" s="54">
        <v>60</v>
      </c>
      <c r="AH52" s="47">
        <f t="shared" si="2"/>
        <v>49.9</v>
      </c>
      <c r="AI52" s="48">
        <f t="shared" si="3"/>
        <v>30.7</v>
      </c>
      <c r="AK52" s="49"/>
    </row>
    <row r="53" spans="1:41" ht="15.75" x14ac:dyDescent="0.25">
      <c r="A53" s="53" t="s">
        <v>61</v>
      </c>
      <c r="B53" s="56">
        <v>0</v>
      </c>
      <c r="C53" s="56">
        <v>0</v>
      </c>
      <c r="D53" s="56">
        <v>0</v>
      </c>
      <c r="E53" s="56">
        <v>0</v>
      </c>
      <c r="F53" s="56">
        <v>0</v>
      </c>
      <c r="G53" s="56">
        <v>0</v>
      </c>
      <c r="H53" s="56">
        <v>10</v>
      </c>
      <c r="I53" s="56">
        <v>15</v>
      </c>
      <c r="J53" s="56">
        <v>15</v>
      </c>
      <c r="K53" s="56">
        <v>15</v>
      </c>
      <c r="L53" s="56">
        <v>15</v>
      </c>
      <c r="M53" s="65">
        <v>15</v>
      </c>
      <c r="N53" s="65">
        <v>13</v>
      </c>
      <c r="O53" s="65">
        <v>13</v>
      </c>
      <c r="P53" s="65"/>
      <c r="Q53" s="65">
        <v>15</v>
      </c>
      <c r="R53" s="45">
        <v>15</v>
      </c>
      <c r="S53" s="45">
        <v>15</v>
      </c>
      <c r="T53" s="45">
        <v>15</v>
      </c>
      <c r="U53" s="45">
        <v>12</v>
      </c>
      <c r="V53" s="45">
        <v>12</v>
      </c>
      <c r="W53" s="45">
        <v>15</v>
      </c>
      <c r="X53" s="65">
        <v>22</v>
      </c>
      <c r="Y53" s="686">
        <v>26</v>
      </c>
      <c r="Z53" s="686">
        <v>26</v>
      </c>
      <c r="AA53" s="686">
        <v>26</v>
      </c>
      <c r="AB53" s="686">
        <v>13</v>
      </c>
      <c r="AC53" s="65">
        <v>13</v>
      </c>
      <c r="AD53" s="65">
        <v>13</v>
      </c>
      <c r="AE53" s="65">
        <v>0</v>
      </c>
      <c r="AF53" s="65">
        <v>0</v>
      </c>
      <c r="AG53" s="54">
        <v>30</v>
      </c>
      <c r="AH53" s="47">
        <f t="shared" si="2"/>
        <v>26</v>
      </c>
      <c r="AI53" s="48">
        <f t="shared" si="3"/>
        <v>0</v>
      </c>
      <c r="AK53" s="49"/>
    </row>
    <row r="54" spans="1:41" ht="15.75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65"/>
      <c r="Q54" s="65">
        <v>0</v>
      </c>
      <c r="R54" s="45">
        <v>0</v>
      </c>
      <c r="S54" s="45">
        <v>6</v>
      </c>
      <c r="T54" s="45">
        <v>4</v>
      </c>
      <c r="U54" s="45">
        <v>0</v>
      </c>
      <c r="V54" s="45">
        <v>0</v>
      </c>
      <c r="W54" s="45">
        <v>0</v>
      </c>
      <c r="X54" s="65">
        <v>0</v>
      </c>
      <c r="Y54" s="686">
        <v>0</v>
      </c>
      <c r="Z54" s="686">
        <v>0</v>
      </c>
      <c r="AA54" s="686">
        <v>0</v>
      </c>
      <c r="AB54" s="686">
        <v>0</v>
      </c>
      <c r="AC54" s="686">
        <v>0</v>
      </c>
      <c r="AD54" s="686">
        <v>0</v>
      </c>
      <c r="AE54" s="686">
        <v>0</v>
      </c>
      <c r="AF54" s="686">
        <v>0</v>
      </c>
      <c r="AG54" s="54">
        <v>25</v>
      </c>
      <c r="AH54" s="47">
        <f t="shared" si="2"/>
        <v>6</v>
      </c>
      <c r="AI54" s="48">
        <f t="shared" si="3"/>
        <v>0</v>
      </c>
      <c r="AK54" s="49"/>
    </row>
    <row r="55" spans="1:41" ht="15.75" x14ac:dyDescent="0.25">
      <c r="A55" s="53" t="s">
        <v>63</v>
      </c>
      <c r="B55" s="65">
        <v>16</v>
      </c>
      <c r="C55" s="65">
        <v>16</v>
      </c>
      <c r="D55" s="65">
        <v>16</v>
      </c>
      <c r="E55" s="65">
        <v>16</v>
      </c>
      <c r="F55" s="65">
        <v>16</v>
      </c>
      <c r="G55" s="65">
        <v>16</v>
      </c>
      <c r="H55" s="65">
        <v>16</v>
      </c>
      <c r="I55" s="65">
        <v>16</v>
      </c>
      <c r="J55" s="65">
        <v>16</v>
      </c>
      <c r="K55" s="65">
        <v>16</v>
      </c>
      <c r="L55" s="65">
        <v>16</v>
      </c>
      <c r="M55" s="65">
        <v>16</v>
      </c>
      <c r="N55" s="65">
        <v>16</v>
      </c>
      <c r="O55" s="65">
        <v>16</v>
      </c>
      <c r="P55" s="65"/>
      <c r="Q55" s="65">
        <v>16</v>
      </c>
      <c r="R55" s="65">
        <v>16</v>
      </c>
      <c r="S55" s="65">
        <v>16</v>
      </c>
      <c r="T55" s="65">
        <v>16</v>
      </c>
      <c r="U55" s="65">
        <v>16</v>
      </c>
      <c r="V55" s="65">
        <v>16</v>
      </c>
      <c r="W55" s="65">
        <v>16</v>
      </c>
      <c r="X55" s="65">
        <v>16</v>
      </c>
      <c r="Y55" s="686">
        <v>16</v>
      </c>
      <c r="Z55" s="686">
        <v>16</v>
      </c>
      <c r="AA55" s="686">
        <v>16</v>
      </c>
      <c r="AB55" s="686">
        <v>16</v>
      </c>
      <c r="AC55" s="686">
        <v>16</v>
      </c>
      <c r="AD55" s="686">
        <v>16</v>
      </c>
      <c r="AE55" s="686">
        <v>16</v>
      </c>
      <c r="AF55" s="686">
        <v>16</v>
      </c>
      <c r="AG55" s="54">
        <v>24</v>
      </c>
      <c r="AH55" s="47">
        <f t="shared" si="2"/>
        <v>16</v>
      </c>
      <c r="AI55" s="48">
        <f t="shared" si="3"/>
        <v>16</v>
      </c>
      <c r="AK55" s="49"/>
    </row>
    <row r="56" spans="1:41" ht="15.75" x14ac:dyDescent="0.25">
      <c r="A56" s="53" t="s">
        <v>64</v>
      </c>
      <c r="B56" s="65">
        <v>3.3</v>
      </c>
      <c r="C56" s="65">
        <v>3.3</v>
      </c>
      <c r="D56" s="65">
        <v>3.3</v>
      </c>
      <c r="E56" s="65">
        <v>3.3</v>
      </c>
      <c r="F56" s="65">
        <v>3.3</v>
      </c>
      <c r="G56" s="65">
        <v>3.3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/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87">
        <v>3.2</v>
      </c>
      <c r="Z56" s="687">
        <v>3.2</v>
      </c>
      <c r="AA56" s="687">
        <v>3.2</v>
      </c>
      <c r="AB56" s="687">
        <v>3.2</v>
      </c>
      <c r="AC56" s="687">
        <v>3.2</v>
      </c>
      <c r="AD56" s="687">
        <v>3.2</v>
      </c>
      <c r="AE56" s="687">
        <v>3.2</v>
      </c>
      <c r="AF56" s="687">
        <v>3.2</v>
      </c>
      <c r="AG56" s="54">
        <v>15</v>
      </c>
      <c r="AH56" s="47">
        <f t="shared" si="2"/>
        <v>3.3</v>
      </c>
      <c r="AI56" s="48">
        <f t="shared" si="3"/>
        <v>3.2</v>
      </c>
      <c r="AK56" s="49"/>
      <c r="AL56" s="70"/>
      <c r="AO56" s="70"/>
    </row>
    <row r="57" spans="1:41" s="70" customFormat="1" ht="15.75" x14ac:dyDescent="0.25">
      <c r="A57" s="53" t="s">
        <v>65</v>
      </c>
      <c r="B57" s="65">
        <v>10.6</v>
      </c>
      <c r="C57" s="65">
        <v>10.6</v>
      </c>
      <c r="D57" s="65">
        <v>10.6</v>
      </c>
      <c r="E57" s="65">
        <v>10.6</v>
      </c>
      <c r="F57" s="65">
        <v>10.6</v>
      </c>
      <c r="G57" s="65">
        <v>10.6</v>
      </c>
      <c r="H57" s="65">
        <v>10.6</v>
      </c>
      <c r="I57" s="65">
        <v>10.6</v>
      </c>
      <c r="J57" s="65">
        <v>10.6</v>
      </c>
      <c r="K57" s="65">
        <v>10.6</v>
      </c>
      <c r="L57" s="65">
        <v>10.6</v>
      </c>
      <c r="M57" s="65">
        <v>10.6</v>
      </c>
      <c r="N57" s="65">
        <v>10.6</v>
      </c>
      <c r="O57" s="65">
        <v>10.6</v>
      </c>
      <c r="P57" s="65"/>
      <c r="Q57" s="65">
        <v>10.6</v>
      </c>
      <c r="R57" s="65">
        <v>10.6</v>
      </c>
      <c r="S57" s="65">
        <v>10.6</v>
      </c>
      <c r="T57" s="65">
        <v>10.6</v>
      </c>
      <c r="U57" s="65">
        <v>10.6</v>
      </c>
      <c r="V57" s="65">
        <v>10.6</v>
      </c>
      <c r="W57" s="65">
        <v>10.6</v>
      </c>
      <c r="X57" s="65">
        <v>10.6</v>
      </c>
      <c r="Y57" s="687">
        <v>10.6</v>
      </c>
      <c r="Z57" s="687">
        <v>10.6</v>
      </c>
      <c r="AA57" s="687">
        <v>10.6</v>
      </c>
      <c r="AB57" s="687">
        <v>10.6</v>
      </c>
      <c r="AC57" s="687">
        <v>10.6</v>
      </c>
      <c r="AD57" s="687">
        <v>10.6</v>
      </c>
      <c r="AE57" s="687">
        <v>10.6</v>
      </c>
      <c r="AF57" s="687">
        <v>10.6</v>
      </c>
      <c r="AG57" s="54">
        <v>14.1</v>
      </c>
      <c r="AH57" s="47">
        <f t="shared" si="2"/>
        <v>10.6</v>
      </c>
      <c r="AI57" s="48">
        <f t="shared" si="3"/>
        <v>10.6</v>
      </c>
      <c r="AJ57" s="1"/>
      <c r="AK57" s="49"/>
      <c r="AL57" s="1"/>
      <c r="AM57" s="1"/>
      <c r="AN57" s="1"/>
      <c r="AO57" s="1"/>
    </row>
    <row r="58" spans="1:41" ht="15.75" x14ac:dyDescent="0.25">
      <c r="A58" s="71" t="s">
        <v>66</v>
      </c>
      <c r="B58" s="65">
        <v>4.8</v>
      </c>
      <c r="C58" s="65">
        <v>4.8</v>
      </c>
      <c r="D58" s="65">
        <v>4.8</v>
      </c>
      <c r="E58" s="65">
        <v>4.8</v>
      </c>
      <c r="F58" s="65">
        <v>4.8</v>
      </c>
      <c r="G58" s="65">
        <v>4.8</v>
      </c>
      <c r="H58" s="65">
        <v>4.8</v>
      </c>
      <c r="I58" s="65">
        <v>4.8</v>
      </c>
      <c r="J58" s="65">
        <v>4.8</v>
      </c>
      <c r="K58" s="65">
        <v>4.8</v>
      </c>
      <c r="L58" s="65">
        <v>4.8</v>
      </c>
      <c r="M58" s="65">
        <v>4.8</v>
      </c>
      <c r="N58" s="65">
        <v>4.8</v>
      </c>
      <c r="O58" s="65">
        <v>4.8</v>
      </c>
      <c r="P58" s="65"/>
      <c r="Q58" s="65">
        <v>4.8</v>
      </c>
      <c r="R58" s="65">
        <v>4.8</v>
      </c>
      <c r="S58" s="65">
        <v>4.8</v>
      </c>
      <c r="T58" s="65">
        <v>4.8</v>
      </c>
      <c r="U58" s="65">
        <v>4.8</v>
      </c>
      <c r="V58" s="65">
        <v>4.8</v>
      </c>
      <c r="W58" s="65">
        <v>4.8</v>
      </c>
      <c r="X58" s="65">
        <v>4.8</v>
      </c>
      <c r="Y58" s="687">
        <v>4.8</v>
      </c>
      <c r="Z58" s="687">
        <v>4.8</v>
      </c>
      <c r="AA58" s="687">
        <v>4.8</v>
      </c>
      <c r="AB58" s="687">
        <v>4.8</v>
      </c>
      <c r="AC58" s="687">
        <v>4.8</v>
      </c>
      <c r="AD58" s="687">
        <v>4.8</v>
      </c>
      <c r="AE58" s="687">
        <v>4.8</v>
      </c>
      <c r="AF58" s="687">
        <v>4.8</v>
      </c>
      <c r="AG58" s="54">
        <v>14</v>
      </c>
      <c r="AH58" s="47">
        <f t="shared" si="2"/>
        <v>4.8</v>
      </c>
      <c r="AI58" s="48">
        <f t="shared" si="3"/>
        <v>4.8</v>
      </c>
      <c r="AK58" s="49"/>
    </row>
    <row r="59" spans="1:41" ht="15.75" x14ac:dyDescent="0.25">
      <c r="A59" s="53" t="s">
        <v>67</v>
      </c>
      <c r="B59" s="65">
        <v>4</v>
      </c>
      <c r="C59" s="65">
        <v>4</v>
      </c>
      <c r="D59" s="65">
        <v>4</v>
      </c>
      <c r="E59" s="65">
        <v>4</v>
      </c>
      <c r="F59" s="65">
        <v>4</v>
      </c>
      <c r="G59" s="65">
        <v>4</v>
      </c>
      <c r="H59" s="65">
        <v>4</v>
      </c>
      <c r="I59" s="65">
        <v>4</v>
      </c>
      <c r="J59" s="65">
        <v>4</v>
      </c>
      <c r="K59" s="65">
        <v>4</v>
      </c>
      <c r="L59" s="65">
        <v>4</v>
      </c>
      <c r="M59" s="65">
        <v>4</v>
      </c>
      <c r="N59" s="65">
        <v>4</v>
      </c>
      <c r="O59" s="65">
        <v>4</v>
      </c>
      <c r="P59" s="65"/>
      <c r="Q59" s="65">
        <v>4</v>
      </c>
      <c r="R59" s="65">
        <v>4</v>
      </c>
      <c r="S59" s="65">
        <v>4</v>
      </c>
      <c r="T59" s="65">
        <v>4</v>
      </c>
      <c r="U59" s="65">
        <v>4</v>
      </c>
      <c r="V59" s="65">
        <v>4</v>
      </c>
      <c r="W59" s="65">
        <v>4</v>
      </c>
      <c r="X59" s="65">
        <v>4</v>
      </c>
      <c r="Y59" s="687">
        <v>4</v>
      </c>
      <c r="Z59" s="687">
        <v>4</v>
      </c>
      <c r="AA59" s="687">
        <v>4</v>
      </c>
      <c r="AB59" s="687">
        <v>4</v>
      </c>
      <c r="AC59" s="687">
        <v>4</v>
      </c>
      <c r="AD59" s="687">
        <v>4</v>
      </c>
      <c r="AE59" s="687">
        <v>4</v>
      </c>
      <c r="AF59" s="687">
        <v>4</v>
      </c>
      <c r="AG59" s="54">
        <v>10.050000000000001</v>
      </c>
      <c r="AH59" s="47">
        <f t="shared" si="2"/>
        <v>4</v>
      </c>
      <c r="AI59" s="48">
        <f t="shared" si="3"/>
        <v>4</v>
      </c>
      <c r="AK59" s="49"/>
    </row>
    <row r="60" spans="1:41" ht="15.75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/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87">
        <v>3.2</v>
      </c>
      <c r="Z60" s="687">
        <v>3.2</v>
      </c>
      <c r="AA60" s="687">
        <v>3.2</v>
      </c>
      <c r="AB60" s="687">
        <v>3.2</v>
      </c>
      <c r="AC60" s="687">
        <v>3.2</v>
      </c>
      <c r="AD60" s="687">
        <v>3.2</v>
      </c>
      <c r="AE60" s="687">
        <v>3.2</v>
      </c>
      <c r="AF60" s="687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 t="shared" ref="B62:AG62" si="6">SUM(B49:B61)</f>
        <v>122.74</v>
      </c>
      <c r="C62" s="60">
        <f t="shared" si="6"/>
        <v>135.43999999999997</v>
      </c>
      <c r="D62" s="60">
        <f t="shared" si="6"/>
        <v>122.74</v>
      </c>
      <c r="E62" s="60">
        <f t="shared" si="6"/>
        <v>111.94</v>
      </c>
      <c r="F62" s="60">
        <f t="shared" si="6"/>
        <v>111.94</v>
      </c>
      <c r="G62" s="60">
        <f t="shared" si="6"/>
        <v>110.84</v>
      </c>
      <c r="H62" s="60">
        <f t="shared" si="6"/>
        <v>193.03999999999996</v>
      </c>
      <c r="I62" s="60">
        <f t="shared" si="6"/>
        <v>244.13999999999996</v>
      </c>
      <c r="J62" s="60">
        <f t="shared" si="6"/>
        <v>311.94000000000005</v>
      </c>
      <c r="K62" s="60">
        <f t="shared" si="6"/>
        <v>354.94000000000005</v>
      </c>
      <c r="L62" s="60">
        <f t="shared" si="6"/>
        <v>383.14000000000004</v>
      </c>
      <c r="M62" s="60">
        <f t="shared" si="6"/>
        <v>280.64000000000004</v>
      </c>
      <c r="N62" s="60">
        <f t="shared" si="6"/>
        <v>254.03999999999996</v>
      </c>
      <c r="O62" s="60">
        <f t="shared" si="6"/>
        <v>218.73999999999998</v>
      </c>
      <c r="P62" s="60">
        <f t="shared" si="6"/>
        <v>3.54</v>
      </c>
      <c r="Q62" s="60">
        <f t="shared" si="6"/>
        <v>230.03999999999996</v>
      </c>
      <c r="R62" s="60">
        <f t="shared" si="6"/>
        <v>255.64</v>
      </c>
      <c r="S62" s="60">
        <f t="shared" si="6"/>
        <v>299.54000000000002</v>
      </c>
      <c r="T62" s="60">
        <f t="shared" si="6"/>
        <v>283.64000000000004</v>
      </c>
      <c r="U62" s="60">
        <f t="shared" si="6"/>
        <v>258.24</v>
      </c>
      <c r="V62" s="60">
        <f t="shared" si="6"/>
        <v>216.44</v>
      </c>
      <c r="W62" s="60">
        <f t="shared" si="6"/>
        <v>244.14</v>
      </c>
      <c r="X62" s="60">
        <f t="shared" si="6"/>
        <v>300.34000000000003</v>
      </c>
      <c r="Y62" s="60">
        <f t="shared" si="6"/>
        <v>322.54000000000002</v>
      </c>
      <c r="Z62" s="60">
        <f t="shared" si="6"/>
        <v>306.74000000000007</v>
      </c>
      <c r="AA62" s="60">
        <f t="shared" si="6"/>
        <v>291.04000000000002</v>
      </c>
      <c r="AB62" s="60">
        <f t="shared" si="6"/>
        <v>236.33999999999997</v>
      </c>
      <c r="AC62" s="60">
        <f t="shared" si="6"/>
        <v>246.53999999999996</v>
      </c>
      <c r="AD62" s="60">
        <f t="shared" si="6"/>
        <v>258.94</v>
      </c>
      <c r="AE62" s="60">
        <f t="shared" si="6"/>
        <v>221.93999999999997</v>
      </c>
      <c r="AF62" s="60">
        <f t="shared" si="6"/>
        <v>168.93999999999997</v>
      </c>
      <c r="AG62" s="61">
        <f t="shared" si="6"/>
        <v>489.91</v>
      </c>
      <c r="AH62" s="47">
        <f t="shared" si="2"/>
        <v>383.14000000000004</v>
      </c>
      <c r="AI62" s="48">
        <f t="shared" si="3"/>
        <v>3.54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/>
      <c r="Q63" s="45">
        <v>20</v>
      </c>
      <c r="R63" s="45">
        <v>30</v>
      </c>
      <c r="S63" s="45">
        <v>29.6</v>
      </c>
      <c r="T63" s="45">
        <v>29.3</v>
      </c>
      <c r="U63" s="45">
        <v>59.4</v>
      </c>
      <c r="V63" s="45">
        <v>40</v>
      </c>
      <c r="W63" s="45">
        <v>40</v>
      </c>
      <c r="X63" s="45">
        <v>45.6</v>
      </c>
      <c r="Y63" s="45">
        <v>39.9</v>
      </c>
      <c r="Z63" s="45">
        <v>50</v>
      </c>
      <c r="AA63" s="45">
        <v>39.6</v>
      </c>
      <c r="AB63" s="45">
        <v>29.2</v>
      </c>
      <c r="AC63" s="45">
        <v>24</v>
      </c>
      <c r="AD63" s="45">
        <v>30</v>
      </c>
      <c r="AE63" s="45">
        <v>30</v>
      </c>
      <c r="AF63" s="45">
        <v>30</v>
      </c>
      <c r="AG63" s="51">
        <v>60</v>
      </c>
      <c r="AH63" s="47">
        <f t="shared" si="2"/>
        <v>59.4</v>
      </c>
      <c r="AI63" s="48">
        <f t="shared" si="3"/>
        <v>0</v>
      </c>
      <c r="AK63" s="49"/>
    </row>
    <row r="64" spans="1:41" x14ac:dyDescent="0.25">
      <c r="A64" s="53" t="s">
        <v>72</v>
      </c>
      <c r="B64" s="45">
        <v>0</v>
      </c>
      <c r="C64" s="45">
        <v>0</v>
      </c>
      <c r="D64" s="45">
        <v>0</v>
      </c>
      <c r="E64" s="45">
        <v>0</v>
      </c>
      <c r="F64" s="45">
        <v>0</v>
      </c>
      <c r="G64" s="4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/>
      <c r="Q64" s="45">
        <v>10</v>
      </c>
      <c r="R64" s="45">
        <v>14.4</v>
      </c>
      <c r="S64" s="65">
        <v>12.7</v>
      </c>
      <c r="T64" s="65">
        <v>14.1</v>
      </c>
      <c r="U64" s="65">
        <v>27.9</v>
      </c>
      <c r="V64" s="65">
        <v>25.3</v>
      </c>
      <c r="W64" s="65">
        <v>20.2</v>
      </c>
      <c r="X64" s="65">
        <v>21</v>
      </c>
      <c r="Y64" s="65">
        <v>17.8</v>
      </c>
      <c r="Z64" s="65">
        <v>20.2</v>
      </c>
      <c r="AA64" s="65">
        <v>16.5</v>
      </c>
      <c r="AB64" s="65">
        <v>14.7</v>
      </c>
      <c r="AC64" s="65">
        <v>10</v>
      </c>
      <c r="AD64" s="65">
        <v>16</v>
      </c>
      <c r="AE64" s="65">
        <v>15</v>
      </c>
      <c r="AF64" s="45">
        <v>15</v>
      </c>
      <c r="AG64" s="54">
        <v>32</v>
      </c>
      <c r="AH64" s="47">
        <f t="shared" si="2"/>
        <v>27.9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45">
        <v>0</v>
      </c>
      <c r="C65" s="45">
        <v>0</v>
      </c>
      <c r="D65" s="45">
        <v>0</v>
      </c>
      <c r="E65" s="45">
        <v>0</v>
      </c>
      <c r="F65" s="45">
        <v>0</v>
      </c>
      <c r="G65" s="45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0</v>
      </c>
      <c r="N65" s="67">
        <v>0</v>
      </c>
      <c r="O65" s="67">
        <v>0</v>
      </c>
      <c r="P65" s="67"/>
      <c r="Q65" s="45">
        <v>3.6</v>
      </c>
      <c r="R65" s="45">
        <v>5.3</v>
      </c>
      <c r="S65" s="67">
        <v>4.5999999999999996</v>
      </c>
      <c r="T65" s="67">
        <v>5.0999999999999996</v>
      </c>
      <c r="U65" s="67">
        <v>10.199999999999999</v>
      </c>
      <c r="V65" s="67">
        <v>9.3000000000000007</v>
      </c>
      <c r="W65" s="67">
        <v>7.4</v>
      </c>
      <c r="X65" s="67">
        <v>7.7</v>
      </c>
      <c r="Y65" s="67">
        <v>6.5</v>
      </c>
      <c r="Z65" s="67">
        <v>7.4</v>
      </c>
      <c r="AA65" s="67">
        <v>6</v>
      </c>
      <c r="AB65" s="67">
        <v>5.4</v>
      </c>
      <c r="AC65" s="67">
        <v>3.6</v>
      </c>
      <c r="AD65" s="67">
        <v>6</v>
      </c>
      <c r="AE65" s="67">
        <v>5.5</v>
      </c>
      <c r="AF65" s="45">
        <v>5</v>
      </c>
      <c r="AG65" s="68">
        <v>14</v>
      </c>
      <c r="AH65" s="47">
        <f t="shared" si="2"/>
        <v>10.199999999999999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0</v>
      </c>
      <c r="M66" s="60">
        <f t="shared" ref="M66:AF66" si="7">M63+M64+M65</f>
        <v>0</v>
      </c>
      <c r="N66" s="60">
        <f t="shared" si="7"/>
        <v>0</v>
      </c>
      <c r="O66" s="60">
        <f t="shared" si="7"/>
        <v>0</v>
      </c>
      <c r="P66" s="60">
        <f t="shared" si="7"/>
        <v>0</v>
      </c>
      <c r="Q66" s="60">
        <f t="shared" si="7"/>
        <v>33.6</v>
      </c>
      <c r="R66" s="60">
        <f t="shared" si="7"/>
        <v>49.699999999999996</v>
      </c>
      <c r="S66" s="60">
        <f t="shared" si="7"/>
        <v>46.9</v>
      </c>
      <c r="T66" s="60">
        <f t="shared" si="7"/>
        <v>48.5</v>
      </c>
      <c r="U66" s="60">
        <f t="shared" si="7"/>
        <v>97.5</v>
      </c>
      <c r="V66" s="60">
        <f t="shared" si="7"/>
        <v>74.599999999999994</v>
      </c>
      <c r="W66" s="60">
        <f t="shared" si="7"/>
        <v>67.600000000000009</v>
      </c>
      <c r="X66" s="60">
        <f t="shared" si="7"/>
        <v>74.3</v>
      </c>
      <c r="Y66" s="60">
        <f t="shared" si="7"/>
        <v>64.2</v>
      </c>
      <c r="Z66" s="60">
        <f t="shared" si="7"/>
        <v>77.600000000000009</v>
      </c>
      <c r="AA66" s="60">
        <f t="shared" si="7"/>
        <v>62.1</v>
      </c>
      <c r="AB66" s="60">
        <f t="shared" si="7"/>
        <v>49.3</v>
      </c>
      <c r="AC66" s="60">
        <f t="shared" si="7"/>
        <v>37.6</v>
      </c>
      <c r="AD66" s="60">
        <f t="shared" si="7"/>
        <v>52</v>
      </c>
      <c r="AE66" s="60">
        <f t="shared" si="7"/>
        <v>50.5</v>
      </c>
      <c r="AF66" s="60">
        <f t="shared" si="7"/>
        <v>50</v>
      </c>
      <c r="AG66" s="61">
        <f>SUM(AG63:AG65)</f>
        <v>106</v>
      </c>
      <c r="AH66" s="47">
        <f t="shared" si="2"/>
        <v>97.5</v>
      </c>
      <c r="AI66" s="48">
        <f t="shared" si="3"/>
        <v>0</v>
      </c>
      <c r="AK66" s="49"/>
    </row>
    <row r="67" spans="1:40" ht="15.75" x14ac:dyDescent="0.25">
      <c r="A67" s="44" t="s">
        <v>75</v>
      </c>
      <c r="B67" s="45">
        <v>67</v>
      </c>
      <c r="C67" s="45">
        <v>70</v>
      </c>
      <c r="D67" s="45">
        <v>67</v>
      </c>
      <c r="E67" s="45">
        <v>67.900000000000006</v>
      </c>
      <c r="F67" s="45">
        <v>66</v>
      </c>
      <c r="G67" s="45">
        <v>68</v>
      </c>
      <c r="H67" s="45">
        <v>63</v>
      </c>
      <c r="I67" s="45">
        <v>66.099999999999994</v>
      </c>
      <c r="J67" s="45">
        <v>68</v>
      </c>
      <c r="K67" s="45">
        <v>63</v>
      </c>
      <c r="L67" s="45">
        <v>69</v>
      </c>
      <c r="M67" s="45">
        <v>66</v>
      </c>
      <c r="N67" s="45">
        <v>59</v>
      </c>
      <c r="O67" s="45">
        <v>65</v>
      </c>
      <c r="P67" s="45"/>
      <c r="Q67" s="45">
        <v>59</v>
      </c>
      <c r="R67" s="45">
        <v>73</v>
      </c>
      <c r="S67" s="45">
        <v>68.7</v>
      </c>
      <c r="T67" s="45">
        <v>53.1</v>
      </c>
      <c r="U67" s="45">
        <v>68</v>
      </c>
      <c r="V67" s="45">
        <v>64.099999999999994</v>
      </c>
      <c r="W67" s="45">
        <v>64.7</v>
      </c>
      <c r="X67" s="45">
        <v>62.5</v>
      </c>
      <c r="Y67" s="687">
        <v>71.2</v>
      </c>
      <c r="Z67" s="45">
        <v>58.2</v>
      </c>
      <c r="AA67" s="45">
        <v>51.8</v>
      </c>
      <c r="AB67" s="45">
        <v>60.6</v>
      </c>
      <c r="AC67" s="45">
        <v>69</v>
      </c>
      <c r="AD67" s="45">
        <v>69</v>
      </c>
      <c r="AE67" s="45">
        <v>67</v>
      </c>
      <c r="AF67" s="45">
        <v>72</v>
      </c>
      <c r="AG67" s="51"/>
      <c r="AH67" s="47">
        <f t="shared" si="2"/>
        <v>73</v>
      </c>
      <c r="AI67" s="48">
        <f t="shared" si="3"/>
        <v>51.8</v>
      </c>
      <c r="AK67" s="49"/>
    </row>
    <row r="68" spans="1:40" ht="15.75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/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87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ht="15.75" x14ac:dyDescent="0.25">
      <c r="A69" s="53" t="s">
        <v>77</v>
      </c>
      <c r="B69" s="65">
        <v>325</v>
      </c>
      <c r="C69" s="65">
        <v>337</v>
      </c>
      <c r="D69" s="65">
        <v>350</v>
      </c>
      <c r="E69" s="65">
        <v>345</v>
      </c>
      <c r="F69" s="65">
        <v>366</v>
      </c>
      <c r="G69" s="65">
        <v>358</v>
      </c>
      <c r="H69" s="65">
        <v>385</v>
      </c>
      <c r="I69" s="65">
        <v>325</v>
      </c>
      <c r="J69" s="65">
        <v>356</v>
      </c>
      <c r="K69" s="65">
        <v>309</v>
      </c>
      <c r="L69" s="65">
        <v>291</v>
      </c>
      <c r="M69" s="65">
        <v>269.5</v>
      </c>
      <c r="N69" s="65">
        <v>271.10000000000002</v>
      </c>
      <c r="O69" s="65">
        <v>269</v>
      </c>
      <c r="P69" s="65"/>
      <c r="Q69" s="65">
        <v>335</v>
      </c>
      <c r="R69" s="65">
        <v>345.2</v>
      </c>
      <c r="S69" s="65">
        <v>306</v>
      </c>
      <c r="T69" s="65">
        <v>332.3</v>
      </c>
      <c r="U69" s="65">
        <v>347.4</v>
      </c>
      <c r="V69" s="65">
        <v>326.7</v>
      </c>
      <c r="W69" s="65">
        <v>343.7</v>
      </c>
      <c r="X69" s="65">
        <v>304.60000000000002</v>
      </c>
      <c r="Y69" s="687">
        <v>267.2</v>
      </c>
      <c r="Z69" s="65">
        <v>159.5</v>
      </c>
      <c r="AA69" s="65">
        <v>177.2</v>
      </c>
      <c r="AB69" s="65">
        <v>264</v>
      </c>
      <c r="AC69" s="65">
        <v>278</v>
      </c>
      <c r="AD69" s="65">
        <v>290</v>
      </c>
      <c r="AE69" s="65">
        <v>330</v>
      </c>
      <c r="AF69" s="65">
        <v>337</v>
      </c>
      <c r="AG69" s="75"/>
      <c r="AH69" s="47">
        <f t="shared" si="2"/>
        <v>385</v>
      </c>
      <c r="AI69" s="48">
        <f t="shared" si="3"/>
        <v>159.5</v>
      </c>
      <c r="AK69" s="49"/>
    </row>
    <row r="70" spans="1:40" ht="15.75" x14ac:dyDescent="0.25">
      <c r="A70" s="53" t="s">
        <v>78</v>
      </c>
      <c r="B70" s="76">
        <v>39.4</v>
      </c>
      <c r="C70" s="76">
        <v>36.6</v>
      </c>
      <c r="D70" s="76">
        <v>33.200000000000003</v>
      </c>
      <c r="E70" s="76">
        <v>38.200000000000003</v>
      </c>
      <c r="F70" s="76">
        <v>34.200000000000003</v>
      </c>
      <c r="G70" s="76">
        <v>42</v>
      </c>
      <c r="H70" s="76">
        <v>41.5</v>
      </c>
      <c r="I70" s="76">
        <v>50.8</v>
      </c>
      <c r="J70" s="76">
        <v>57.8</v>
      </c>
      <c r="K70" s="76">
        <v>60.5</v>
      </c>
      <c r="L70" s="76">
        <v>61</v>
      </c>
      <c r="M70" s="76">
        <v>61.5</v>
      </c>
      <c r="N70" s="76">
        <v>60</v>
      </c>
      <c r="O70" s="76">
        <v>64.8</v>
      </c>
      <c r="P70" s="76"/>
      <c r="Q70" s="76">
        <v>62.2</v>
      </c>
      <c r="R70" s="76">
        <v>64.3</v>
      </c>
      <c r="S70" s="76">
        <v>40.299999999999997</v>
      </c>
      <c r="T70" s="76">
        <v>39.5</v>
      </c>
      <c r="U70" s="76">
        <v>50</v>
      </c>
      <c r="V70" s="76">
        <v>37.5</v>
      </c>
      <c r="W70" s="76">
        <v>38</v>
      </c>
      <c r="X70" s="65">
        <v>38</v>
      </c>
      <c r="Y70" s="687">
        <v>49.1</v>
      </c>
      <c r="Z70" s="65">
        <v>54</v>
      </c>
      <c r="AA70" s="65">
        <v>51.5</v>
      </c>
      <c r="AB70" s="65">
        <v>57.2</v>
      </c>
      <c r="AC70" s="65">
        <v>59</v>
      </c>
      <c r="AD70" s="65">
        <v>65</v>
      </c>
      <c r="AE70" s="65">
        <v>56</v>
      </c>
      <c r="AF70" s="65">
        <v>56</v>
      </c>
      <c r="AG70" s="75"/>
      <c r="AH70" s="47">
        <f t="shared" si="2"/>
        <v>65</v>
      </c>
      <c r="AI70" s="48">
        <f t="shared" si="3"/>
        <v>33.200000000000003</v>
      </c>
      <c r="AK70" s="49"/>
    </row>
    <row r="71" spans="1:40" ht="15.75" x14ac:dyDescent="0.25">
      <c r="A71" s="53" t="s">
        <v>79</v>
      </c>
      <c r="B71" s="45">
        <v>20</v>
      </c>
      <c r="C71" s="45">
        <v>22</v>
      </c>
      <c r="D71" s="45">
        <v>20</v>
      </c>
      <c r="E71" s="45">
        <v>20.5</v>
      </c>
      <c r="F71" s="45">
        <v>20.6</v>
      </c>
      <c r="G71" s="45">
        <v>20.5</v>
      </c>
      <c r="H71" s="45">
        <v>20.3</v>
      </c>
      <c r="I71" s="45">
        <v>20.6</v>
      </c>
      <c r="J71" s="45">
        <v>22</v>
      </c>
      <c r="K71" s="45">
        <v>27</v>
      </c>
      <c r="L71" s="45">
        <v>28</v>
      </c>
      <c r="M71" s="45">
        <v>77</v>
      </c>
      <c r="N71" s="45">
        <v>70</v>
      </c>
      <c r="O71" s="45">
        <v>65</v>
      </c>
      <c r="P71" s="45"/>
      <c r="Q71" s="45">
        <v>0</v>
      </c>
      <c r="R71" s="45">
        <v>25</v>
      </c>
      <c r="S71" s="45">
        <v>25</v>
      </c>
      <c r="T71" s="45">
        <v>20.5</v>
      </c>
      <c r="U71" s="45">
        <v>20.5</v>
      </c>
      <c r="V71" s="45">
        <v>22</v>
      </c>
      <c r="W71" s="45">
        <v>30</v>
      </c>
      <c r="X71" s="45">
        <v>75</v>
      </c>
      <c r="Y71" s="687">
        <v>70</v>
      </c>
      <c r="Z71" s="45">
        <v>70</v>
      </c>
      <c r="AA71" s="45">
        <v>67</v>
      </c>
      <c r="AB71" s="45">
        <v>67</v>
      </c>
      <c r="AC71" s="45">
        <v>80</v>
      </c>
      <c r="AD71" s="45">
        <v>30</v>
      </c>
      <c r="AE71" s="45">
        <v>20</v>
      </c>
      <c r="AF71" s="45">
        <v>20</v>
      </c>
      <c r="AG71" s="75"/>
      <c r="AH71" s="47">
        <f t="shared" si="2"/>
        <v>80</v>
      </c>
      <c r="AI71" s="48">
        <f t="shared" si="3"/>
        <v>0</v>
      </c>
      <c r="AK71" s="49"/>
    </row>
    <row r="72" spans="1:40" ht="15.75" x14ac:dyDescent="0.25">
      <c r="A72" s="53" t="s">
        <v>80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/>
      <c r="Q72" s="77">
        <v>0</v>
      </c>
      <c r="R72" s="77">
        <v>0</v>
      </c>
      <c r="S72" s="77">
        <v>0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68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0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/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ht="15.75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/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68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ht="15.75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/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68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8">MAX(B75:AF75)</f>
        <v>0</v>
      </c>
      <c r="AI75" s="48">
        <f t="shared" ref="AI75:AI113" si="9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ht="15.75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/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68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8"/>
        <v>0</v>
      </c>
      <c r="AI76" s="48">
        <f t="shared" si="9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6.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/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68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8"/>
        <v>0</v>
      </c>
      <c r="AI77" s="48">
        <f t="shared" si="9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F78" si="10">SUMIF(B67:B77,"&gt;0")</f>
        <v>451.4</v>
      </c>
      <c r="C78" s="60">
        <f t="shared" si="10"/>
        <v>465.6</v>
      </c>
      <c r="D78" s="60">
        <f t="shared" si="10"/>
        <v>470.2</v>
      </c>
      <c r="E78" s="60">
        <f t="shared" si="10"/>
        <v>471.59999999999997</v>
      </c>
      <c r="F78" s="60">
        <f t="shared" si="10"/>
        <v>486.8</v>
      </c>
      <c r="G78" s="60">
        <f t="shared" si="10"/>
        <v>488.5</v>
      </c>
      <c r="H78" s="60">
        <f t="shared" si="10"/>
        <v>509.8</v>
      </c>
      <c r="I78" s="60">
        <f t="shared" si="10"/>
        <v>462.50000000000006</v>
      </c>
      <c r="J78" s="60">
        <f t="shared" si="10"/>
        <v>503.8</v>
      </c>
      <c r="K78" s="60">
        <f t="shared" si="10"/>
        <v>459.5</v>
      </c>
      <c r="L78" s="60">
        <f t="shared" si="10"/>
        <v>449</v>
      </c>
      <c r="M78" s="60">
        <f t="shared" si="10"/>
        <v>474</v>
      </c>
      <c r="N78" s="60">
        <f t="shared" si="10"/>
        <v>460.1</v>
      </c>
      <c r="O78" s="60">
        <f t="shared" si="10"/>
        <v>463.8</v>
      </c>
      <c r="P78" s="60">
        <f t="shared" si="10"/>
        <v>0</v>
      </c>
      <c r="Q78" s="60">
        <f t="shared" si="10"/>
        <v>456.2</v>
      </c>
      <c r="R78" s="60">
        <f t="shared" si="10"/>
        <v>507.5</v>
      </c>
      <c r="S78" s="60">
        <f t="shared" si="10"/>
        <v>440</v>
      </c>
      <c r="T78" s="60">
        <f t="shared" si="10"/>
        <v>450.40000000000003</v>
      </c>
      <c r="U78" s="60">
        <f t="shared" si="10"/>
        <v>490.9</v>
      </c>
      <c r="V78" s="60">
        <f t="shared" si="10"/>
        <v>455.29999999999995</v>
      </c>
      <c r="W78" s="60">
        <f t="shared" si="10"/>
        <v>481.4</v>
      </c>
      <c r="X78" s="60">
        <f t="shared" si="10"/>
        <v>485.1</v>
      </c>
      <c r="Y78" s="60">
        <f t="shared" si="10"/>
        <v>462.5</v>
      </c>
      <c r="Z78" s="60">
        <f t="shared" si="10"/>
        <v>346.7</v>
      </c>
      <c r="AA78" s="60">
        <f t="shared" si="10"/>
        <v>352.5</v>
      </c>
      <c r="AB78" s="60">
        <f t="shared" si="10"/>
        <v>453.8</v>
      </c>
      <c r="AC78" s="60">
        <f t="shared" si="10"/>
        <v>491</v>
      </c>
      <c r="AD78" s="60">
        <f t="shared" si="10"/>
        <v>459</v>
      </c>
      <c r="AE78" s="60">
        <f t="shared" si="10"/>
        <v>478</v>
      </c>
      <c r="AF78" s="60">
        <f t="shared" si="10"/>
        <v>490</v>
      </c>
      <c r="AG78" s="88">
        <f>SUM(AG67:AG77)</f>
        <v>0</v>
      </c>
      <c r="AH78" s="47">
        <f t="shared" si="8"/>
        <v>509.8</v>
      </c>
      <c r="AI78" s="48">
        <f t="shared" si="9"/>
        <v>0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8"/>
        <v>0</v>
      </c>
      <c r="AI79" s="48">
        <f t="shared" si="9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3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8"/>
        <v>3</v>
      </c>
      <c r="AI80" s="48">
        <f t="shared" si="9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8"/>
        <v>0</v>
      </c>
      <c r="AI81" s="48">
        <f t="shared" si="9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>
        <f>Y79+Y80+Y81</f>
        <v>3</v>
      </c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8"/>
        <v>3</v>
      </c>
      <c r="AI82" s="48">
        <f t="shared" si="9"/>
        <v>0</v>
      </c>
    </row>
    <row r="83" spans="1:37" ht="15.75" thickBot="1" x14ac:dyDescent="0.3">
      <c r="A83" s="74" t="s">
        <v>94</v>
      </c>
      <c r="B83" s="95">
        <f>B44+B48+B66+B62+B78+B82</f>
        <v>996.83999999999992</v>
      </c>
      <c r="C83" s="95">
        <f t="shared" ref="C83:AG83" si="11">C44+C48+C66+C62+C78+C82</f>
        <v>1008.74</v>
      </c>
      <c r="D83" s="95">
        <f t="shared" si="11"/>
        <v>1000.6399999999999</v>
      </c>
      <c r="E83" s="95">
        <f t="shared" si="11"/>
        <v>989.54</v>
      </c>
      <c r="F83" s="95">
        <f t="shared" si="11"/>
        <v>1004.94</v>
      </c>
      <c r="G83" s="95">
        <f t="shared" si="11"/>
        <v>1006.64</v>
      </c>
      <c r="H83" s="95">
        <f t="shared" si="11"/>
        <v>1110.1399999999999</v>
      </c>
      <c r="I83" s="95">
        <f t="shared" si="11"/>
        <v>1174.04</v>
      </c>
      <c r="J83" s="95">
        <f t="shared" si="11"/>
        <v>1403.14</v>
      </c>
      <c r="K83" s="95">
        <f t="shared" si="11"/>
        <v>1351.8400000000001</v>
      </c>
      <c r="L83" s="95">
        <f t="shared" si="11"/>
        <v>1419.84</v>
      </c>
      <c r="M83" s="95">
        <f t="shared" si="11"/>
        <v>1386.64</v>
      </c>
      <c r="N83" s="95">
        <f t="shared" si="11"/>
        <v>1314.6399999999999</v>
      </c>
      <c r="O83" s="95">
        <f t="shared" si="11"/>
        <v>1258.44</v>
      </c>
      <c r="P83" s="95">
        <f t="shared" si="11"/>
        <v>3.54</v>
      </c>
      <c r="Q83" s="95">
        <f t="shared" si="11"/>
        <v>1164.04</v>
      </c>
      <c r="R83" s="95">
        <f t="shared" si="11"/>
        <v>1312.04</v>
      </c>
      <c r="S83" s="95">
        <f t="shared" si="11"/>
        <v>1310.6400000000001</v>
      </c>
      <c r="T83" s="95">
        <f t="shared" si="11"/>
        <v>1301.7400000000002</v>
      </c>
      <c r="U83" s="95">
        <f t="shared" si="11"/>
        <v>1349.3400000000001</v>
      </c>
      <c r="V83" s="95">
        <f t="shared" si="11"/>
        <v>1226.6399999999999</v>
      </c>
      <c r="W83" s="95">
        <f t="shared" si="11"/>
        <v>1255.1399999999999</v>
      </c>
      <c r="X83" s="95">
        <f>X44+X48+X66+X62+X78+X82</f>
        <v>1331.74</v>
      </c>
      <c r="Y83" s="95">
        <f>Y44+Y48+Y66+Y62+Y78+Y82</f>
        <v>1473.24</v>
      </c>
      <c r="Z83" s="95">
        <f t="shared" si="11"/>
        <v>1442.0400000000002</v>
      </c>
      <c r="AA83" s="95">
        <f t="shared" si="11"/>
        <v>1371.64</v>
      </c>
      <c r="AB83" s="95">
        <f t="shared" si="11"/>
        <v>1321.04</v>
      </c>
      <c r="AC83" s="95">
        <f t="shared" si="11"/>
        <v>1326.74</v>
      </c>
      <c r="AD83" s="95">
        <f t="shared" si="11"/>
        <v>1281.54</v>
      </c>
      <c r="AE83" s="95">
        <f t="shared" si="11"/>
        <v>1202.04</v>
      </c>
      <c r="AF83" s="95">
        <f t="shared" si="11"/>
        <v>1120.54</v>
      </c>
      <c r="AG83" s="61">
        <f t="shared" si="11"/>
        <v>2004.1900000000003</v>
      </c>
      <c r="AH83" s="47">
        <f>MAX(B83:AF83)</f>
        <v>1473.24</v>
      </c>
      <c r="AI83" s="48">
        <f>MIN(B83:AF83)</f>
        <v>3.54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>
        <v>100</v>
      </c>
      <c r="L84" s="97">
        <v>150</v>
      </c>
      <c r="M84" s="97">
        <v>150</v>
      </c>
      <c r="N84" s="97">
        <v>150</v>
      </c>
      <c r="O84" s="97">
        <v>150</v>
      </c>
      <c r="P84" s="97"/>
      <c r="Q84" s="97">
        <v>100</v>
      </c>
      <c r="R84" s="97"/>
      <c r="S84" s="97"/>
      <c r="T84" s="97"/>
      <c r="U84" s="97"/>
      <c r="V84" s="97"/>
      <c r="W84" s="97"/>
      <c r="X84" s="97">
        <v>170</v>
      </c>
      <c r="Y84" s="97">
        <v>160</v>
      </c>
      <c r="Z84" s="97">
        <v>150</v>
      </c>
      <c r="AA84" s="97">
        <v>120</v>
      </c>
      <c r="AB84" s="97">
        <v>120</v>
      </c>
      <c r="AC84" s="97">
        <v>90</v>
      </c>
      <c r="AD84" s="97">
        <v>0</v>
      </c>
      <c r="AE84" s="97">
        <v>0</v>
      </c>
      <c r="AF84" s="97">
        <v>0</v>
      </c>
      <c r="AG84" s="88"/>
      <c r="AH84" s="47">
        <f t="shared" si="8"/>
        <v>170</v>
      </c>
      <c r="AI84" s="48">
        <f t="shared" si="9"/>
        <v>0</v>
      </c>
    </row>
    <row r="85" spans="1:37" ht="15.75" thickBot="1" x14ac:dyDescent="0.3">
      <c r="A85" s="74" t="s">
        <v>96</v>
      </c>
      <c r="B85" s="95">
        <f>B83+B84</f>
        <v>996.83999999999992</v>
      </c>
      <c r="C85" s="95">
        <f t="shared" ref="C85:AF85" si="12">C83+C84</f>
        <v>1008.74</v>
      </c>
      <c r="D85" s="95">
        <f t="shared" si="12"/>
        <v>1000.6399999999999</v>
      </c>
      <c r="E85" s="95">
        <f t="shared" si="12"/>
        <v>989.54</v>
      </c>
      <c r="F85" s="95">
        <f t="shared" si="12"/>
        <v>1004.94</v>
      </c>
      <c r="G85" s="95">
        <f t="shared" si="12"/>
        <v>1006.64</v>
      </c>
      <c r="H85" s="95">
        <f t="shared" si="12"/>
        <v>1110.1399999999999</v>
      </c>
      <c r="I85" s="95">
        <f t="shared" si="12"/>
        <v>1174.04</v>
      </c>
      <c r="J85" s="95">
        <f t="shared" si="12"/>
        <v>1403.14</v>
      </c>
      <c r="K85" s="95">
        <f t="shared" si="12"/>
        <v>1451.8400000000001</v>
      </c>
      <c r="L85" s="95">
        <f t="shared" si="12"/>
        <v>1569.84</v>
      </c>
      <c r="M85" s="95">
        <f t="shared" si="12"/>
        <v>1536.64</v>
      </c>
      <c r="N85" s="95">
        <f t="shared" si="12"/>
        <v>1464.6399999999999</v>
      </c>
      <c r="O85" s="95">
        <f t="shared" si="12"/>
        <v>1408.44</v>
      </c>
      <c r="P85" s="95">
        <f t="shared" si="12"/>
        <v>3.54</v>
      </c>
      <c r="Q85" s="95">
        <f t="shared" si="12"/>
        <v>1264.04</v>
      </c>
      <c r="R85" s="95">
        <f t="shared" si="12"/>
        <v>1312.04</v>
      </c>
      <c r="S85" s="95">
        <f t="shared" si="12"/>
        <v>1310.6400000000001</v>
      </c>
      <c r="T85" s="95">
        <f t="shared" si="12"/>
        <v>1301.7400000000002</v>
      </c>
      <c r="U85" s="95">
        <f t="shared" si="12"/>
        <v>1349.3400000000001</v>
      </c>
      <c r="V85" s="95">
        <f t="shared" si="12"/>
        <v>1226.6399999999999</v>
      </c>
      <c r="W85" s="95">
        <f t="shared" si="12"/>
        <v>1255.1399999999999</v>
      </c>
      <c r="X85" s="95">
        <f t="shared" si="12"/>
        <v>1501.74</v>
      </c>
      <c r="Y85" s="95">
        <f t="shared" si="12"/>
        <v>1633.24</v>
      </c>
      <c r="Z85" s="95">
        <f t="shared" si="12"/>
        <v>1592.0400000000002</v>
      </c>
      <c r="AA85" s="95">
        <f t="shared" si="12"/>
        <v>1491.64</v>
      </c>
      <c r="AB85" s="95">
        <f t="shared" si="12"/>
        <v>1441.04</v>
      </c>
      <c r="AC85" s="95">
        <f t="shared" si="12"/>
        <v>1416.74</v>
      </c>
      <c r="AD85" s="95">
        <f t="shared" si="12"/>
        <v>1281.54</v>
      </c>
      <c r="AE85" s="95">
        <f t="shared" si="12"/>
        <v>1202.04</v>
      </c>
      <c r="AF85" s="95">
        <f t="shared" si="12"/>
        <v>1120.54</v>
      </c>
      <c r="AG85" s="88">
        <f>AG82+AG78+AG66+AG62+AG44+AG84</f>
        <v>1466.0900000000001</v>
      </c>
      <c r="AH85" s="47">
        <f t="shared" si="8"/>
        <v>1633.24</v>
      </c>
      <c r="AI85" s="48">
        <f t="shared" si="9"/>
        <v>3.54</v>
      </c>
    </row>
    <row r="86" spans="1:37" ht="15.75" thickBot="1" x14ac:dyDescent="0.3">
      <c r="A86" s="74" t="s">
        <v>97</v>
      </c>
      <c r="B86" s="95">
        <f t="shared" ref="B86:AF86" si="13">B85-B93</f>
        <v>996.83999999999992</v>
      </c>
      <c r="C86" s="95">
        <f t="shared" si="13"/>
        <v>1008.74</v>
      </c>
      <c r="D86" s="95">
        <f t="shared" si="13"/>
        <v>1000.6399999999999</v>
      </c>
      <c r="E86" s="95">
        <f t="shared" si="13"/>
        <v>989.54</v>
      </c>
      <c r="F86" s="95">
        <f t="shared" si="13"/>
        <v>1004.94</v>
      </c>
      <c r="G86" s="95">
        <f t="shared" si="13"/>
        <v>1006.64</v>
      </c>
      <c r="H86" s="95">
        <f t="shared" si="13"/>
        <v>1110.1399999999999</v>
      </c>
      <c r="I86" s="95">
        <f t="shared" si="13"/>
        <v>1174.04</v>
      </c>
      <c r="J86" s="95">
        <f t="shared" si="13"/>
        <v>1403.14</v>
      </c>
      <c r="K86" s="95">
        <f t="shared" si="13"/>
        <v>1451.8400000000001</v>
      </c>
      <c r="L86" s="95">
        <f t="shared" si="13"/>
        <v>1569.84</v>
      </c>
      <c r="M86" s="95">
        <f t="shared" si="13"/>
        <v>1536.64</v>
      </c>
      <c r="N86" s="95">
        <f t="shared" si="13"/>
        <v>1464.6399999999999</v>
      </c>
      <c r="O86" s="95">
        <f t="shared" si="13"/>
        <v>1408.44</v>
      </c>
      <c r="P86" s="95">
        <f t="shared" si="13"/>
        <v>3.54</v>
      </c>
      <c r="Q86" s="95">
        <f t="shared" si="13"/>
        <v>1264.04</v>
      </c>
      <c r="R86" s="95">
        <f t="shared" si="13"/>
        <v>1312.04</v>
      </c>
      <c r="S86" s="95">
        <f t="shared" si="13"/>
        <v>1310.6400000000001</v>
      </c>
      <c r="T86" s="95">
        <f t="shared" si="13"/>
        <v>1301.7400000000002</v>
      </c>
      <c r="U86" s="95">
        <f t="shared" si="13"/>
        <v>1349.3400000000001</v>
      </c>
      <c r="V86" s="95">
        <f t="shared" si="13"/>
        <v>1226.6399999999999</v>
      </c>
      <c r="W86" s="95">
        <f t="shared" si="13"/>
        <v>1255.1399999999999</v>
      </c>
      <c r="X86" s="95">
        <f t="shared" si="13"/>
        <v>1501.74</v>
      </c>
      <c r="Y86" s="95">
        <f t="shared" si="13"/>
        <v>1633.24</v>
      </c>
      <c r="Z86" s="95">
        <f t="shared" si="13"/>
        <v>1592.0400000000002</v>
      </c>
      <c r="AA86" s="95">
        <f t="shared" si="13"/>
        <v>1491.64</v>
      </c>
      <c r="AB86" s="95">
        <f t="shared" si="13"/>
        <v>1441.04</v>
      </c>
      <c r="AC86" s="95">
        <f t="shared" si="13"/>
        <v>1416.74</v>
      </c>
      <c r="AD86" s="95">
        <f t="shared" si="13"/>
        <v>1281.54</v>
      </c>
      <c r="AE86" s="95">
        <f t="shared" si="13"/>
        <v>1202.04</v>
      </c>
      <c r="AF86" s="95">
        <f t="shared" si="13"/>
        <v>1120.54</v>
      </c>
      <c r="AG86" s="88"/>
      <c r="AH86" s="47">
        <f t="shared" si="8"/>
        <v>1633.24</v>
      </c>
      <c r="AI86" s="48">
        <f t="shared" si="9"/>
        <v>3.54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8"/>
        <v>0</v>
      </c>
      <c r="AI87" s="48">
        <f t="shared" si="9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8"/>
        <v>0</v>
      </c>
      <c r="AI88" s="48">
        <f t="shared" si="9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8"/>
        <v>0</v>
      </c>
      <c r="AI89" s="48">
        <f t="shared" si="9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8"/>
        <v>0</v>
      </c>
      <c r="AI90" s="48">
        <f t="shared" si="9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8"/>
        <v>0</v>
      </c>
      <c r="AI91" s="48">
        <f t="shared" si="9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8"/>
        <v>0</v>
      </c>
      <c r="AI92" s="48">
        <f t="shared" si="9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88"/>
      <c r="AH93" s="47">
        <f t="shared" si="8"/>
        <v>0</v>
      </c>
      <c r="AI93" s="48">
        <f t="shared" si="9"/>
        <v>0</v>
      </c>
      <c r="AK93" s="49"/>
    </row>
    <row r="94" spans="1:37" ht="15.75" thickBot="1" x14ac:dyDescent="0.3">
      <c r="A94" s="74" t="s">
        <v>102</v>
      </c>
      <c r="B94" s="60">
        <f t="shared" ref="B94:AF94" si="14">B78-B93</f>
        <v>451.4</v>
      </c>
      <c r="C94" s="60">
        <f t="shared" si="14"/>
        <v>465.6</v>
      </c>
      <c r="D94" s="60">
        <f t="shared" si="14"/>
        <v>470.2</v>
      </c>
      <c r="E94" s="60">
        <f t="shared" si="14"/>
        <v>471.59999999999997</v>
      </c>
      <c r="F94" s="60">
        <f t="shared" si="14"/>
        <v>486.8</v>
      </c>
      <c r="G94" s="60">
        <f t="shared" si="14"/>
        <v>488.5</v>
      </c>
      <c r="H94" s="60">
        <f t="shared" si="14"/>
        <v>509.8</v>
      </c>
      <c r="I94" s="60">
        <f t="shared" si="14"/>
        <v>462.50000000000006</v>
      </c>
      <c r="J94" s="60">
        <f t="shared" si="14"/>
        <v>503.8</v>
      </c>
      <c r="K94" s="60">
        <f t="shared" si="14"/>
        <v>459.5</v>
      </c>
      <c r="L94" s="60">
        <f t="shared" si="14"/>
        <v>449</v>
      </c>
      <c r="M94" s="60">
        <f t="shared" si="14"/>
        <v>474</v>
      </c>
      <c r="N94" s="60">
        <f t="shared" si="14"/>
        <v>460.1</v>
      </c>
      <c r="O94" s="60">
        <f t="shared" si="14"/>
        <v>463.8</v>
      </c>
      <c r="P94" s="60">
        <f t="shared" si="14"/>
        <v>0</v>
      </c>
      <c r="Q94" s="60">
        <f t="shared" si="14"/>
        <v>456.2</v>
      </c>
      <c r="R94" s="60">
        <f t="shared" si="14"/>
        <v>507.5</v>
      </c>
      <c r="S94" s="60">
        <f t="shared" si="14"/>
        <v>440</v>
      </c>
      <c r="T94" s="60">
        <f t="shared" si="14"/>
        <v>450.40000000000003</v>
      </c>
      <c r="U94" s="60">
        <f t="shared" si="14"/>
        <v>490.9</v>
      </c>
      <c r="V94" s="60">
        <f t="shared" si="14"/>
        <v>455.29999999999995</v>
      </c>
      <c r="W94" s="60">
        <f t="shared" si="14"/>
        <v>481.4</v>
      </c>
      <c r="X94" s="60">
        <f t="shared" si="14"/>
        <v>485.1</v>
      </c>
      <c r="Y94" s="60">
        <f t="shared" si="14"/>
        <v>462.5</v>
      </c>
      <c r="Z94" s="60">
        <f t="shared" si="14"/>
        <v>346.7</v>
      </c>
      <c r="AA94" s="60">
        <f t="shared" si="14"/>
        <v>352.5</v>
      </c>
      <c r="AB94" s="60">
        <f t="shared" si="14"/>
        <v>453.8</v>
      </c>
      <c r="AC94" s="60">
        <f t="shared" si="14"/>
        <v>491</v>
      </c>
      <c r="AD94" s="60">
        <f t="shared" si="14"/>
        <v>459</v>
      </c>
      <c r="AE94" s="60">
        <f t="shared" si="14"/>
        <v>478</v>
      </c>
      <c r="AF94" s="60">
        <f t="shared" si="14"/>
        <v>490</v>
      </c>
      <c r="AG94" s="88"/>
      <c r="AH94" s="47">
        <f t="shared" si="8"/>
        <v>509.8</v>
      </c>
      <c r="AI94" s="48">
        <f t="shared" si="9"/>
        <v>0</v>
      </c>
    </row>
    <row r="95" spans="1:37" ht="15.75" x14ac:dyDescent="0.25">
      <c r="A95" s="100" t="s">
        <v>103</v>
      </c>
      <c r="B95" s="101">
        <v>50.02</v>
      </c>
      <c r="C95" s="101">
        <v>50.011000000000003</v>
      </c>
      <c r="D95" s="101">
        <v>50.012999999999998</v>
      </c>
      <c r="E95" s="101">
        <v>49.957000000000001</v>
      </c>
      <c r="F95" s="101">
        <v>49.972999999999999</v>
      </c>
      <c r="G95" s="101">
        <v>49.997999999999998</v>
      </c>
      <c r="H95" s="101">
        <v>50.003</v>
      </c>
      <c r="I95" s="101">
        <v>49.975000000000001</v>
      </c>
      <c r="J95" s="101">
        <v>49.975000000000001</v>
      </c>
      <c r="K95" s="101">
        <v>49.831000000000003</v>
      </c>
      <c r="L95" s="101">
        <v>49.801000000000002</v>
      </c>
      <c r="M95" s="101">
        <v>49.972999999999999</v>
      </c>
      <c r="N95" s="101">
        <v>50.143999999999998</v>
      </c>
      <c r="O95" s="101">
        <v>50.042999999999999</v>
      </c>
      <c r="P95" s="101"/>
      <c r="Q95" s="101">
        <v>50.042000000000002</v>
      </c>
      <c r="R95" s="101">
        <v>50.02</v>
      </c>
      <c r="S95" s="101">
        <v>50.04</v>
      </c>
      <c r="T95" s="101">
        <v>49.968000000000004</v>
      </c>
      <c r="U95" s="101">
        <v>50.244999999999997</v>
      </c>
      <c r="V95" s="101">
        <v>49.926000000000002</v>
      </c>
      <c r="W95" s="101">
        <v>50.069000000000003</v>
      </c>
      <c r="X95" s="101">
        <v>50.054000000000002</v>
      </c>
      <c r="Y95" s="688">
        <v>50.042999999999999</v>
      </c>
      <c r="Z95" s="101">
        <v>49.848999999999997</v>
      </c>
      <c r="AA95" s="101">
        <v>49.863999999999997</v>
      </c>
      <c r="AB95" s="101">
        <v>50.11</v>
      </c>
      <c r="AC95" s="101">
        <v>50.09</v>
      </c>
      <c r="AD95" s="101">
        <v>50.06</v>
      </c>
      <c r="AE95" s="101">
        <v>50.07</v>
      </c>
      <c r="AF95" s="101">
        <v>50.01</v>
      </c>
      <c r="AG95" s="102"/>
      <c r="AH95" s="47">
        <f t="shared" si="8"/>
        <v>50.244999999999997</v>
      </c>
      <c r="AI95" s="48">
        <f t="shared" si="9"/>
        <v>49.801000000000002</v>
      </c>
    </row>
    <row r="96" spans="1:37" ht="15.75" x14ac:dyDescent="0.25">
      <c r="A96" s="103" t="s">
        <v>104</v>
      </c>
      <c r="B96" s="65">
        <v>127.6</v>
      </c>
      <c r="C96" s="65">
        <v>126.3</v>
      </c>
      <c r="D96" s="65">
        <v>128</v>
      </c>
      <c r="E96" s="65">
        <v>127.5</v>
      </c>
      <c r="F96" s="65">
        <v>127.7</v>
      </c>
      <c r="G96" s="65">
        <v>128</v>
      </c>
      <c r="H96" s="65">
        <v>128</v>
      </c>
      <c r="I96" s="65">
        <v>128.1</v>
      </c>
      <c r="J96" s="65">
        <v>128.1</v>
      </c>
      <c r="K96" s="65">
        <v>127</v>
      </c>
      <c r="L96" s="65">
        <v>124.6</v>
      </c>
      <c r="M96" s="65">
        <v>126.4</v>
      </c>
      <c r="N96" s="65">
        <v>126.5</v>
      </c>
      <c r="O96" s="65">
        <v>125.6</v>
      </c>
      <c r="P96" s="65"/>
      <c r="Q96" s="65">
        <v>124.3</v>
      </c>
      <c r="R96" s="65">
        <v>124.5</v>
      </c>
      <c r="S96" s="65">
        <v>125.3</v>
      </c>
      <c r="T96" s="65">
        <v>125</v>
      </c>
      <c r="U96" s="65">
        <v>126.8</v>
      </c>
      <c r="V96" s="65">
        <v>129.5</v>
      </c>
      <c r="W96" s="65">
        <v>129.6</v>
      </c>
      <c r="X96" s="65">
        <v>131.1</v>
      </c>
      <c r="Y96" s="689">
        <v>128.80000000000001</v>
      </c>
      <c r="Z96" s="65">
        <v>129.19999999999999</v>
      </c>
      <c r="AA96" s="65">
        <v>129.9</v>
      </c>
      <c r="AB96" s="65">
        <v>129.69999999999999</v>
      </c>
      <c r="AC96" s="65">
        <v>130.69999999999999</v>
      </c>
      <c r="AD96" s="65">
        <v>130.69999999999999</v>
      </c>
      <c r="AE96" s="65">
        <v>130.69999999999999</v>
      </c>
      <c r="AF96" s="65">
        <v>130.69999999999999</v>
      </c>
      <c r="AG96" s="104"/>
      <c r="AH96" s="47">
        <f t="shared" si="8"/>
        <v>131.1</v>
      </c>
      <c r="AI96" s="48">
        <f t="shared" si="9"/>
        <v>124.3</v>
      </c>
    </row>
    <row r="97" spans="1:35" ht="15.75" x14ac:dyDescent="0.25">
      <c r="A97" s="103" t="s">
        <v>105</v>
      </c>
      <c r="B97" s="65">
        <v>131.30000000000001</v>
      </c>
      <c r="C97" s="65">
        <v>132.1</v>
      </c>
      <c r="D97" s="65">
        <v>131.9</v>
      </c>
      <c r="E97" s="65">
        <v>131.5</v>
      </c>
      <c r="F97" s="65">
        <v>131.6</v>
      </c>
      <c r="G97" s="65">
        <v>131.9</v>
      </c>
      <c r="H97" s="65">
        <v>131.9</v>
      </c>
      <c r="I97" s="65">
        <v>131.4</v>
      </c>
      <c r="J97" s="65">
        <v>131.4</v>
      </c>
      <c r="K97" s="65">
        <v>128.69999999999999</v>
      </c>
      <c r="L97" s="65">
        <v>126.6</v>
      </c>
      <c r="M97" s="65">
        <v>128.19999999999999</v>
      </c>
      <c r="N97" s="65">
        <v>128.6</v>
      </c>
      <c r="O97" s="65">
        <v>127.6</v>
      </c>
      <c r="P97" s="65"/>
      <c r="Q97" s="65">
        <v>127.5</v>
      </c>
      <c r="R97" s="65">
        <v>127.8</v>
      </c>
      <c r="S97" s="65">
        <v>128.19999999999999</v>
      </c>
      <c r="T97" s="65">
        <v>128.5</v>
      </c>
      <c r="U97" s="65">
        <v>129.5</v>
      </c>
      <c r="V97" s="65">
        <v>131.19999999999999</v>
      </c>
      <c r="W97" s="65">
        <v>131.1</v>
      </c>
      <c r="X97" s="65">
        <v>132.4</v>
      </c>
      <c r="Y97" s="689">
        <v>130.69999999999999</v>
      </c>
      <c r="Z97" s="65">
        <v>131.4</v>
      </c>
      <c r="AA97" s="65">
        <v>131.4</v>
      </c>
      <c r="AB97" s="65">
        <v>131.1</v>
      </c>
      <c r="AC97" s="65">
        <v>132</v>
      </c>
      <c r="AD97" s="65">
        <v>132</v>
      </c>
      <c r="AE97" s="65">
        <v>132</v>
      </c>
      <c r="AF97" s="65">
        <v>132</v>
      </c>
      <c r="AG97" s="104"/>
      <c r="AH97" s="47">
        <f t="shared" si="8"/>
        <v>132.4</v>
      </c>
      <c r="AI97" s="48">
        <f t="shared" si="9"/>
        <v>126.6</v>
      </c>
    </row>
    <row r="98" spans="1:35" ht="15.75" x14ac:dyDescent="0.25">
      <c r="A98" s="103" t="s">
        <v>106</v>
      </c>
      <c r="B98" s="65">
        <v>129.9</v>
      </c>
      <c r="C98" s="65">
        <v>131.30000000000001</v>
      </c>
      <c r="D98" s="65">
        <v>131.19999999999999</v>
      </c>
      <c r="E98" s="65">
        <v>131.6</v>
      </c>
      <c r="F98" s="65">
        <v>131.6</v>
      </c>
      <c r="G98" s="65">
        <v>131.6</v>
      </c>
      <c r="H98" s="65">
        <v>134.30000000000001</v>
      </c>
      <c r="I98" s="65">
        <v>131</v>
      </c>
      <c r="J98" s="65">
        <v>131</v>
      </c>
      <c r="K98" s="65">
        <v>130.19999999999999</v>
      </c>
      <c r="L98" s="65">
        <v>126.3</v>
      </c>
      <c r="M98" s="65">
        <v>127.7</v>
      </c>
      <c r="N98" s="65">
        <v>129.4</v>
      </c>
      <c r="O98" s="65">
        <v>129.80000000000001</v>
      </c>
      <c r="P98" s="65"/>
      <c r="Q98" s="65">
        <v>129.5</v>
      </c>
      <c r="R98" s="65">
        <v>128.4</v>
      </c>
      <c r="S98" s="65">
        <v>126.6</v>
      </c>
      <c r="T98" s="65">
        <v>126.7</v>
      </c>
      <c r="U98" s="65">
        <v>129.6</v>
      </c>
      <c r="V98" s="65">
        <v>130.19999999999999</v>
      </c>
      <c r="W98" s="65">
        <v>131.19999999999999</v>
      </c>
      <c r="X98" s="65">
        <v>130.1</v>
      </c>
      <c r="Y98" s="689">
        <v>128.69999999999999</v>
      </c>
      <c r="Z98" s="65">
        <v>130.4</v>
      </c>
      <c r="AA98" s="65">
        <v>131.30000000000001</v>
      </c>
      <c r="AB98" s="65">
        <v>132.69999999999999</v>
      </c>
      <c r="AC98" s="65">
        <v>131</v>
      </c>
      <c r="AD98" s="65">
        <v>131</v>
      </c>
      <c r="AE98" s="65">
        <v>131</v>
      </c>
      <c r="AF98" s="65">
        <v>131</v>
      </c>
      <c r="AG98" s="104"/>
      <c r="AH98" s="47">
        <f t="shared" si="8"/>
        <v>134.30000000000001</v>
      </c>
      <c r="AI98" s="48">
        <f t="shared" si="9"/>
        <v>126.3</v>
      </c>
    </row>
    <row r="99" spans="1:35" ht="15.75" x14ac:dyDescent="0.25">
      <c r="A99" s="105" t="s">
        <v>107</v>
      </c>
      <c r="B99" s="65">
        <v>133</v>
      </c>
      <c r="C99" s="65">
        <v>134.1</v>
      </c>
      <c r="D99" s="65">
        <v>134.19999999999999</v>
      </c>
      <c r="E99" s="65">
        <v>134.6</v>
      </c>
      <c r="F99" s="65">
        <v>134.5</v>
      </c>
      <c r="G99" s="65">
        <v>134.4</v>
      </c>
      <c r="H99" s="65">
        <v>133.6</v>
      </c>
      <c r="I99" s="65">
        <v>133.1</v>
      </c>
      <c r="J99" s="65">
        <v>133.1</v>
      </c>
      <c r="K99" s="65">
        <v>131</v>
      </c>
      <c r="L99" s="65">
        <v>128.5</v>
      </c>
      <c r="M99" s="65">
        <v>129.6</v>
      </c>
      <c r="N99" s="65">
        <v>132.4</v>
      </c>
      <c r="O99" s="65">
        <v>132.30000000000001</v>
      </c>
      <c r="P99" s="65"/>
      <c r="Q99" s="65">
        <v>131.19999999999999</v>
      </c>
      <c r="R99" s="65">
        <v>131.19999999999999</v>
      </c>
      <c r="S99" s="65">
        <v>128.5</v>
      </c>
      <c r="T99" s="65">
        <v>131</v>
      </c>
      <c r="U99" s="65">
        <v>132.5</v>
      </c>
      <c r="V99" s="65">
        <v>132.30000000000001</v>
      </c>
      <c r="W99" s="65">
        <v>132.30000000000001</v>
      </c>
      <c r="X99" s="65">
        <v>130.69999999999999</v>
      </c>
      <c r="Y99" s="689">
        <v>131.80000000000001</v>
      </c>
      <c r="Z99" s="65">
        <v>132</v>
      </c>
      <c r="AA99" s="65">
        <v>133.30000000000001</v>
      </c>
      <c r="AB99" s="65">
        <v>135.5</v>
      </c>
      <c r="AC99" s="65">
        <v>135</v>
      </c>
      <c r="AD99" s="65">
        <v>135</v>
      </c>
      <c r="AE99" s="65">
        <v>135</v>
      </c>
      <c r="AF99" s="65">
        <v>135</v>
      </c>
      <c r="AG99" s="104"/>
      <c r="AH99" s="47">
        <f t="shared" si="8"/>
        <v>135.5</v>
      </c>
      <c r="AI99" s="48">
        <f t="shared" si="9"/>
        <v>128.5</v>
      </c>
    </row>
    <row r="100" spans="1:35" ht="15.75" x14ac:dyDescent="0.25">
      <c r="A100" s="105" t="s">
        <v>108</v>
      </c>
      <c r="B100" s="106">
        <v>129.30000000000001</v>
      </c>
      <c r="C100" s="106">
        <v>131.9</v>
      </c>
      <c r="D100" s="106">
        <v>131.4</v>
      </c>
      <c r="E100" s="106">
        <v>131.4</v>
      </c>
      <c r="F100" s="106">
        <v>132.4</v>
      </c>
      <c r="G100" s="106">
        <v>133.5</v>
      </c>
      <c r="H100" s="106">
        <v>135.30000000000001</v>
      </c>
      <c r="I100" s="106">
        <v>134.69999999999999</v>
      </c>
      <c r="J100" s="106">
        <v>134.69999999999999</v>
      </c>
      <c r="K100" s="106">
        <v>132.80000000000001</v>
      </c>
      <c r="L100" s="106">
        <v>131.9</v>
      </c>
      <c r="M100" s="106">
        <v>131.4</v>
      </c>
      <c r="N100" s="106">
        <v>131.5</v>
      </c>
      <c r="O100" s="106">
        <v>131.69999999999999</v>
      </c>
      <c r="P100" s="106"/>
      <c r="Q100" s="106">
        <v>131.4</v>
      </c>
      <c r="R100" s="106">
        <v>134.19999999999999</v>
      </c>
      <c r="S100" s="106">
        <v>132.80000000000001</v>
      </c>
      <c r="T100" s="106">
        <v>133.80000000000001</v>
      </c>
      <c r="U100" s="106">
        <v>134.19999999999999</v>
      </c>
      <c r="V100" s="106">
        <v>132.9</v>
      </c>
      <c r="W100" s="106">
        <v>134.4</v>
      </c>
      <c r="X100" s="106">
        <v>136.30000000000001</v>
      </c>
      <c r="Y100" s="689">
        <v>134.1</v>
      </c>
      <c r="Z100" s="106">
        <v>134.4</v>
      </c>
      <c r="AA100" s="106">
        <v>134</v>
      </c>
      <c r="AB100" s="106">
        <v>133.30000000000001</v>
      </c>
      <c r="AC100" s="106">
        <v>135</v>
      </c>
      <c r="AD100" s="106">
        <v>135</v>
      </c>
      <c r="AE100" s="106">
        <v>135</v>
      </c>
      <c r="AF100" s="106">
        <v>135</v>
      </c>
      <c r="AG100" s="107"/>
      <c r="AH100" s="47">
        <f t="shared" si="8"/>
        <v>136.30000000000001</v>
      </c>
      <c r="AI100" s="48">
        <f t="shared" si="9"/>
        <v>129.30000000000001</v>
      </c>
    </row>
    <row r="101" spans="1:35" ht="15.75" x14ac:dyDescent="0.25">
      <c r="A101" s="103" t="s">
        <v>109</v>
      </c>
      <c r="B101" s="65">
        <v>137.6</v>
      </c>
      <c r="C101" s="65">
        <v>131.80000000000001</v>
      </c>
      <c r="D101" s="65">
        <v>132.5</v>
      </c>
      <c r="E101" s="65">
        <v>133.80000000000001</v>
      </c>
      <c r="F101" s="65">
        <v>136</v>
      </c>
      <c r="G101" s="65"/>
      <c r="H101" s="65">
        <v>127.6</v>
      </c>
      <c r="I101" s="65">
        <v>135.19999999999999</v>
      </c>
      <c r="J101" s="65">
        <v>135.19999999999999</v>
      </c>
      <c r="K101" s="65">
        <v>126</v>
      </c>
      <c r="L101" s="65">
        <v>126.9</v>
      </c>
      <c r="M101" s="65">
        <v>130.4</v>
      </c>
      <c r="N101" s="65">
        <v>129.9</v>
      </c>
      <c r="O101" s="65">
        <v>129.80000000000001</v>
      </c>
      <c r="P101" s="65"/>
      <c r="Q101" s="65">
        <v>129.80000000000001</v>
      </c>
      <c r="R101" s="65">
        <v>129.5</v>
      </c>
      <c r="S101" s="65">
        <v>123.1</v>
      </c>
      <c r="T101" s="65">
        <v>128.80000000000001</v>
      </c>
      <c r="U101" s="65">
        <v>127.4</v>
      </c>
      <c r="V101" s="65">
        <v>129.1</v>
      </c>
      <c r="W101" s="65">
        <v>130.9</v>
      </c>
      <c r="X101" s="65">
        <v>130.9</v>
      </c>
      <c r="Y101" s="689">
        <v>131.4</v>
      </c>
      <c r="Z101" s="65">
        <v>133.80000000000001</v>
      </c>
      <c r="AA101" s="65">
        <v>136.1</v>
      </c>
      <c r="AB101" s="65">
        <v>133.80000000000001</v>
      </c>
      <c r="AC101" s="65">
        <v>132</v>
      </c>
      <c r="AD101" s="65">
        <v>132</v>
      </c>
      <c r="AE101" s="65">
        <v>132</v>
      </c>
      <c r="AF101" s="65">
        <v>132</v>
      </c>
      <c r="AG101" s="104"/>
      <c r="AH101" s="47">
        <f t="shared" si="8"/>
        <v>137.6</v>
      </c>
      <c r="AI101" s="48">
        <f t="shared" si="9"/>
        <v>123.1</v>
      </c>
    </row>
    <row r="102" spans="1:35" ht="16.5" thickBot="1" x14ac:dyDescent="0.3">
      <c r="A102" s="103" t="s">
        <v>110</v>
      </c>
      <c r="B102" s="92">
        <v>66.099999999999994</v>
      </c>
      <c r="C102" s="92">
        <v>66.599999999999994</v>
      </c>
      <c r="D102" s="92">
        <v>66.5</v>
      </c>
      <c r="E102" s="92">
        <v>66.099999999999994</v>
      </c>
      <c r="F102" s="92">
        <v>66.400000000000006</v>
      </c>
      <c r="G102" s="92">
        <v>66.599999999999994</v>
      </c>
      <c r="H102" s="92">
        <v>66.3</v>
      </c>
      <c r="I102" s="92">
        <v>65.8</v>
      </c>
      <c r="J102" s="92">
        <v>65.8</v>
      </c>
      <c r="K102" s="92">
        <v>64.69</v>
      </c>
      <c r="L102" s="92">
        <v>63</v>
      </c>
      <c r="M102" s="92">
        <v>64.3</v>
      </c>
      <c r="N102" s="92">
        <v>64.5</v>
      </c>
      <c r="O102" s="92">
        <v>63.8</v>
      </c>
      <c r="P102" s="92"/>
      <c r="Q102" s="92">
        <v>63.9</v>
      </c>
      <c r="R102" s="92">
        <v>64</v>
      </c>
      <c r="S102" s="92">
        <v>64.099999999999994</v>
      </c>
      <c r="T102" s="92">
        <v>64.2</v>
      </c>
      <c r="U102" s="92">
        <v>65</v>
      </c>
      <c r="V102" s="92">
        <v>66</v>
      </c>
      <c r="W102" s="92">
        <v>66</v>
      </c>
      <c r="X102" s="92">
        <v>66.400000000000006</v>
      </c>
      <c r="Y102" s="690">
        <v>65.5</v>
      </c>
      <c r="Z102" s="92">
        <v>65.8</v>
      </c>
      <c r="AA102" s="92">
        <v>66.099999999999994</v>
      </c>
      <c r="AB102" s="92">
        <v>65.8</v>
      </c>
      <c r="AC102" s="92">
        <v>66.3</v>
      </c>
      <c r="AD102" s="92">
        <v>66.3</v>
      </c>
      <c r="AE102" s="92">
        <v>66.3</v>
      </c>
      <c r="AF102" s="92">
        <v>66.3</v>
      </c>
      <c r="AG102" s="108"/>
      <c r="AH102" s="47">
        <f t="shared" si="8"/>
        <v>66.599999999999994</v>
      </c>
      <c r="AI102" s="48">
        <f t="shared" si="9"/>
        <v>63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8"/>
        <v>0</v>
      </c>
      <c r="AI103" s="48">
        <f t="shared" si="9"/>
        <v>0</v>
      </c>
    </row>
    <row r="104" spans="1:35" ht="15.75" thickBot="1" x14ac:dyDescent="0.3">
      <c r="A104" s="110" t="s">
        <v>112</v>
      </c>
      <c r="B104" s="111">
        <f t="shared" ref="B104:AF104" si="15">SUM(B16,B22,B25:B26,B52,B54:B55,B57,B59,B105:B109,B131,B137,B143,B152,B154,B166,B173,B176:B177,B184,B186,B188,B192:B194,B196:B198,B203,B209:B210,B212:B214,B222,B227)</f>
        <v>146.30000000000001</v>
      </c>
      <c r="C104" s="111">
        <f t="shared" si="15"/>
        <v>132.94</v>
      </c>
      <c r="D104" s="111">
        <f t="shared" si="15"/>
        <v>132.44</v>
      </c>
      <c r="E104" s="111">
        <f t="shared" si="15"/>
        <v>129.13999999999999</v>
      </c>
      <c r="F104" s="111">
        <f t="shared" si="15"/>
        <v>134.54</v>
      </c>
      <c r="G104" s="111">
        <f t="shared" si="15"/>
        <v>152.84</v>
      </c>
      <c r="H104" s="111">
        <f t="shared" si="15"/>
        <v>190.24</v>
      </c>
      <c r="I104" s="111">
        <f t="shared" si="15"/>
        <v>234.44</v>
      </c>
      <c r="J104" s="111">
        <f t="shared" si="15"/>
        <v>234.44</v>
      </c>
      <c r="K104" s="111">
        <f t="shared" si="15"/>
        <v>326.74</v>
      </c>
      <c r="L104" s="111">
        <f t="shared" si="15"/>
        <v>381.33</v>
      </c>
      <c r="M104" s="111">
        <f t="shared" si="15"/>
        <v>378.04</v>
      </c>
      <c r="N104" s="111">
        <f t="shared" si="15"/>
        <v>346.54</v>
      </c>
      <c r="O104" s="111">
        <f t="shared" si="15"/>
        <v>330.14</v>
      </c>
      <c r="P104" s="111">
        <v>42</v>
      </c>
      <c r="Q104" s="111">
        <f t="shared" si="15"/>
        <v>272.5</v>
      </c>
      <c r="R104" s="111">
        <f t="shared" si="15"/>
        <v>259.49999999999994</v>
      </c>
      <c r="S104" s="111">
        <f t="shared" si="15"/>
        <v>291.79999999999995</v>
      </c>
      <c r="T104" s="111">
        <f t="shared" si="15"/>
        <v>283.8</v>
      </c>
      <c r="U104" s="111">
        <f t="shared" si="15"/>
        <v>270.80000000000007</v>
      </c>
      <c r="V104" s="111">
        <f t="shared" si="15"/>
        <v>278.09999999999997</v>
      </c>
      <c r="W104" s="111">
        <f t="shared" si="15"/>
        <v>304.89999999999998</v>
      </c>
      <c r="X104" s="111">
        <f t="shared" si="15"/>
        <v>353.30000000000007</v>
      </c>
      <c r="Y104" s="111">
        <f t="shared" si="15"/>
        <v>398.1</v>
      </c>
      <c r="Z104" s="111">
        <f t="shared" si="15"/>
        <v>386.6</v>
      </c>
      <c r="AA104" s="111">
        <f t="shared" si="15"/>
        <v>367.6</v>
      </c>
      <c r="AB104" s="111">
        <f t="shared" si="15"/>
        <v>344.90000000000003</v>
      </c>
      <c r="AC104" s="111">
        <f t="shared" si="15"/>
        <v>334.9</v>
      </c>
      <c r="AD104" s="111">
        <f t="shared" si="15"/>
        <v>285.89999999999998</v>
      </c>
      <c r="AE104" s="111">
        <f t="shared" si="15"/>
        <v>212.9</v>
      </c>
      <c r="AF104" s="111">
        <f t="shared" si="15"/>
        <v>153.9</v>
      </c>
      <c r="AG104" s="112"/>
      <c r="AH104" s="47">
        <f t="shared" si="8"/>
        <v>398.1</v>
      </c>
      <c r="AI104" s="48">
        <f t="shared" si="9"/>
        <v>42</v>
      </c>
    </row>
    <row r="105" spans="1:35" ht="15.75" x14ac:dyDescent="0.25">
      <c r="A105" s="100" t="s">
        <v>113</v>
      </c>
      <c r="B105" s="113">
        <v>-13.1</v>
      </c>
      <c r="C105" s="113">
        <v>-8.9</v>
      </c>
      <c r="D105" s="113">
        <v>-12.9</v>
      </c>
      <c r="E105" s="113">
        <v>-14.7</v>
      </c>
      <c r="F105" s="113">
        <v>-14.1</v>
      </c>
      <c r="G105" s="113">
        <v>-8.3000000000000007</v>
      </c>
      <c r="H105" s="113">
        <v>6.9</v>
      </c>
      <c r="I105" s="113">
        <v>9.6999999999999993</v>
      </c>
      <c r="J105" s="113">
        <v>9.6999999999999993</v>
      </c>
      <c r="K105" s="113">
        <v>32.299999999999997</v>
      </c>
      <c r="L105" s="113">
        <v>39.4</v>
      </c>
      <c r="M105" s="113">
        <v>22.7</v>
      </c>
      <c r="N105" s="113">
        <v>15.8</v>
      </c>
      <c r="O105" s="113">
        <v>17.8</v>
      </c>
      <c r="P105" s="113"/>
      <c r="Q105" s="113">
        <v>25.1</v>
      </c>
      <c r="R105" s="113">
        <v>21.4</v>
      </c>
      <c r="S105" s="113">
        <v>19.399999999999999</v>
      </c>
      <c r="T105" s="113">
        <v>17.899999999999999</v>
      </c>
      <c r="U105" s="113">
        <v>9.5</v>
      </c>
      <c r="V105" s="113">
        <v>9.1999999999999993</v>
      </c>
      <c r="W105" s="113">
        <v>14</v>
      </c>
      <c r="X105" s="113">
        <v>27.8</v>
      </c>
      <c r="Y105" s="691">
        <v>25.2</v>
      </c>
      <c r="Z105" s="113">
        <v>21.1</v>
      </c>
      <c r="AA105" s="113">
        <v>23.2</v>
      </c>
      <c r="AB105" s="113">
        <v>15.9</v>
      </c>
      <c r="AC105" s="113">
        <v>21</v>
      </c>
      <c r="AD105" s="113">
        <v>20</v>
      </c>
      <c r="AE105" s="113">
        <v>15</v>
      </c>
      <c r="AF105" s="113">
        <v>0</v>
      </c>
      <c r="AG105" s="114">
        <v>75</v>
      </c>
      <c r="AH105" s="47">
        <f t="shared" si="8"/>
        <v>39.4</v>
      </c>
      <c r="AI105" s="48">
        <f t="shared" si="9"/>
        <v>-14.7</v>
      </c>
    </row>
    <row r="106" spans="1:35" ht="15.75" x14ac:dyDescent="0.25">
      <c r="A106" s="103" t="s">
        <v>114</v>
      </c>
      <c r="B106" s="115">
        <v>-14.4</v>
      </c>
      <c r="C106" s="115">
        <v>-8.4</v>
      </c>
      <c r="D106" s="115">
        <v>-13.1</v>
      </c>
      <c r="E106" s="115">
        <v>-14.3</v>
      </c>
      <c r="F106" s="115">
        <v>-15.1</v>
      </c>
      <c r="G106" s="115">
        <v>-8.3000000000000007</v>
      </c>
      <c r="H106" s="115">
        <v>11.9</v>
      </c>
      <c r="I106" s="115">
        <v>18.399999999999999</v>
      </c>
      <c r="J106" s="115">
        <v>18.399999999999999</v>
      </c>
      <c r="K106" s="115">
        <v>41.3</v>
      </c>
      <c r="L106" s="115">
        <v>49.6</v>
      </c>
      <c r="M106" s="115">
        <v>26.8</v>
      </c>
      <c r="N106" s="115">
        <v>20.100000000000001</v>
      </c>
      <c r="O106" s="115">
        <v>23.7</v>
      </c>
      <c r="P106" s="115"/>
      <c r="Q106" s="115">
        <v>33.9</v>
      </c>
      <c r="R106" s="115">
        <v>34.1</v>
      </c>
      <c r="S106" s="115">
        <v>31.9</v>
      </c>
      <c r="T106" s="115">
        <v>26.4</v>
      </c>
      <c r="U106" s="115">
        <v>12.8</v>
      </c>
      <c r="V106" s="115">
        <v>12.7</v>
      </c>
      <c r="W106" s="115">
        <v>15.3</v>
      </c>
      <c r="X106" s="115">
        <v>31.5</v>
      </c>
      <c r="Y106" s="691">
        <v>26.6</v>
      </c>
      <c r="Z106" s="115">
        <v>20.8</v>
      </c>
      <c r="AA106" s="115">
        <v>24.3</v>
      </c>
      <c r="AB106" s="115">
        <v>14.8</v>
      </c>
      <c r="AC106" s="115">
        <v>22</v>
      </c>
      <c r="AD106" s="115">
        <v>24</v>
      </c>
      <c r="AE106" s="115">
        <v>19</v>
      </c>
      <c r="AF106" s="115">
        <v>0</v>
      </c>
      <c r="AG106" s="114">
        <v>240</v>
      </c>
      <c r="AH106" s="47">
        <f t="shared" si="8"/>
        <v>49.6</v>
      </c>
      <c r="AI106" s="48">
        <f t="shared" si="9"/>
        <v>-15.1</v>
      </c>
    </row>
    <row r="107" spans="1:35" ht="15.75" x14ac:dyDescent="0.25">
      <c r="A107" s="103" t="s">
        <v>115</v>
      </c>
      <c r="B107" s="115">
        <v>-22</v>
      </c>
      <c r="C107" s="115">
        <v>-33</v>
      </c>
      <c r="D107" s="115">
        <v>-29</v>
      </c>
      <c r="E107" s="115">
        <v>-32</v>
      </c>
      <c r="F107" s="115">
        <v>-27.7</v>
      </c>
      <c r="G107" s="115">
        <v>-25.4</v>
      </c>
      <c r="H107" s="115">
        <v>-27.1</v>
      </c>
      <c r="I107" s="115">
        <v>-12.5</v>
      </c>
      <c r="J107" s="115">
        <v>-12.5</v>
      </c>
      <c r="K107" s="115">
        <v>28.3</v>
      </c>
      <c r="L107" s="115">
        <v>44.6</v>
      </c>
      <c r="M107" s="115">
        <v>68.2</v>
      </c>
      <c r="N107" s="115">
        <v>73.2</v>
      </c>
      <c r="O107" s="115">
        <v>66.900000000000006</v>
      </c>
      <c r="P107" s="115"/>
      <c r="Q107" s="115">
        <v>15.6</v>
      </c>
      <c r="R107" s="115">
        <f>-3.8-9</f>
        <v>-12.8</v>
      </c>
      <c r="S107" s="115">
        <v>-6.4</v>
      </c>
      <c r="T107" s="115">
        <v>-15.7</v>
      </c>
      <c r="U107" s="115">
        <v>-18</v>
      </c>
      <c r="V107" s="115">
        <v>4</v>
      </c>
      <c r="W107" s="115">
        <v>20</v>
      </c>
      <c r="X107" s="115">
        <v>42.7</v>
      </c>
      <c r="Y107" s="692">
        <v>73</v>
      </c>
      <c r="Z107" s="115">
        <v>75.400000000000006</v>
      </c>
      <c r="AA107" s="115">
        <v>65.3</v>
      </c>
      <c r="AB107" s="115">
        <f>27+46</f>
        <v>73</v>
      </c>
      <c r="AC107" s="115">
        <v>62</v>
      </c>
      <c r="AD107" s="115">
        <v>2</v>
      </c>
      <c r="AE107" s="115">
        <v>-33</v>
      </c>
      <c r="AF107" s="115">
        <v>-50</v>
      </c>
      <c r="AG107" s="114">
        <v>240</v>
      </c>
      <c r="AH107" s="47">
        <f t="shared" si="8"/>
        <v>75.400000000000006</v>
      </c>
      <c r="AI107" s="48">
        <f t="shared" si="9"/>
        <v>-50</v>
      </c>
    </row>
    <row r="108" spans="1:35" ht="15.75" x14ac:dyDescent="0.25">
      <c r="A108" s="103" t="s">
        <v>116</v>
      </c>
      <c r="B108" s="115">
        <v>-2.2999999999999998</v>
      </c>
      <c r="C108" s="115">
        <v>-5.3</v>
      </c>
      <c r="D108" s="115">
        <v>-7.2</v>
      </c>
      <c r="E108" s="115">
        <v>-7.2</v>
      </c>
      <c r="F108" s="115">
        <v>-5.0999999999999996</v>
      </c>
      <c r="G108" s="115">
        <v>-2.4</v>
      </c>
      <c r="H108" s="115">
        <v>-3.7</v>
      </c>
      <c r="I108" s="115">
        <v>3</v>
      </c>
      <c r="J108" s="115">
        <v>3</v>
      </c>
      <c r="K108" s="115" t="s">
        <v>714</v>
      </c>
      <c r="L108" s="115">
        <v>19.89</v>
      </c>
      <c r="M108" s="115">
        <v>26</v>
      </c>
      <c r="N108" s="115">
        <v>22.1</v>
      </c>
      <c r="O108" s="115">
        <v>21.7</v>
      </c>
      <c r="P108" s="115"/>
      <c r="Q108" s="115">
        <v>23.1</v>
      </c>
      <c r="R108" s="115">
        <v>18.7</v>
      </c>
      <c r="S108" s="115">
        <v>23.7</v>
      </c>
      <c r="T108" s="115">
        <v>24.1</v>
      </c>
      <c r="U108" s="115">
        <v>44.2</v>
      </c>
      <c r="V108" s="115">
        <v>37.200000000000003</v>
      </c>
      <c r="W108" s="115">
        <v>43</v>
      </c>
      <c r="X108" s="115">
        <v>53.3</v>
      </c>
      <c r="Y108" s="692">
        <v>55.6</v>
      </c>
      <c r="Z108" s="115">
        <v>56.3</v>
      </c>
      <c r="AA108" s="115">
        <v>53.3</v>
      </c>
      <c r="AB108" s="115">
        <v>47.3</v>
      </c>
      <c r="AC108" s="115">
        <v>42</v>
      </c>
      <c r="AD108" s="115">
        <v>34</v>
      </c>
      <c r="AE108" s="115">
        <v>22</v>
      </c>
      <c r="AF108" s="115">
        <v>17</v>
      </c>
      <c r="AG108" s="114">
        <v>60</v>
      </c>
      <c r="AH108" s="47">
        <f t="shared" si="8"/>
        <v>56.3</v>
      </c>
      <c r="AI108" s="48">
        <f t="shared" si="9"/>
        <v>-7.2</v>
      </c>
    </row>
    <row r="109" spans="1:35" ht="15.75" x14ac:dyDescent="0.25">
      <c r="A109" s="116" t="s">
        <v>117</v>
      </c>
      <c r="B109" s="117">
        <v>90.5</v>
      </c>
      <c r="C109" s="117">
        <v>80</v>
      </c>
      <c r="D109" s="117">
        <v>86.1</v>
      </c>
      <c r="E109" s="117">
        <v>88.8</v>
      </c>
      <c r="F109" s="117">
        <v>88</v>
      </c>
      <c r="G109" s="117">
        <v>88.7</v>
      </c>
      <c r="H109" s="117">
        <v>93.5</v>
      </c>
      <c r="I109" s="117">
        <v>107</v>
      </c>
      <c r="J109" s="117">
        <v>107</v>
      </c>
      <c r="K109" s="117">
        <v>116</v>
      </c>
      <c r="L109" s="117">
        <v>116.3</v>
      </c>
      <c r="M109" s="117">
        <v>123.5</v>
      </c>
      <c r="N109" s="117">
        <v>106.5</v>
      </c>
      <c r="O109" s="117">
        <v>91.4</v>
      </c>
      <c r="P109" s="117"/>
      <c r="Q109" s="117">
        <v>80.7</v>
      </c>
      <c r="R109" s="117">
        <v>102.8</v>
      </c>
      <c r="S109" s="117">
        <v>103</v>
      </c>
      <c r="T109" s="117">
        <v>116.7</v>
      </c>
      <c r="U109" s="117">
        <v>111.9</v>
      </c>
      <c r="V109" s="117">
        <v>109.2</v>
      </c>
      <c r="W109" s="117">
        <v>107</v>
      </c>
      <c r="X109" s="117">
        <v>91.4</v>
      </c>
      <c r="Y109" s="692">
        <v>110.6</v>
      </c>
      <c r="Z109" s="117">
        <v>105.9</v>
      </c>
      <c r="AA109" s="117">
        <v>94.6</v>
      </c>
      <c r="AB109" s="117">
        <v>87</v>
      </c>
      <c r="AC109" s="117">
        <v>81</v>
      </c>
      <c r="AD109" s="117">
        <v>99</v>
      </c>
      <c r="AE109" s="117">
        <v>83</v>
      </c>
      <c r="AF109" s="117">
        <v>80</v>
      </c>
      <c r="AG109" s="118">
        <v>120</v>
      </c>
      <c r="AH109" s="47">
        <f t="shared" si="8"/>
        <v>123.5</v>
      </c>
      <c r="AI109" s="48">
        <f t="shared" si="9"/>
        <v>80</v>
      </c>
    </row>
    <row r="110" spans="1:35" ht="15.75" x14ac:dyDescent="0.25">
      <c r="A110" s="116" t="s">
        <v>118</v>
      </c>
      <c r="B110" s="117">
        <v>92.6</v>
      </c>
      <c r="C110" s="117">
        <v>85.6</v>
      </c>
      <c r="D110" s="117">
        <v>92</v>
      </c>
      <c r="E110" s="117">
        <v>93.9</v>
      </c>
      <c r="F110" s="117">
        <v>92</v>
      </c>
      <c r="G110" s="117">
        <v>92.3</v>
      </c>
      <c r="H110" s="117">
        <v>96</v>
      </c>
      <c r="I110" s="117">
        <v>99.6</v>
      </c>
      <c r="J110" s="117">
        <v>99.6</v>
      </c>
      <c r="K110" s="117">
        <v>99.9</v>
      </c>
      <c r="L110" s="117">
        <v>104</v>
      </c>
      <c r="M110" s="117">
        <v>93</v>
      </c>
      <c r="N110" s="117">
        <v>96</v>
      </c>
      <c r="O110" s="117">
        <v>89.5</v>
      </c>
      <c r="P110" s="117"/>
      <c r="Q110" s="117">
        <v>100</v>
      </c>
      <c r="R110" s="117">
        <v>98.4</v>
      </c>
      <c r="S110" s="117">
        <v>90</v>
      </c>
      <c r="T110" s="117">
        <v>103.9</v>
      </c>
      <c r="U110" s="117">
        <v>98.1</v>
      </c>
      <c r="V110" s="117">
        <v>88.3</v>
      </c>
      <c r="W110" s="117">
        <v>84.2</v>
      </c>
      <c r="X110" s="117">
        <v>67.2</v>
      </c>
      <c r="Y110" s="693">
        <v>95</v>
      </c>
      <c r="Z110" s="117">
        <v>99.1</v>
      </c>
      <c r="AA110" s="117">
        <v>88.6</v>
      </c>
      <c r="AB110" s="117">
        <v>96</v>
      </c>
      <c r="AC110" s="117">
        <v>82</v>
      </c>
      <c r="AD110" s="117">
        <v>78</v>
      </c>
      <c r="AE110" s="117">
        <v>79</v>
      </c>
      <c r="AF110" s="117">
        <v>86</v>
      </c>
      <c r="AG110" s="118"/>
      <c r="AH110" s="47">
        <f t="shared" si="8"/>
        <v>104</v>
      </c>
      <c r="AI110" s="48">
        <f t="shared" si="9"/>
        <v>67.2</v>
      </c>
    </row>
    <row r="111" spans="1:35" x14ac:dyDescent="0.25">
      <c r="A111" s="116" t="s">
        <v>119</v>
      </c>
      <c r="B111" s="117"/>
      <c r="C111" s="117"/>
      <c r="D111" s="117">
        <v>46.8</v>
      </c>
      <c r="E111" s="117"/>
      <c r="F111" s="117"/>
      <c r="G111" s="117"/>
      <c r="H111" s="117">
        <v>24.4</v>
      </c>
      <c r="I111" s="117"/>
      <c r="J111" s="117"/>
      <c r="K111" s="117">
        <v>13.2</v>
      </c>
      <c r="L111" s="117"/>
      <c r="M111" s="117">
        <v>11.1</v>
      </c>
      <c r="N111" s="117"/>
      <c r="O111" s="117">
        <v>9.3000000000000007</v>
      </c>
      <c r="P111" s="117"/>
      <c r="Q111" s="117">
        <v>17.7</v>
      </c>
      <c r="R111" s="117"/>
      <c r="S111" s="117">
        <v>28.3</v>
      </c>
      <c r="T111" s="117"/>
      <c r="U111" s="117"/>
      <c r="V111" s="117">
        <v>26.5</v>
      </c>
      <c r="W111" s="117"/>
      <c r="X111" s="117"/>
      <c r="Y111" s="117">
        <v>18.5</v>
      </c>
      <c r="Z111" s="117"/>
      <c r="AA111" s="117"/>
      <c r="AB111" s="117">
        <v>26.8</v>
      </c>
      <c r="AC111" s="117">
        <v>20</v>
      </c>
      <c r="AD111" s="117">
        <v>20</v>
      </c>
      <c r="AE111" s="117">
        <v>31</v>
      </c>
      <c r="AF111" s="117"/>
      <c r="AG111" s="119"/>
      <c r="AH111" s="47">
        <f t="shared" si="8"/>
        <v>46.8</v>
      </c>
      <c r="AI111" s="48">
        <f t="shared" si="9"/>
        <v>9.3000000000000007</v>
      </c>
    </row>
    <row r="112" spans="1:35" x14ac:dyDescent="0.25">
      <c r="A112" s="120" t="s">
        <v>120</v>
      </c>
      <c r="B112" s="106">
        <v>15.8</v>
      </c>
      <c r="C112" s="106">
        <v>14.9</v>
      </c>
      <c r="D112" s="106">
        <v>14.2</v>
      </c>
      <c r="E112" s="106">
        <v>15.3</v>
      </c>
      <c r="F112" s="106">
        <v>18.7</v>
      </c>
      <c r="G112" s="106">
        <v>12.9</v>
      </c>
      <c r="H112" s="106">
        <v>3.6</v>
      </c>
      <c r="I112" s="106">
        <v>-8.9</v>
      </c>
      <c r="J112" s="106">
        <v>-8.9</v>
      </c>
      <c r="K112" s="106">
        <v>-36</v>
      </c>
      <c r="L112" s="106">
        <v>-40</v>
      </c>
      <c r="M112" s="106">
        <v>-45.8</v>
      </c>
      <c r="N112" s="106">
        <v>-23.9</v>
      </c>
      <c r="O112" s="106">
        <v>-26</v>
      </c>
      <c r="P112" s="106"/>
      <c r="Q112" s="106">
        <v>16.2</v>
      </c>
      <c r="R112" s="106">
        <v>-8.4</v>
      </c>
      <c r="S112" s="106">
        <v>-14.4</v>
      </c>
      <c r="T112" s="106">
        <v>-14.3</v>
      </c>
      <c r="U112" s="106">
        <v>-29.3</v>
      </c>
      <c r="V112" s="106">
        <v>-34.4</v>
      </c>
      <c r="W112" s="106">
        <v>-46.9</v>
      </c>
      <c r="X112" s="106">
        <v>-66.099999999999994</v>
      </c>
      <c r="Y112" s="106">
        <v>-64.3</v>
      </c>
      <c r="Z112" s="106">
        <v>-52.7</v>
      </c>
      <c r="AA112" s="106">
        <v>-44.9</v>
      </c>
      <c r="AB112" s="106">
        <v>-34.1</v>
      </c>
      <c r="AC112" s="106">
        <v>29</v>
      </c>
      <c r="AD112" s="106">
        <v>10</v>
      </c>
      <c r="AE112" s="106">
        <v>2.6</v>
      </c>
      <c r="AF112" s="106">
        <v>13</v>
      </c>
      <c r="AG112" s="119"/>
      <c r="AH112" s="47">
        <f t="shared" si="8"/>
        <v>29</v>
      </c>
      <c r="AI112" s="48">
        <f t="shared" si="9"/>
        <v>-66.099999999999994</v>
      </c>
    </row>
    <row r="113" spans="1:37" ht="15.75" thickBot="1" x14ac:dyDescent="0.3">
      <c r="A113" s="120" t="s">
        <v>715</v>
      </c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>
        <v>87.6</v>
      </c>
      <c r="R113" s="106">
        <v>94.9</v>
      </c>
      <c r="S113" s="106">
        <v>99.1</v>
      </c>
      <c r="T113" s="106">
        <v>99.6</v>
      </c>
      <c r="U113" s="106">
        <v>95.5</v>
      </c>
      <c r="V113" s="106">
        <v>85.3</v>
      </c>
      <c r="W113" s="106">
        <v>81.8</v>
      </c>
      <c r="X113" s="106">
        <v>93.7</v>
      </c>
      <c r="Y113" s="106">
        <v>98.5</v>
      </c>
      <c r="Z113" s="106">
        <v>90.3</v>
      </c>
      <c r="AA113" s="106">
        <v>88.2</v>
      </c>
      <c r="AB113" s="106">
        <v>92</v>
      </c>
      <c r="AC113" s="106">
        <v>95</v>
      </c>
      <c r="AD113" s="106">
        <v>90</v>
      </c>
      <c r="AE113" s="106">
        <v>77</v>
      </c>
      <c r="AF113" s="106">
        <v>70</v>
      </c>
      <c r="AG113" s="119"/>
      <c r="AH113" s="47">
        <f t="shared" si="8"/>
        <v>99.6</v>
      </c>
      <c r="AI113" s="48">
        <f t="shared" si="9"/>
        <v>70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6">SUM(B115:B219)</f>
        <v>0</v>
      </c>
      <c r="C220" s="136">
        <f t="shared" si="16"/>
        <v>0</v>
      </c>
      <c r="D220" s="136">
        <f t="shared" si="16"/>
        <v>0</v>
      </c>
      <c r="E220" s="136">
        <f t="shared" si="16"/>
        <v>0</v>
      </c>
      <c r="F220" s="136">
        <f t="shared" si="16"/>
        <v>0</v>
      </c>
      <c r="G220" s="136">
        <f t="shared" si="16"/>
        <v>0</v>
      </c>
      <c r="H220" s="136">
        <f t="shared" si="16"/>
        <v>0</v>
      </c>
      <c r="I220" s="136">
        <f t="shared" si="16"/>
        <v>0</v>
      </c>
      <c r="J220" s="136">
        <f t="shared" si="16"/>
        <v>0</v>
      </c>
      <c r="K220" s="136">
        <f t="shared" si="16"/>
        <v>0</v>
      </c>
      <c r="L220" s="136">
        <f t="shared" si="16"/>
        <v>0</v>
      </c>
      <c r="M220" s="136">
        <f t="shared" si="16"/>
        <v>0</v>
      </c>
      <c r="N220" s="136">
        <f t="shared" si="16"/>
        <v>0</v>
      </c>
      <c r="O220" s="136">
        <f t="shared" si="16"/>
        <v>0</v>
      </c>
      <c r="P220" s="136">
        <f t="shared" si="16"/>
        <v>0</v>
      </c>
      <c r="Q220" s="136">
        <f t="shared" si="16"/>
        <v>0</v>
      </c>
      <c r="R220" s="136">
        <f t="shared" si="16"/>
        <v>0</v>
      </c>
      <c r="S220" s="136">
        <f t="shared" si="16"/>
        <v>0</v>
      </c>
      <c r="T220" s="136">
        <f t="shared" si="16"/>
        <v>0</v>
      </c>
      <c r="U220" s="136">
        <f t="shared" si="16"/>
        <v>0</v>
      </c>
      <c r="V220" s="136">
        <f t="shared" si="16"/>
        <v>0</v>
      </c>
      <c r="W220" s="136">
        <f t="shared" si="16"/>
        <v>0</v>
      </c>
      <c r="X220" s="136">
        <f t="shared" si="16"/>
        <v>0</v>
      </c>
      <c r="Y220" s="136">
        <f t="shared" si="16"/>
        <v>0</v>
      </c>
      <c r="Z220" s="136">
        <f t="shared" si="16"/>
        <v>0</v>
      </c>
      <c r="AA220" s="136">
        <f t="shared" si="16"/>
        <v>0</v>
      </c>
      <c r="AB220" s="136">
        <f t="shared" si="16"/>
        <v>0</v>
      </c>
      <c r="AC220" s="136">
        <f t="shared" si="16"/>
        <v>0</v>
      </c>
      <c r="AD220" s="136">
        <f t="shared" si="16"/>
        <v>0</v>
      </c>
      <c r="AE220" s="136">
        <f t="shared" si="16"/>
        <v>0</v>
      </c>
      <c r="AF220" s="137">
        <f t="shared" si="16"/>
        <v>0</v>
      </c>
      <c r="AG220" s="138">
        <f t="shared" si="16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7">AF222</f>
        <v>0</v>
      </c>
      <c r="C222" s="140">
        <v>0.3</v>
      </c>
      <c r="D222" s="140">
        <f t="shared" ref="D222:P227" si="18">C222</f>
        <v>0.3</v>
      </c>
      <c r="E222" s="140">
        <f t="shared" si="18"/>
        <v>0.3</v>
      </c>
      <c r="F222" s="140">
        <f t="shared" si="18"/>
        <v>0.3</v>
      </c>
      <c r="G222" s="140">
        <f t="shared" si="18"/>
        <v>0.3</v>
      </c>
      <c r="H222" s="140">
        <f t="shared" si="18"/>
        <v>0.3</v>
      </c>
      <c r="I222" s="140">
        <f t="shared" si="18"/>
        <v>0.3</v>
      </c>
      <c r="J222" s="140">
        <f t="shared" si="18"/>
        <v>0.3</v>
      </c>
      <c r="K222" s="140">
        <f t="shared" si="18"/>
        <v>0.3</v>
      </c>
      <c r="L222" s="140">
        <f t="shared" si="18"/>
        <v>0.3</v>
      </c>
      <c r="M222" s="140">
        <f t="shared" si="18"/>
        <v>0.3</v>
      </c>
      <c r="N222" s="140">
        <f t="shared" si="18"/>
        <v>0.3</v>
      </c>
      <c r="O222" s="140">
        <f t="shared" si="18"/>
        <v>0.3</v>
      </c>
      <c r="P222" s="140">
        <f t="shared" si="18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7"/>
        <v>0</v>
      </c>
      <c r="C223" s="128">
        <v>0.4</v>
      </c>
      <c r="D223" s="128">
        <f t="shared" si="18"/>
        <v>0.4</v>
      </c>
      <c r="E223" s="128">
        <f t="shared" si="18"/>
        <v>0.4</v>
      </c>
      <c r="F223" s="128">
        <f t="shared" si="18"/>
        <v>0.4</v>
      </c>
      <c r="G223" s="128">
        <f t="shared" si="18"/>
        <v>0.4</v>
      </c>
      <c r="H223" s="128">
        <f t="shared" si="18"/>
        <v>0.4</v>
      </c>
      <c r="I223" s="128">
        <f t="shared" si="18"/>
        <v>0.4</v>
      </c>
      <c r="J223" s="128">
        <f t="shared" si="18"/>
        <v>0.4</v>
      </c>
      <c r="K223" s="128">
        <f t="shared" si="18"/>
        <v>0.4</v>
      </c>
      <c r="L223" s="128">
        <f t="shared" si="18"/>
        <v>0.4</v>
      </c>
      <c r="M223" s="128">
        <f t="shared" si="18"/>
        <v>0.4</v>
      </c>
      <c r="N223" s="128">
        <f t="shared" si="18"/>
        <v>0.4</v>
      </c>
      <c r="O223" s="128">
        <f t="shared" si="18"/>
        <v>0.4</v>
      </c>
      <c r="P223" s="128">
        <f t="shared" si="18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7"/>
        <v>0</v>
      </c>
      <c r="C224" s="128">
        <v>1.5</v>
      </c>
      <c r="D224" s="128">
        <f t="shared" si="18"/>
        <v>1.5</v>
      </c>
      <c r="E224" s="128">
        <f t="shared" si="18"/>
        <v>1.5</v>
      </c>
      <c r="F224" s="128">
        <f t="shared" si="18"/>
        <v>1.5</v>
      </c>
      <c r="G224" s="128">
        <f t="shared" si="18"/>
        <v>1.5</v>
      </c>
      <c r="H224" s="128">
        <f t="shared" si="18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18"/>
        <v>1.5</v>
      </c>
      <c r="K224" s="128">
        <f t="shared" ca="1" si="18"/>
        <v>1.5</v>
      </c>
      <c r="L224" s="128">
        <f t="shared" ca="1" si="18"/>
        <v>1.5</v>
      </c>
      <c r="M224" s="128">
        <f t="shared" ca="1" si="18"/>
        <v>1.5</v>
      </c>
      <c r="N224" s="128">
        <f t="shared" ca="1" si="18"/>
        <v>1.5</v>
      </c>
      <c r="O224" s="128">
        <f t="shared" ca="1" si="18"/>
        <v>1.5</v>
      </c>
      <c r="P224" s="128">
        <f t="shared" ca="1" si="18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7"/>
        <v>0</v>
      </c>
      <c r="C225" s="128">
        <v>0.3</v>
      </c>
      <c r="D225" s="128">
        <f t="shared" si="18"/>
        <v>0.3</v>
      </c>
      <c r="E225" s="128">
        <f t="shared" si="18"/>
        <v>0.3</v>
      </c>
      <c r="F225" s="128">
        <f t="shared" si="18"/>
        <v>0.3</v>
      </c>
      <c r="G225" s="128">
        <f t="shared" si="18"/>
        <v>0.3</v>
      </c>
      <c r="H225" s="128">
        <f t="shared" si="18"/>
        <v>0.3</v>
      </c>
      <c r="I225" s="128">
        <f t="shared" si="18"/>
        <v>0.3</v>
      </c>
      <c r="J225" s="128">
        <f t="shared" si="18"/>
        <v>0.3</v>
      </c>
      <c r="K225" s="128">
        <f t="shared" si="18"/>
        <v>0.3</v>
      </c>
      <c r="L225" s="128">
        <f t="shared" si="18"/>
        <v>0.3</v>
      </c>
      <c r="M225" s="128">
        <f t="shared" si="18"/>
        <v>0.3</v>
      </c>
      <c r="N225" s="128">
        <f t="shared" si="18"/>
        <v>0.3</v>
      </c>
      <c r="O225" s="128">
        <f t="shared" si="18"/>
        <v>0.3</v>
      </c>
      <c r="P225" s="128">
        <f t="shared" si="18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7"/>
        <v>0</v>
      </c>
      <c r="C226" s="128">
        <v>0.4</v>
      </c>
      <c r="D226" s="128">
        <f t="shared" si="18"/>
        <v>0.4</v>
      </c>
      <c r="E226" s="128">
        <f t="shared" si="18"/>
        <v>0.4</v>
      </c>
      <c r="F226" s="128">
        <f t="shared" si="18"/>
        <v>0.4</v>
      </c>
      <c r="G226" s="128">
        <f t="shared" si="18"/>
        <v>0.4</v>
      </c>
      <c r="H226" s="128">
        <f t="shared" si="18"/>
        <v>0.4</v>
      </c>
      <c r="I226" s="128">
        <f t="shared" si="18"/>
        <v>0.4</v>
      </c>
      <c r="J226" s="128">
        <f t="shared" si="18"/>
        <v>0.4</v>
      </c>
      <c r="K226" s="128">
        <f t="shared" si="18"/>
        <v>0.4</v>
      </c>
      <c r="L226" s="128">
        <f t="shared" si="18"/>
        <v>0.4</v>
      </c>
      <c r="M226" s="128">
        <f t="shared" si="18"/>
        <v>0.4</v>
      </c>
      <c r="N226" s="128">
        <f t="shared" si="18"/>
        <v>0.4</v>
      </c>
      <c r="O226" s="128">
        <f t="shared" si="18"/>
        <v>0.4</v>
      </c>
      <c r="P226" s="128">
        <f t="shared" si="18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7"/>
        <v>0</v>
      </c>
      <c r="C227" s="132">
        <v>0.64</v>
      </c>
      <c r="D227" s="132">
        <f t="shared" si="18"/>
        <v>0.64</v>
      </c>
      <c r="E227" s="132">
        <f t="shared" si="18"/>
        <v>0.64</v>
      </c>
      <c r="F227" s="132">
        <f t="shared" si="18"/>
        <v>0.64</v>
      </c>
      <c r="G227" s="132">
        <f t="shared" si="18"/>
        <v>0.64</v>
      </c>
      <c r="H227" s="132">
        <f t="shared" si="18"/>
        <v>0.64</v>
      </c>
      <c r="I227" s="132">
        <f t="shared" si="18"/>
        <v>0.64</v>
      </c>
      <c r="J227" s="132">
        <f t="shared" si="18"/>
        <v>0.64</v>
      </c>
      <c r="K227" s="132">
        <f t="shared" si="18"/>
        <v>0.64</v>
      </c>
      <c r="L227" s="132">
        <f t="shared" si="18"/>
        <v>0.64</v>
      </c>
      <c r="M227" s="132">
        <f t="shared" si="18"/>
        <v>0.64</v>
      </c>
      <c r="N227" s="132">
        <f t="shared" si="18"/>
        <v>0.64</v>
      </c>
      <c r="O227" s="132">
        <f t="shared" si="18"/>
        <v>0.64</v>
      </c>
      <c r="P227" s="132">
        <f t="shared" si="18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19">SUM(B222:B227)</f>
        <v>0</v>
      </c>
      <c r="C228" s="136">
        <f t="shared" si="19"/>
        <v>3.54</v>
      </c>
      <c r="D228" s="136">
        <f t="shared" si="19"/>
        <v>3.54</v>
      </c>
      <c r="E228" s="136">
        <f t="shared" si="19"/>
        <v>3.54</v>
      </c>
      <c r="F228" s="136">
        <f t="shared" si="19"/>
        <v>3.54</v>
      </c>
      <c r="G228" s="136">
        <f t="shared" si="19"/>
        <v>3.54</v>
      </c>
      <c r="H228" s="136">
        <f t="shared" si="19"/>
        <v>3.54</v>
      </c>
      <c r="I228" s="136">
        <f t="shared" ca="1" si="19"/>
        <v>3.54</v>
      </c>
      <c r="J228" s="136">
        <f t="shared" ca="1" si="19"/>
        <v>3.54</v>
      </c>
      <c r="K228" s="136">
        <f t="shared" ca="1" si="19"/>
        <v>3.54</v>
      </c>
      <c r="L228" s="136">
        <f t="shared" ca="1" si="19"/>
        <v>3.54</v>
      </c>
      <c r="M228" s="136">
        <f t="shared" ca="1" si="19"/>
        <v>3.54</v>
      </c>
      <c r="N228" s="136">
        <f t="shared" ca="1" si="19"/>
        <v>3.54</v>
      </c>
      <c r="O228" s="136">
        <f t="shared" ca="1" si="19"/>
        <v>3.54</v>
      </c>
      <c r="P228" s="136">
        <f t="shared" ca="1" si="19"/>
        <v>3.54</v>
      </c>
      <c r="Q228" s="136">
        <f t="shared" si="19"/>
        <v>0</v>
      </c>
      <c r="R228" s="136">
        <f t="shared" si="19"/>
        <v>0</v>
      </c>
      <c r="S228" s="136">
        <f t="shared" si="19"/>
        <v>0</v>
      </c>
      <c r="T228" s="136">
        <f t="shared" si="19"/>
        <v>0</v>
      </c>
      <c r="U228" s="136">
        <f t="shared" si="19"/>
        <v>0</v>
      </c>
      <c r="V228" s="136">
        <f t="shared" si="19"/>
        <v>0</v>
      </c>
      <c r="W228" s="136">
        <f t="shared" si="19"/>
        <v>0</v>
      </c>
      <c r="X228" s="136">
        <f t="shared" si="19"/>
        <v>0</v>
      </c>
      <c r="Y228" s="136">
        <f t="shared" si="19"/>
        <v>0</v>
      </c>
      <c r="Z228" s="136">
        <f t="shared" si="19"/>
        <v>0</v>
      </c>
      <c r="AA228" s="136">
        <f t="shared" si="19"/>
        <v>0</v>
      </c>
      <c r="AB228" s="136">
        <f t="shared" si="19"/>
        <v>0</v>
      </c>
      <c r="AC228" s="136">
        <f t="shared" si="19"/>
        <v>0</v>
      </c>
      <c r="AD228" s="136">
        <f t="shared" si="19"/>
        <v>0</v>
      </c>
      <c r="AE228" s="136">
        <f t="shared" si="19"/>
        <v>0</v>
      </c>
      <c r="AF228" s="136">
        <f t="shared" si="19"/>
        <v>0</v>
      </c>
      <c r="AG228" s="145">
        <f t="shared" si="19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1569.84</v>
      </c>
      <c r="C237" s="161">
        <f>INDEX(G9:N9,1,MATCH(MAX(G85:N85),G85:N85,0))</f>
        <v>0.3125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25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str">
        <f ca="1">"Pie Chart of Daily Peak Demand(Inclusive of Export) of Nepal ("&amp;A4&amp;" "&amp;B4&amp;")"</f>
        <v>Pie Chart of Daily Peak Demand(Inclusive of Export) of Nepal (Nepali Date: 2079/10/25)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2079/10/25)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0">B85</f>
        <v>996.83999999999992</v>
      </c>
      <c r="U242" s="170">
        <f t="shared" si="20"/>
        <v>1008.74</v>
      </c>
      <c r="V242" s="170">
        <f t="shared" si="20"/>
        <v>1000.6399999999999</v>
      </c>
      <c r="W242" s="170">
        <f t="shared" si="20"/>
        <v>989.54</v>
      </c>
      <c r="X242" s="170">
        <f t="shared" si="20"/>
        <v>1004.94</v>
      </c>
      <c r="Y242" s="170">
        <f t="shared" si="20"/>
        <v>1006.64</v>
      </c>
      <c r="Z242" s="170">
        <f t="shared" si="20"/>
        <v>1110.1399999999999</v>
      </c>
      <c r="AA242" s="170">
        <f t="shared" si="20"/>
        <v>1174.04</v>
      </c>
      <c r="AB242" s="170">
        <f t="shared" si="20"/>
        <v>1403.14</v>
      </c>
      <c r="AC242" s="170">
        <f t="shared" si="20"/>
        <v>1451.8400000000001</v>
      </c>
      <c r="AD242" s="170">
        <f t="shared" si="20"/>
        <v>1569.84</v>
      </c>
      <c r="AE242" s="170">
        <f t="shared" si="20"/>
        <v>1536.64</v>
      </c>
      <c r="AF242" s="170">
        <f t="shared" si="20"/>
        <v>1464.6399999999999</v>
      </c>
      <c r="AG242" s="170">
        <f t="shared" si="20"/>
        <v>1408.44</v>
      </c>
      <c r="AH242" s="170">
        <f t="shared" si="20"/>
        <v>3.54</v>
      </c>
      <c r="AI242" s="170">
        <f t="shared" si="20"/>
        <v>1264.04</v>
      </c>
      <c r="AJ242" s="170">
        <f t="shared" si="20"/>
        <v>1312.04</v>
      </c>
      <c r="AK242" s="170">
        <f t="shared" si="20"/>
        <v>1310.6400000000001</v>
      </c>
      <c r="AL242" s="170">
        <f t="shared" si="20"/>
        <v>1301.7400000000002</v>
      </c>
      <c r="AM242" s="170">
        <f t="shared" si="20"/>
        <v>1349.3400000000001</v>
      </c>
      <c r="AN242" s="170">
        <f t="shared" si="20"/>
        <v>1226.6399999999999</v>
      </c>
      <c r="AO242" s="170">
        <f t="shared" si="20"/>
        <v>1255.1399999999999</v>
      </c>
      <c r="AP242" s="170">
        <f t="shared" si="20"/>
        <v>1501.74</v>
      </c>
      <c r="AQ242" s="170">
        <f t="shared" si="20"/>
        <v>1633.24</v>
      </c>
      <c r="AR242" s="170">
        <f t="shared" si="20"/>
        <v>1592.0400000000002</v>
      </c>
      <c r="AS242" s="170">
        <f t="shared" si="20"/>
        <v>1491.64</v>
      </c>
      <c r="AT242" s="170">
        <f t="shared" si="20"/>
        <v>1441.04</v>
      </c>
      <c r="AU242" s="170">
        <f t="shared" si="20"/>
        <v>1416.74</v>
      </c>
      <c r="AV242" s="170">
        <f t="shared" si="20"/>
        <v>1281.54</v>
      </c>
      <c r="AW242" s="170">
        <f t="shared" si="20"/>
        <v>1202.04</v>
      </c>
      <c r="AX242" s="170">
        <f t="shared" si="20"/>
        <v>1120.54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1">C227</f>
        <v>0.64</v>
      </c>
      <c r="C263" s="173">
        <f t="shared" si="21"/>
        <v>0.64</v>
      </c>
      <c r="D263" s="173">
        <f t="shared" si="21"/>
        <v>0.64</v>
      </c>
      <c r="E263" s="173">
        <f t="shared" si="21"/>
        <v>0.64</v>
      </c>
      <c r="F263" s="173">
        <f t="shared" si="21"/>
        <v>0.64</v>
      </c>
      <c r="G263" s="173">
        <f t="shared" si="21"/>
        <v>0.64</v>
      </c>
      <c r="H263" s="173">
        <f t="shared" si="21"/>
        <v>0.64</v>
      </c>
      <c r="I263" s="173">
        <f t="shared" si="21"/>
        <v>0.64</v>
      </c>
      <c r="J263" s="173">
        <f t="shared" si="21"/>
        <v>0.64</v>
      </c>
      <c r="K263" s="173">
        <f t="shared" si="21"/>
        <v>0.64</v>
      </c>
      <c r="L263" s="173">
        <f t="shared" si="21"/>
        <v>0.64</v>
      </c>
      <c r="M263" s="173">
        <f t="shared" si="21"/>
        <v>0.64</v>
      </c>
      <c r="N263" s="173">
        <f t="shared" si="21"/>
        <v>0.64</v>
      </c>
      <c r="O263" s="173">
        <f t="shared" si="21"/>
        <v>0.64</v>
      </c>
      <c r="P263" s="173">
        <f t="shared" si="21"/>
        <v>0</v>
      </c>
      <c r="Q263" s="173">
        <f t="shared" si="21"/>
        <v>0</v>
      </c>
      <c r="R263" s="173">
        <f t="shared" si="21"/>
        <v>0</v>
      </c>
      <c r="S263" s="173">
        <f t="shared" si="21"/>
        <v>0</v>
      </c>
      <c r="T263" s="173">
        <f t="shared" si="21"/>
        <v>0</v>
      </c>
      <c r="U263" s="173">
        <f t="shared" si="21"/>
        <v>0</v>
      </c>
      <c r="V263" s="173">
        <f t="shared" si="21"/>
        <v>0</v>
      </c>
      <c r="W263" s="173">
        <f t="shared" si="21"/>
        <v>0</v>
      </c>
      <c r="X263" s="173">
        <f t="shared" si="21"/>
        <v>0</v>
      </c>
      <c r="Y263" s="173">
        <f t="shared" si="21"/>
        <v>0</v>
      </c>
      <c r="Z263" s="173">
        <f t="shared" si="21"/>
        <v>0</v>
      </c>
      <c r="AA263" s="173">
        <f t="shared" si="21"/>
        <v>0</v>
      </c>
      <c r="AB263" s="173">
        <f t="shared" si="21"/>
        <v>0</v>
      </c>
      <c r="AC263" s="173">
        <f t="shared" si="21"/>
        <v>0</v>
      </c>
      <c r="AD263" s="173">
        <f t="shared" si="21"/>
        <v>0</v>
      </c>
      <c r="AE263" s="173">
        <f t="shared" si="21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2">IF(B231&lt;100,"",B231-520)</f>
        <v/>
      </c>
      <c r="C264" s="174" t="str">
        <f t="shared" si="22"/>
        <v/>
      </c>
      <c r="D264" s="174" t="str">
        <f t="shared" si="22"/>
        <v/>
      </c>
      <c r="E264" s="174" t="str">
        <f t="shared" si="22"/>
        <v/>
      </c>
      <c r="F264" s="174" t="str">
        <f t="shared" si="22"/>
        <v/>
      </c>
      <c r="G264" s="174" t="str">
        <f t="shared" si="22"/>
        <v/>
      </c>
      <c r="H264" s="174" t="str">
        <f t="shared" si="22"/>
        <v/>
      </c>
      <c r="I264" s="174" t="str">
        <f t="shared" si="22"/>
        <v/>
      </c>
      <c r="J264" s="174" t="str">
        <f t="shared" si="22"/>
        <v/>
      </c>
      <c r="K264" s="174" t="str">
        <f t="shared" si="22"/>
        <v/>
      </c>
      <c r="L264" s="174" t="str">
        <f t="shared" si="22"/>
        <v/>
      </c>
      <c r="M264" s="174" t="str">
        <f t="shared" si="22"/>
        <v/>
      </c>
      <c r="N264" s="174" t="str">
        <f t="shared" si="22"/>
        <v/>
      </c>
      <c r="O264" s="174" t="str">
        <f t="shared" si="22"/>
        <v/>
      </c>
      <c r="P264" s="174" t="str">
        <f t="shared" si="22"/>
        <v/>
      </c>
      <c r="Q264" s="174" t="str">
        <f t="shared" si="22"/>
        <v/>
      </c>
      <c r="R264" s="174" t="str">
        <f t="shared" si="22"/>
        <v/>
      </c>
      <c r="S264" s="174" t="str">
        <f t="shared" si="22"/>
        <v/>
      </c>
      <c r="T264" s="174" t="str">
        <f t="shared" si="22"/>
        <v/>
      </c>
      <c r="U264" s="174" t="str">
        <f t="shared" si="22"/>
        <v/>
      </c>
      <c r="V264" s="174" t="str">
        <f t="shared" si="22"/>
        <v/>
      </c>
      <c r="W264" s="174" t="str">
        <f t="shared" si="22"/>
        <v/>
      </c>
      <c r="X264" s="174" t="str">
        <f t="shared" si="22"/>
        <v/>
      </c>
      <c r="Y264" s="174" t="str">
        <f t="shared" si="22"/>
        <v/>
      </c>
      <c r="Z264" s="174" t="str">
        <f t="shared" si="22"/>
        <v/>
      </c>
      <c r="AA264" s="174" t="str">
        <f t="shared" si="22"/>
        <v/>
      </c>
      <c r="AB264" s="174" t="str">
        <f t="shared" si="22"/>
        <v/>
      </c>
      <c r="AC264" s="174" t="str">
        <f t="shared" si="22"/>
        <v/>
      </c>
      <c r="AD264" s="174" t="str">
        <f t="shared" si="22"/>
        <v/>
      </c>
      <c r="AE264" s="174" t="str">
        <f t="shared" si="22"/>
        <v/>
      </c>
      <c r="AF264" s="174" t="str">
        <f t="shared" si="22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3">IF(B232&lt;100,"",B232-620)</f>
        <v/>
      </c>
      <c r="C265" s="174" t="str">
        <f t="shared" si="23"/>
        <v/>
      </c>
      <c r="D265" s="174" t="str">
        <f t="shared" si="23"/>
        <v/>
      </c>
      <c r="E265" s="174" t="str">
        <f t="shared" si="23"/>
        <v/>
      </c>
      <c r="F265" s="174" t="str">
        <f t="shared" si="23"/>
        <v/>
      </c>
      <c r="G265" s="174" t="str">
        <f t="shared" si="23"/>
        <v/>
      </c>
      <c r="H265" s="174" t="str">
        <f t="shared" si="23"/>
        <v/>
      </c>
      <c r="I265" s="174" t="str">
        <f t="shared" si="23"/>
        <v/>
      </c>
      <c r="J265" s="174" t="str">
        <f t="shared" si="23"/>
        <v/>
      </c>
      <c r="K265" s="174" t="str">
        <f t="shared" si="23"/>
        <v/>
      </c>
      <c r="L265" s="174" t="str">
        <f t="shared" si="23"/>
        <v/>
      </c>
      <c r="M265" s="174" t="str">
        <f t="shared" si="23"/>
        <v/>
      </c>
      <c r="N265" s="174" t="str">
        <f t="shared" si="23"/>
        <v/>
      </c>
      <c r="O265" s="174" t="str">
        <f t="shared" si="23"/>
        <v/>
      </c>
      <c r="P265" s="174" t="str">
        <f t="shared" si="23"/>
        <v/>
      </c>
      <c r="Q265" s="174" t="str">
        <f t="shared" si="23"/>
        <v/>
      </c>
      <c r="R265" s="174" t="str">
        <f t="shared" si="23"/>
        <v/>
      </c>
      <c r="S265" s="174" t="str">
        <f t="shared" si="23"/>
        <v/>
      </c>
      <c r="T265" s="174" t="str">
        <f t="shared" si="23"/>
        <v/>
      </c>
      <c r="U265" s="174" t="str">
        <f t="shared" si="23"/>
        <v/>
      </c>
      <c r="V265" s="174" t="str">
        <f t="shared" si="23"/>
        <v/>
      </c>
      <c r="W265" s="174" t="str">
        <f t="shared" si="23"/>
        <v/>
      </c>
      <c r="X265" s="174" t="str">
        <f t="shared" si="23"/>
        <v/>
      </c>
      <c r="Y265" s="174" t="str">
        <f t="shared" si="23"/>
        <v/>
      </c>
      <c r="Z265" s="174" t="str">
        <f t="shared" si="23"/>
        <v/>
      </c>
      <c r="AA265" s="174" t="str">
        <f t="shared" si="23"/>
        <v/>
      </c>
      <c r="AB265" s="174" t="str">
        <f t="shared" si="23"/>
        <v/>
      </c>
      <c r="AC265" s="174" t="str">
        <f t="shared" si="23"/>
        <v/>
      </c>
      <c r="AD265" s="174" t="str">
        <f t="shared" si="23"/>
        <v/>
      </c>
      <c r="AE265" s="174" t="str">
        <f t="shared" si="23"/>
        <v/>
      </c>
      <c r="AF265" s="174" t="str">
        <f t="shared" si="23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4">IF(B233&lt;100,"",B233-330)</f>
        <v/>
      </c>
      <c r="C266" s="174" t="str">
        <f t="shared" si="24"/>
        <v/>
      </c>
      <c r="D266" s="174" t="str">
        <f t="shared" si="24"/>
        <v/>
      </c>
      <c r="E266" s="174" t="str">
        <f t="shared" si="24"/>
        <v/>
      </c>
      <c r="F266" s="174" t="str">
        <f t="shared" si="24"/>
        <v/>
      </c>
      <c r="G266" s="174" t="str">
        <f t="shared" si="24"/>
        <v/>
      </c>
      <c r="H266" s="174" t="str">
        <f t="shared" si="24"/>
        <v/>
      </c>
      <c r="I266" s="174" t="str">
        <f t="shared" si="24"/>
        <v/>
      </c>
      <c r="J266" s="174" t="str">
        <f t="shared" si="24"/>
        <v/>
      </c>
      <c r="K266" s="174" t="str">
        <f t="shared" si="24"/>
        <v/>
      </c>
      <c r="L266" s="174" t="str">
        <f t="shared" si="24"/>
        <v/>
      </c>
      <c r="M266" s="174" t="str">
        <f t="shared" si="24"/>
        <v/>
      </c>
      <c r="N266" s="174" t="str">
        <f t="shared" si="24"/>
        <v/>
      </c>
      <c r="O266" s="174" t="str">
        <f t="shared" si="24"/>
        <v/>
      </c>
      <c r="P266" s="174" t="str">
        <f t="shared" si="24"/>
        <v/>
      </c>
      <c r="Q266" s="174" t="str">
        <f t="shared" si="24"/>
        <v/>
      </c>
      <c r="R266" s="174" t="str">
        <f t="shared" si="24"/>
        <v/>
      </c>
      <c r="S266" s="174" t="str">
        <f t="shared" si="24"/>
        <v/>
      </c>
      <c r="T266" s="174" t="str">
        <f t="shared" si="24"/>
        <v/>
      </c>
      <c r="U266" s="174" t="str">
        <f t="shared" si="24"/>
        <v/>
      </c>
      <c r="V266" s="174" t="str">
        <f t="shared" si="24"/>
        <v/>
      </c>
      <c r="W266" s="174" t="str">
        <f t="shared" si="24"/>
        <v/>
      </c>
      <c r="X266" s="174" t="str">
        <f t="shared" si="24"/>
        <v/>
      </c>
      <c r="Y266" s="174" t="str">
        <f t="shared" si="24"/>
        <v/>
      </c>
      <c r="Z266" s="174" t="str">
        <f t="shared" si="24"/>
        <v/>
      </c>
      <c r="AA266" s="174" t="str">
        <f t="shared" si="24"/>
        <v/>
      </c>
      <c r="AB266" s="174" t="str">
        <f t="shared" si="24"/>
        <v/>
      </c>
      <c r="AC266" s="174" t="str">
        <f t="shared" si="24"/>
        <v/>
      </c>
      <c r="AD266" s="174" t="str">
        <f t="shared" si="24"/>
        <v/>
      </c>
      <c r="AE266" s="174" t="str">
        <f t="shared" si="24"/>
        <v/>
      </c>
      <c r="AF266" s="174" t="str">
        <f t="shared" si="24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5">IF(B234&lt;100,"",B234-1500)</f>
        <v/>
      </c>
      <c r="C267" s="174" t="str">
        <f t="shared" si="25"/>
        <v/>
      </c>
      <c r="D267" s="174" t="str">
        <f t="shared" si="25"/>
        <v/>
      </c>
      <c r="E267" s="174" t="str">
        <f t="shared" si="25"/>
        <v/>
      </c>
      <c r="F267" s="174" t="str">
        <f t="shared" si="25"/>
        <v/>
      </c>
      <c r="G267" s="174" t="str">
        <f t="shared" si="25"/>
        <v/>
      </c>
      <c r="H267" s="174" t="str">
        <f t="shared" si="25"/>
        <v/>
      </c>
      <c r="I267" s="174" t="str">
        <f t="shared" si="25"/>
        <v/>
      </c>
      <c r="J267" s="174" t="str">
        <f t="shared" si="25"/>
        <v/>
      </c>
      <c r="K267" s="174" t="str">
        <f t="shared" si="25"/>
        <v/>
      </c>
      <c r="L267" s="174" t="str">
        <f t="shared" si="25"/>
        <v/>
      </c>
      <c r="M267" s="174" t="str">
        <f t="shared" si="25"/>
        <v/>
      </c>
      <c r="N267" s="174" t="str">
        <f t="shared" si="25"/>
        <v/>
      </c>
      <c r="O267" s="174" t="str">
        <f t="shared" si="25"/>
        <v/>
      </c>
      <c r="P267" s="174" t="str">
        <f t="shared" si="25"/>
        <v/>
      </c>
      <c r="Q267" s="174" t="str">
        <f t="shared" si="25"/>
        <v/>
      </c>
      <c r="R267" s="174" t="str">
        <f t="shared" si="25"/>
        <v/>
      </c>
      <c r="S267" s="174" t="str">
        <f t="shared" si="25"/>
        <v/>
      </c>
      <c r="T267" s="174" t="str">
        <f t="shared" si="25"/>
        <v/>
      </c>
      <c r="U267" s="174" t="str">
        <f t="shared" si="25"/>
        <v/>
      </c>
      <c r="V267" s="174" t="str">
        <f t="shared" si="25"/>
        <v/>
      </c>
      <c r="W267" s="174" t="str">
        <f t="shared" si="25"/>
        <v/>
      </c>
      <c r="X267" s="174" t="str">
        <f t="shared" si="25"/>
        <v/>
      </c>
      <c r="Y267" s="174" t="str">
        <f t="shared" si="25"/>
        <v/>
      </c>
      <c r="Z267" s="174" t="str">
        <f t="shared" si="25"/>
        <v/>
      </c>
      <c r="AA267" s="174" t="str">
        <f t="shared" si="25"/>
        <v/>
      </c>
      <c r="AB267" s="174" t="str">
        <f t="shared" si="25"/>
        <v/>
      </c>
      <c r="AC267" s="174" t="str">
        <f t="shared" si="25"/>
        <v/>
      </c>
      <c r="AD267" s="174" t="str">
        <f t="shared" si="25"/>
        <v/>
      </c>
      <c r="AE267" s="174" t="str">
        <f t="shared" si="25"/>
        <v/>
      </c>
      <c r="AF267" s="174" t="str">
        <f t="shared" si="25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5:AF105 D107:AF112 Y11:AF41">
    <cfRule type="expression" dxfId="3018" priority="234">
      <formula>B$9&gt;=20/24</formula>
    </cfRule>
    <cfRule type="expression" dxfId="3017" priority="235">
      <formula>AND(B$9&gt;=14/24,B$9&lt;20/24)</formula>
    </cfRule>
    <cfRule type="expression" dxfId="3016" priority="236">
      <formula>AND(B$9&gt;=8/24,B$9&lt;14/24)</formula>
    </cfRule>
    <cfRule type="expression" dxfId="3015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G61 Y11:AF41">
    <cfRule type="expression" dxfId="3014" priority="232">
      <formula>Y11&gt;$AG11</formula>
    </cfRule>
  </conditionalFormatting>
  <conditionalFormatting sqref="A95:A105 A55:A82 A91:A93 A198:A228 A42:A53 A114:A185 A38:A39 A87:A89 A84:A85 A107:A109 A35:A36 A17:A18 A11:A15 A20:A33">
    <cfRule type="expression" dxfId="3013" priority="231">
      <formula>$AH11=0</formula>
    </cfRule>
  </conditionalFormatting>
  <conditionalFormatting sqref="A110">
    <cfRule type="expression" dxfId="3012" priority="230">
      <formula>$AH110=0</formula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3011" priority="228">
      <formula>$AH41=0</formula>
    </cfRule>
  </conditionalFormatting>
  <conditionalFormatting sqref="A94">
    <cfRule type="expression" dxfId="3010" priority="227">
      <formula>$AH94=0</formula>
    </cfRule>
  </conditionalFormatting>
  <conditionalFormatting sqref="A16">
    <cfRule type="expression" dxfId="3009" priority="226">
      <formula>$AH16=0</formula>
    </cfRule>
  </conditionalFormatting>
  <conditionalFormatting sqref="A192:A197">
    <cfRule type="expression" dxfId="3008" priority="225">
      <formula>$AH192=0</formula>
    </cfRule>
  </conditionalFormatting>
  <conditionalFormatting sqref="A186:A191">
    <cfRule type="expression" dxfId="3007" priority="224">
      <formula>$AH186=0</formula>
    </cfRule>
  </conditionalFormatting>
  <conditionalFormatting sqref="A54">
    <cfRule type="expression" dxfId="3006" priority="223">
      <formula>$AH54=0</formula>
    </cfRule>
  </conditionalFormatting>
  <conditionalFormatting sqref="A90">
    <cfRule type="expression" dxfId="3005" priority="222">
      <formula>$AH90=0</formula>
    </cfRule>
  </conditionalFormatting>
  <conditionalFormatting sqref="AD95:AF95 E95:X95">
    <cfRule type="expression" dxfId="3004" priority="218">
      <formula>E$9&gt;=20/24</formula>
    </cfRule>
    <cfRule type="expression" dxfId="3003" priority="219">
      <formula>AND(E$9&gt;=14/24,E$9&lt;20/24)</formula>
    </cfRule>
    <cfRule type="expression" dxfId="3002" priority="220">
      <formula>AND(E$9&gt;=8/24,E$9&lt;14/24)</formula>
    </cfRule>
    <cfRule type="expression" dxfId="3001" priority="221">
      <formula>E$9&lt;8/24</formula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000" priority="240">
      <formula>C$9&gt;=20/24</formula>
    </cfRule>
    <cfRule type="expression" dxfId="2999" priority="241">
      <formula>AND(C$9&gt;=14/24,C$9&lt;20/24)</formula>
    </cfRule>
    <cfRule type="expression" dxfId="2998" priority="242">
      <formula>AND(C$9&gt;=8/24,C$9&lt;14/24)</formula>
    </cfRule>
    <cfRule type="expression" dxfId="2997" priority="243">
      <formula>C$9&lt;8/24</formula>
    </cfRule>
  </conditionalFormatting>
  <conditionalFormatting sqref="A229">
    <cfRule type="expression" dxfId="2996" priority="244">
      <formula>$AH229=0</formula>
    </cfRule>
  </conditionalFormatting>
  <conditionalFormatting sqref="AG241">
    <cfRule type="expression" dxfId="2995" priority="245">
      <formula>B$9&gt;=20/24</formula>
    </cfRule>
    <cfRule type="expression" dxfId="2994" priority="246">
      <formula>AND(B$9&gt;=14/24,B$9&lt;20/24)</formula>
    </cfRule>
    <cfRule type="expression" dxfId="2993" priority="247">
      <formula>AND(B$9&gt;=8/24,B$9&lt;14/24)</formula>
    </cfRule>
    <cfRule type="expression" dxfId="2992" priority="248">
      <formula>B$9&lt;8/24</formula>
    </cfRule>
  </conditionalFormatting>
  <conditionalFormatting sqref="S8">
    <cfRule type="expression" dxfId="2991" priority="213">
      <formula>U$9&gt;=20/24</formula>
    </cfRule>
    <cfRule type="expression" dxfId="2990" priority="214">
      <formula>AND(U$9&gt;=14/24,U$9&lt;20/24)</formula>
    </cfRule>
    <cfRule type="expression" dxfId="2989" priority="215">
      <formula>AND(U$9&gt;=8/24,U$9&lt;14/24)</formula>
    </cfRule>
    <cfRule type="expression" dxfId="2988" priority="216">
      <formula>U$9&lt;8/24</formula>
    </cfRule>
  </conditionalFormatting>
  <conditionalFormatting sqref="AB8">
    <cfRule type="expression" dxfId="2987" priority="209">
      <formula>AD$9&gt;=20/24</formula>
    </cfRule>
    <cfRule type="expression" dxfId="2986" priority="210">
      <formula>AND(AD$9&gt;=14/24,AD$9&lt;20/24)</formula>
    </cfRule>
    <cfRule type="expression" dxfId="2985" priority="211">
      <formula>AND(AD$9&gt;=8/24,AD$9&lt;14/24)</formula>
    </cfRule>
    <cfRule type="expression" dxfId="2984" priority="212">
      <formula>AD$9&lt;8/24</formula>
    </cfRule>
  </conditionalFormatting>
  <conditionalFormatting sqref="AH241:AX241">
    <cfRule type="expression" dxfId="2983" priority="249">
      <formula>AG$9&gt;=20/24</formula>
    </cfRule>
    <cfRule type="expression" dxfId="2982" priority="250">
      <formula>AND(AG$9&gt;=14/24,AG$9&lt;20/24)</formula>
    </cfRule>
    <cfRule type="expression" dxfId="2981" priority="251">
      <formula>AND(AG$9&gt;=8/24,AG$9&lt;14/24)</formula>
    </cfRule>
    <cfRule type="expression" dxfId="2980" priority="252">
      <formula>AG$9&lt;8/24</formula>
    </cfRule>
  </conditionalFormatting>
  <conditionalFormatting sqref="T241">
    <cfRule type="expression" dxfId="2979" priority="253">
      <formula>AX$9&gt;=20/24</formula>
    </cfRule>
    <cfRule type="expression" dxfId="2978" priority="254">
      <formula>AND(AX$9&gt;=14/24,AX$9&lt;20/24)</formula>
    </cfRule>
    <cfRule type="expression" dxfId="2977" priority="255">
      <formula>AND(AX$9&gt;=8/24,AX$9&lt;14/24)</formula>
    </cfRule>
    <cfRule type="expression" dxfId="2976" priority="256">
      <formula>AX$9&lt;8/24</formula>
    </cfRule>
  </conditionalFormatting>
  <conditionalFormatting sqref="A111:A112">
    <cfRule type="expression" dxfId="2975" priority="208">
      <formula>$AH111=0</formula>
    </cfRule>
  </conditionalFormatting>
  <conditionalFormatting sqref="M50:Q52 P53:Q56 M53:O53 R55:W56 X56 AC50:AF51 E67:AF67 X52:AF53">
    <cfRule type="expression" dxfId="2974" priority="204">
      <formula>E$9&gt;=20/24</formula>
    </cfRule>
    <cfRule type="expression" dxfId="2973" priority="205">
      <formula>AND(E$9&gt;=14/24,E$9&lt;20/24)</formula>
    </cfRule>
    <cfRule type="expression" dxfId="2972" priority="206">
      <formula>AND(E$9&gt;=8/24,E$9&lt;14/24)</formula>
    </cfRule>
    <cfRule type="expression" dxfId="2971" priority="207">
      <formula>E$9&lt;8/24</formula>
    </cfRule>
  </conditionalFormatting>
  <conditionalFormatting sqref="M49:Q49 AC49:AF49">
    <cfRule type="expression" dxfId="2970" priority="200">
      <formula>M$9&gt;=20/24</formula>
    </cfRule>
    <cfRule type="expression" dxfId="2969" priority="201">
      <formula>AND(M$9&gt;=14/24,M$9&lt;20/24)</formula>
    </cfRule>
    <cfRule type="expression" dxfId="2968" priority="202">
      <formula>AND(M$9&gt;=8/24,M$9&lt;14/24)</formula>
    </cfRule>
    <cfRule type="expression" dxfId="2967" priority="203">
      <formula>M$9&lt;8/24</formula>
    </cfRule>
  </conditionalFormatting>
  <conditionalFormatting sqref="M49:Q52 P53:Q56 M53:O53 R55:W56 X56 AC49:AF51 X52:AF53">
    <cfRule type="expression" dxfId="2966" priority="199">
      <formula>M49&gt;$AG49</formula>
    </cfRule>
  </conditionalFormatting>
  <conditionalFormatting sqref="M96:X102 X43:AF43 X63:AF65 X92:AF92 D82:AF82 E68:AF69 X70:AF70">
    <cfRule type="expression" dxfId="2965" priority="195">
      <formula>D$9&gt;=20/24</formula>
    </cfRule>
    <cfRule type="expression" dxfId="2964" priority="196">
      <formula>AND(D$9&gt;=14/24,D$9&lt;20/24)</formula>
    </cfRule>
    <cfRule type="expression" dxfId="2963" priority="197">
      <formula>AND(D$9&gt;=8/24,D$9&lt;14/24)</formula>
    </cfRule>
    <cfRule type="expression" dxfId="2962" priority="198">
      <formula>D$9&lt;8/24</formula>
    </cfRule>
  </conditionalFormatting>
  <conditionalFormatting sqref="X43:AF43 X63:AF65">
    <cfRule type="expression" dxfId="2961" priority="194">
      <formula>X43&gt;$AG43</formula>
    </cfRule>
  </conditionalFormatting>
  <conditionalFormatting sqref="R49:W54 X49:AB51">
    <cfRule type="expression" dxfId="2960" priority="190">
      <formula>R$9&gt;=20/24</formula>
    </cfRule>
    <cfRule type="expression" dxfId="2959" priority="191">
      <formula>AND(R$9&gt;=14/24,R$9&lt;20/24)</formula>
    </cfRule>
    <cfRule type="expression" dxfId="2958" priority="192">
      <formula>AND(R$9&gt;=8/24,R$9&lt;14/24)</formula>
    </cfRule>
    <cfRule type="expression" dxfId="2957" priority="193">
      <formula>R$9&lt;8/24</formula>
    </cfRule>
  </conditionalFormatting>
  <conditionalFormatting sqref="R49:W54 X49:AB51">
    <cfRule type="expression" dxfId="2956" priority="189">
      <formula>R49&gt;$AG49</formula>
    </cfRule>
  </conditionalFormatting>
  <conditionalFormatting sqref="C84:AF84 C93:AF93">
    <cfRule type="expression" dxfId="2955" priority="185">
      <formula>C$9&gt;=20/24</formula>
    </cfRule>
    <cfRule type="expression" dxfId="2954" priority="186">
      <formula>AND(C$9&gt;=14/24,C$9&lt;20/24)</formula>
    </cfRule>
    <cfRule type="expression" dxfId="2953" priority="187">
      <formula>AND(C$9&gt;=8/24,C$9&lt;14/24)</formula>
    </cfRule>
    <cfRule type="expression" dxfId="2952" priority="188">
      <formula>C$9&lt;8/24</formula>
    </cfRule>
  </conditionalFormatting>
  <conditionalFormatting sqref="T43:W43">
    <cfRule type="expression" dxfId="2951" priority="181">
      <formula>T$9&gt;=20/24</formula>
    </cfRule>
    <cfRule type="expression" dxfId="2950" priority="182">
      <formula>AND(T$9&gt;=14/24,T$9&lt;20/24)</formula>
    </cfRule>
    <cfRule type="expression" dxfId="2949" priority="183">
      <formula>AND(T$9&gt;=8/24,T$9&lt;14/24)</formula>
    </cfRule>
    <cfRule type="expression" dxfId="2948" priority="184">
      <formula>T$9&lt;8/24</formula>
    </cfRule>
  </conditionalFormatting>
  <conditionalFormatting sqref="T43:W43">
    <cfRule type="expression" dxfId="2947" priority="180">
      <formula>T43&gt;$AG43</formula>
    </cfRule>
  </conditionalFormatting>
  <conditionalFormatting sqref="E50:L51 Y42:AF42">
    <cfRule type="expression" dxfId="2946" priority="176">
      <formula>E$9&gt;=20/24</formula>
    </cfRule>
    <cfRule type="expression" dxfId="2945" priority="177">
      <formula>AND(E$9&gt;=14/24,E$9&lt;20/24)</formula>
    </cfRule>
    <cfRule type="expression" dxfId="2944" priority="178">
      <formula>AND(E$9&gt;=8/24,E$9&lt;14/24)</formula>
    </cfRule>
    <cfRule type="expression" dxfId="2943" priority="179">
      <formula>E$9&lt;8/24</formula>
    </cfRule>
  </conditionalFormatting>
  <conditionalFormatting sqref="E49:L49">
    <cfRule type="expression" dxfId="2942" priority="172">
      <formula>E$9&gt;=20/24</formula>
    </cfRule>
    <cfRule type="expression" dxfId="2941" priority="173">
      <formula>AND(E$9&gt;=14/24,E$9&lt;20/24)</formula>
    </cfRule>
    <cfRule type="expression" dxfId="2940" priority="174">
      <formula>AND(E$9&gt;=8/24,E$9&lt;14/24)</formula>
    </cfRule>
    <cfRule type="expression" dxfId="2939" priority="175">
      <formula>E$9&lt;8/24</formula>
    </cfRule>
  </conditionalFormatting>
  <conditionalFormatting sqref="E49:L51 Y42:AF42">
    <cfRule type="expression" dxfId="2938" priority="171">
      <formula>E42&gt;$AG42</formula>
    </cfRule>
  </conditionalFormatting>
  <conditionalFormatting sqref="AG66 AG83 Q63:W65 E96:L102">
    <cfRule type="expression" dxfId="2937" priority="167">
      <formula>E$9&gt;=20/24</formula>
    </cfRule>
    <cfRule type="expression" dxfId="2936" priority="168">
      <formula>AND(E$9&gt;=14/24,E$9&lt;20/24)</formula>
    </cfRule>
    <cfRule type="expression" dxfId="2935" priority="169">
      <formula>AND(E$9&gt;=8/24,E$9&lt;14/24)</formula>
    </cfRule>
    <cfRule type="expression" dxfId="2934" priority="170">
      <formula>E$9&lt;8/24</formula>
    </cfRule>
  </conditionalFormatting>
  <conditionalFormatting sqref="AG44 AG62 AG66 Q63:W65">
    <cfRule type="expression" dxfId="2933" priority="166">
      <formula>Q44&gt;$AG44</formula>
    </cfRule>
  </conditionalFormatting>
  <conditionalFormatting sqref="X54:AF54">
    <cfRule type="expression" dxfId="2932" priority="162">
      <formula>X$9&gt;=20/24</formula>
    </cfRule>
    <cfRule type="expression" dxfId="2931" priority="163">
      <formula>AND(X$9&gt;=14/24,X$9&lt;20/24)</formula>
    </cfRule>
    <cfRule type="expression" dxfId="2930" priority="164">
      <formula>AND(X$9&gt;=8/24,X$9&lt;14/24)</formula>
    </cfRule>
    <cfRule type="expression" dxfId="2929" priority="165">
      <formula>X$9&lt;8/24</formula>
    </cfRule>
  </conditionalFormatting>
  <conditionalFormatting sqref="X54:AF54">
    <cfRule type="expression" dxfId="2928" priority="161">
      <formula>X54&gt;$AG54</formula>
    </cfRule>
  </conditionalFormatting>
  <conditionalFormatting sqref="A40">
    <cfRule type="expression" dxfId="2927" priority="160">
      <formula>$AH40=0</formula>
    </cfRule>
  </conditionalFormatting>
  <conditionalFormatting sqref="X87:AF91">
    <cfRule type="expression" dxfId="2926" priority="156">
      <formula>X$9&gt;=20/24</formula>
    </cfRule>
    <cfRule type="expression" dxfId="2925" priority="157">
      <formula>AND(X$9&gt;=14/24,X$9&lt;20/24)</formula>
    </cfRule>
    <cfRule type="expression" dxfId="2924" priority="158">
      <formula>AND(X$9&gt;=8/24,X$9&lt;14/24)</formula>
    </cfRule>
    <cfRule type="expression" dxfId="2923" priority="159">
      <formula>X$9&lt;8/24</formula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G45:AF47">
    <cfRule type="expression" dxfId="2922" priority="152">
      <formula>G$9&gt;=20/24</formula>
    </cfRule>
    <cfRule type="expression" dxfId="2921" priority="153">
      <formula>AND(G$9&gt;=14/24,G$9&lt;20/24)</formula>
    </cfRule>
    <cfRule type="expression" dxfId="2920" priority="154">
      <formula>AND(G$9&gt;=8/24,G$9&lt;14/24)</formula>
    </cfRule>
    <cfRule type="expression" dxfId="2919" priority="155">
      <formula>G$9&lt;8/24</formula>
    </cfRule>
  </conditionalFormatting>
  <conditionalFormatting sqref="G45:AF47">
    <cfRule type="expression" dxfId="2918" priority="151">
      <formula>G45&gt;$AG45</formula>
    </cfRule>
  </conditionalFormatting>
  <conditionalFormatting sqref="AG48">
    <cfRule type="expression" dxfId="2917" priority="147">
      <formula>AG$9&gt;=20/24</formula>
    </cfRule>
    <cfRule type="expression" dxfId="2916" priority="148">
      <formula>AND(AG$9&gt;=14/24,AG$9&lt;20/24)</formula>
    </cfRule>
    <cfRule type="expression" dxfId="2915" priority="149">
      <formula>AND(AG$9&gt;=8/24,AG$9&lt;14/24)</formula>
    </cfRule>
    <cfRule type="expression" dxfId="2914" priority="150">
      <formula>AG$9&lt;8/24</formula>
    </cfRule>
  </conditionalFormatting>
  <conditionalFormatting sqref="AG48">
    <cfRule type="expression" dxfId="2913" priority="146">
      <formula>AG48&gt;$AG48</formula>
    </cfRule>
  </conditionalFormatting>
  <conditionalFormatting sqref="C103:AF103">
    <cfRule type="expression" dxfId="2912" priority="142">
      <formula>C$9&gt;=20/24</formula>
    </cfRule>
    <cfRule type="expression" dxfId="2911" priority="143">
      <formula>AND(C$9&gt;=14/24,C$9&lt;20/24)</formula>
    </cfRule>
    <cfRule type="expression" dxfId="2910" priority="144">
      <formula>AND(C$9&gt;=8/24,C$9&lt;14/24)</formula>
    </cfRule>
    <cfRule type="expression" dxfId="2909" priority="145">
      <formula>C$9&lt;8/24</formula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2908" priority="140">
      <formula>$AH37=0</formula>
    </cfRule>
  </conditionalFormatting>
  <conditionalFormatting sqref="A86">
    <cfRule type="expression" dxfId="2907" priority="138">
      <formula>$AH86=0</formula>
    </cfRule>
  </conditionalFormatting>
  <conditionalFormatting sqref="A83">
    <cfRule type="expression" dxfId="2906" priority="139">
      <formula>$AH83=0</formula>
    </cfRule>
  </conditionalFormatting>
  <conditionalFormatting sqref="A113">
    <cfRule type="expression" dxfId="2905" priority="129">
      <formula>$AH113=0</formula>
    </cfRule>
  </conditionalFormatting>
  <conditionalFormatting sqref="D106:AF106">
    <cfRule type="expression" dxfId="2904" priority="125">
      <formula>D$9&gt;=20/24</formula>
    </cfRule>
    <cfRule type="expression" dxfId="2903" priority="126">
      <formula>AND(D$9&gt;=14/24,D$9&lt;20/24)</formula>
    </cfRule>
    <cfRule type="expression" dxfId="2902" priority="127">
      <formula>AND(D$9&gt;=8/24,D$9&lt;14/24)</formula>
    </cfRule>
    <cfRule type="expression" dxfId="2901" priority="128">
      <formula>D$9&lt;8/24</formula>
    </cfRule>
  </conditionalFormatting>
  <conditionalFormatting sqref="A106">
    <cfRule type="expression" dxfId="2900" priority="124">
      <formula>$AH106=0</formula>
    </cfRule>
  </conditionalFormatting>
  <conditionalFormatting sqref="A19">
    <cfRule type="expression" dxfId="2899" priority="122">
      <formula>$AH19=0</formula>
    </cfRule>
  </conditionalFormatting>
  <conditionalFormatting sqref="AL19">
    <cfRule type="iconSet" priority="123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2898" priority="120">
      <formula>$AH34=0</formula>
    </cfRule>
  </conditionalFormatting>
  <conditionalFormatting sqref="AL34">
    <cfRule type="iconSet" priority="121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2897" priority="116">
      <formula>Y$9&gt;=20/24</formula>
    </cfRule>
    <cfRule type="expression" dxfId="2896" priority="117">
      <formula>AND(Y$9&gt;=14/24,Y$9&lt;20/24)</formula>
    </cfRule>
    <cfRule type="expression" dxfId="2895" priority="118">
      <formula>AND(Y$9&gt;=8/24,Y$9&lt;14/24)</formula>
    </cfRule>
    <cfRule type="expression" dxfId="2894" priority="119">
      <formula>Y$9&lt;8/24</formula>
    </cfRule>
  </conditionalFormatting>
  <conditionalFormatting sqref="Y96:AF102">
    <cfRule type="expression" dxfId="2893" priority="112">
      <formula>Y$9&gt;=20/24</formula>
    </cfRule>
    <cfRule type="expression" dxfId="2892" priority="113">
      <formula>AND(Y$9&gt;=14/24,Y$9&lt;20/24)</formula>
    </cfRule>
    <cfRule type="expression" dxfId="2891" priority="114">
      <formula>AND(Y$9&gt;=8/24,Y$9&lt;14/24)</formula>
    </cfRule>
    <cfRule type="expression" dxfId="2890" priority="115">
      <formula>Y$9&lt;8/24</formula>
    </cfRule>
  </conditionalFormatting>
  <conditionalFormatting sqref="B105:C105 B107:C112 B15:X40">
    <cfRule type="expression" dxfId="2889" priority="108">
      <formula>B$9&gt;=20/24</formula>
    </cfRule>
    <cfRule type="expression" dxfId="2888" priority="109">
      <formula>AND(B$9&gt;=14/24,B$9&lt;20/24)</formula>
    </cfRule>
    <cfRule type="expression" dxfId="2887" priority="110">
      <formula>AND(B$9&gt;=8/24,B$9&lt;14/24)</formula>
    </cfRule>
    <cfRule type="expression" dxfId="2886" priority="111">
      <formula>B$9&lt;8/24</formula>
    </cfRule>
  </conditionalFormatting>
  <conditionalFormatting sqref="B43:S43">
    <cfRule type="expression" dxfId="2885" priority="104">
      <formula>B$9&gt;=20/24</formula>
    </cfRule>
    <cfRule type="expression" dxfId="2884" priority="105">
      <formula>AND(B$9&gt;=14/24,B$9&lt;20/24)</formula>
    </cfRule>
    <cfRule type="expression" dxfId="2883" priority="106">
      <formula>AND(B$9&gt;=8/24,B$9&lt;14/24)</formula>
    </cfRule>
    <cfRule type="expression" dxfId="2882" priority="107">
      <formula>B$9&lt;8/24</formula>
    </cfRule>
  </conditionalFormatting>
  <conditionalFormatting sqref="B43:S43 B15:X40">
    <cfRule type="expression" dxfId="2881" priority="103">
      <formula>B15&gt;$AG15</formula>
    </cfRule>
  </conditionalFormatting>
  <conditionalFormatting sqref="B95:D95">
    <cfRule type="expression" dxfId="2880" priority="99">
      <formula>B$9&gt;=20/24</formula>
    </cfRule>
    <cfRule type="expression" dxfId="2879" priority="100">
      <formula>AND(B$9&gt;=14/24,B$9&lt;20/24)</formula>
    </cfRule>
    <cfRule type="expression" dxfId="2878" priority="101">
      <formula>AND(B$9&gt;=8/24,B$9&lt;14/24)</formula>
    </cfRule>
    <cfRule type="expression" dxfId="2877" priority="102">
      <formula>B$9&lt;8/24</formula>
    </cfRule>
  </conditionalFormatting>
  <conditionalFormatting sqref="B50:D51 B67:D67">
    <cfRule type="expression" dxfId="2876" priority="95">
      <formula>B$9&gt;=20/24</formula>
    </cfRule>
    <cfRule type="expression" dxfId="2875" priority="96">
      <formula>AND(B$9&gt;=14/24,B$9&lt;20/24)</formula>
    </cfRule>
    <cfRule type="expression" dxfId="2874" priority="97">
      <formula>AND(B$9&gt;=8/24,B$9&lt;14/24)</formula>
    </cfRule>
    <cfRule type="expression" dxfId="2873" priority="98">
      <formula>B$9&lt;8/24</formula>
    </cfRule>
  </conditionalFormatting>
  <conditionalFormatting sqref="B49:D49">
    <cfRule type="expression" dxfId="2872" priority="91">
      <formula>B$9&gt;=20/24</formula>
    </cfRule>
    <cfRule type="expression" dxfId="2871" priority="92">
      <formula>AND(B$9&gt;=14/24,B$9&lt;20/24)</formula>
    </cfRule>
    <cfRule type="expression" dxfId="2870" priority="93">
      <formula>AND(B$9&gt;=8/24,B$9&lt;14/24)</formula>
    </cfRule>
    <cfRule type="expression" dxfId="2869" priority="94">
      <formula>B$9&lt;8/24</formula>
    </cfRule>
  </conditionalFormatting>
  <conditionalFormatting sqref="B49:D51">
    <cfRule type="expression" dxfId="2868" priority="90">
      <formula>B49&gt;$AG49</formula>
    </cfRule>
  </conditionalFormatting>
  <conditionalFormatting sqref="B82:C82 B96:D102 B92:W92 B79:AF81 B68:D77 B63:P65 Q73:Q77 E70:W72 X71:AF72">
    <cfRule type="expression" dxfId="2867" priority="86">
      <formula>B$9&gt;=20/24</formula>
    </cfRule>
    <cfRule type="expression" dxfId="2866" priority="87">
      <formula>AND(B$9&gt;=14/24,B$9&lt;20/24)</formula>
    </cfRule>
    <cfRule type="expression" dxfId="2865" priority="88">
      <formula>AND(B$9&gt;=8/24,B$9&lt;14/24)</formula>
    </cfRule>
    <cfRule type="expression" dxfId="2864" priority="89">
      <formula>B$9&lt;8/24</formula>
    </cfRule>
  </conditionalFormatting>
  <conditionalFormatting sqref="B52:L53 B63:P65">
    <cfRule type="expression" dxfId="2863" priority="85">
      <formula>B52&gt;$AG52</formula>
    </cfRule>
  </conditionalFormatting>
  <conditionalFormatting sqref="B54:O54">
    <cfRule type="expression" dxfId="2862" priority="81">
      <formula>B$9&gt;=20/24</formula>
    </cfRule>
    <cfRule type="expression" dxfId="2861" priority="82">
      <formula>AND(B$9&gt;=14/24,B$9&lt;20/24)</formula>
    </cfRule>
    <cfRule type="expression" dxfId="2860" priority="83">
      <formula>AND(B$9&gt;=8/24,B$9&lt;14/24)</formula>
    </cfRule>
    <cfRule type="expression" dxfId="2859" priority="84">
      <formula>B$9&lt;8/24</formula>
    </cfRule>
  </conditionalFormatting>
  <conditionalFormatting sqref="B54:O54">
    <cfRule type="expression" dxfId="2858" priority="80">
      <formula>B54&gt;$AG54</formula>
    </cfRule>
  </conditionalFormatting>
  <conditionalFormatting sqref="B84 B93">
    <cfRule type="expression" dxfId="2857" priority="76">
      <formula>B$9&gt;=20/24</formula>
    </cfRule>
    <cfRule type="expression" dxfId="2856" priority="77">
      <formula>AND(B$9&gt;=14/24,B$9&lt;20/24)</formula>
    </cfRule>
    <cfRule type="expression" dxfId="2855" priority="78">
      <formula>AND(B$9&gt;=8/24,B$9&lt;14/24)</formula>
    </cfRule>
    <cfRule type="expression" dxfId="2854" priority="79">
      <formula>B$9&lt;8/24</formula>
    </cfRule>
  </conditionalFormatting>
  <conditionalFormatting sqref="B42:X42">
    <cfRule type="expression" dxfId="2853" priority="72">
      <formula>B$9&gt;=20/24</formula>
    </cfRule>
    <cfRule type="expression" dxfId="2852" priority="73">
      <formula>AND(B$9&gt;=14/24,B$9&lt;20/24)</formula>
    </cfRule>
    <cfRule type="expression" dxfId="2851" priority="74">
      <formula>AND(B$9&gt;=8/24,B$9&lt;14/24)</formula>
    </cfRule>
    <cfRule type="expression" dxfId="2850" priority="75">
      <formula>B$9&lt;8/24</formula>
    </cfRule>
  </conditionalFormatting>
  <conditionalFormatting sqref="B42:X42">
    <cfRule type="expression" dxfId="2849" priority="71">
      <formula>B42&gt;$AG42</formula>
    </cfRule>
  </conditionalFormatting>
  <conditionalFormatting sqref="B66:AF66 B85:AF85 B94:AF94 B83:AF83">
    <cfRule type="expression" dxfId="2848" priority="67">
      <formula>B$9&gt;=20/24</formula>
    </cfRule>
    <cfRule type="expression" dxfId="2847" priority="68">
      <formula>AND(B$9&gt;=14/24,B$9&lt;20/24)</formula>
    </cfRule>
    <cfRule type="expression" dxfId="2846" priority="69">
      <formula>AND(B$9&gt;=8/24,B$9&lt;14/24)</formula>
    </cfRule>
    <cfRule type="expression" dxfId="2845" priority="70">
      <formula>B$9&lt;8/24</formula>
    </cfRule>
  </conditionalFormatting>
  <conditionalFormatting sqref="B44:AF44 B66:AF66 B61:AF62">
    <cfRule type="expression" dxfId="2844" priority="66">
      <formula>B44&gt;$AG44</formula>
    </cfRule>
  </conditionalFormatting>
  <conditionalFormatting sqref="B78:AF78">
    <cfRule type="expression" dxfId="2843" priority="62">
      <formula>B$9&gt;=20/24</formula>
    </cfRule>
    <cfRule type="expression" dxfId="2842" priority="63">
      <formula>AND(B$9&gt;=14/24,B$9&lt;20/24)</formula>
    </cfRule>
    <cfRule type="expression" dxfId="2841" priority="64">
      <formula>AND(B$9&gt;=8/24,B$9&lt;14/24)</formula>
    </cfRule>
    <cfRule type="expression" dxfId="2840" priority="65">
      <formula>B$9&lt;8/24</formula>
    </cfRule>
  </conditionalFormatting>
  <conditionalFormatting sqref="B87:W91">
    <cfRule type="expression" dxfId="2839" priority="58">
      <formula>B$9&gt;=20/24</formula>
    </cfRule>
    <cfRule type="expression" dxfId="2838" priority="59">
      <formula>AND(B$9&gt;=14/24,B$9&lt;20/24)</formula>
    </cfRule>
    <cfRule type="expression" dxfId="2837" priority="60">
      <formula>AND(B$9&gt;=8/24,B$9&lt;14/24)</formula>
    </cfRule>
    <cfRule type="expression" dxfId="2836" priority="61">
      <formula>B$9&lt;8/24</formula>
    </cfRule>
  </conditionalFormatting>
  <conditionalFormatting sqref="B45:F47">
    <cfRule type="expression" dxfId="2835" priority="54">
      <formula>B$9&gt;=20/24</formula>
    </cfRule>
    <cfRule type="expression" dxfId="2834" priority="55">
      <formula>AND(B$9&gt;=14/24,B$9&lt;20/24)</formula>
    </cfRule>
    <cfRule type="expression" dxfId="2833" priority="56">
      <formula>AND(B$9&gt;=8/24,B$9&lt;14/24)</formula>
    </cfRule>
    <cfRule type="expression" dxfId="2832" priority="57">
      <formula>B$9&lt;8/24</formula>
    </cfRule>
  </conditionalFormatting>
  <conditionalFormatting sqref="B45:F47">
    <cfRule type="expression" dxfId="2831" priority="53">
      <formula>B45&gt;$AG45</formula>
    </cfRule>
  </conditionalFormatting>
  <conditionalFormatting sqref="B48:AF48">
    <cfRule type="expression" dxfId="2830" priority="49">
      <formula>B$9&gt;=20/24</formula>
    </cfRule>
    <cfRule type="expression" dxfId="2829" priority="50">
      <formula>AND(B$9&gt;=14/24,B$9&lt;20/24)</formula>
    </cfRule>
    <cfRule type="expression" dxfId="2828" priority="51">
      <formula>AND(B$9&gt;=8/24,B$9&lt;14/24)</formula>
    </cfRule>
    <cfRule type="expression" dxfId="2827" priority="52">
      <formula>B$9&lt;8/24</formula>
    </cfRule>
  </conditionalFormatting>
  <conditionalFormatting sqref="B48:AF48">
    <cfRule type="expression" dxfId="2826" priority="48">
      <formula>B48&gt;$AG48</formula>
    </cfRule>
  </conditionalFormatting>
  <conditionalFormatting sqref="B103">
    <cfRule type="expression" dxfId="2825" priority="44">
      <formula>B$9&gt;=20/24</formula>
    </cfRule>
    <cfRule type="expression" dxfId="2824" priority="45">
      <formula>AND(B$9&gt;=14/24,B$9&lt;20/24)</formula>
    </cfRule>
    <cfRule type="expression" dxfId="2823" priority="46">
      <formula>AND(B$9&gt;=8/24,B$9&lt;14/24)</formula>
    </cfRule>
    <cfRule type="expression" dxfId="2822" priority="47">
      <formula>B$9&lt;8/24</formula>
    </cfRule>
  </conditionalFormatting>
  <conditionalFormatting sqref="B106:C106">
    <cfRule type="expression" dxfId="2821" priority="32">
      <formula>B$9&gt;=20/24</formula>
    </cfRule>
    <cfRule type="expression" dxfId="2820" priority="33">
      <formula>AND(B$9&gt;=14/24,B$9&lt;20/24)</formula>
    </cfRule>
    <cfRule type="expression" dxfId="2819" priority="34">
      <formula>AND(B$9&gt;=8/24,B$9&lt;14/24)</formula>
    </cfRule>
    <cfRule type="expression" dxfId="2818" priority="35">
      <formula>B$9&lt;8/24</formula>
    </cfRule>
  </conditionalFormatting>
  <conditionalFormatting sqref="B55:O60 X55:Y55 Y56:Y60 P57:X60 Z55:AF60">
    <cfRule type="expression" dxfId="2817" priority="28">
      <formula>B$9&gt;=20/24</formula>
    </cfRule>
    <cfRule type="expression" dxfId="2816" priority="29">
      <formula>AND(B$9&gt;=14/24,B$9&lt;20/24)</formula>
    </cfRule>
    <cfRule type="expression" dxfId="2815" priority="30">
      <formula>AND(B$9&gt;=8/24,B$9&lt;14/24)</formula>
    </cfRule>
    <cfRule type="expression" dxfId="2814" priority="31">
      <formula>B$9&lt;8/24</formula>
    </cfRule>
  </conditionalFormatting>
  <conditionalFormatting sqref="B55:O60 X55:Y55 Y56:Y60 P57:X60 Z55:AF60">
    <cfRule type="expression" dxfId="2813" priority="27">
      <formula>B55&gt;$AG55</formula>
    </cfRule>
  </conditionalFormatting>
  <conditionalFormatting sqref="B12:X14 B41:X41">
    <cfRule type="expression" dxfId="2812" priority="26">
      <formula>B12&gt;$AG12</formula>
    </cfRule>
  </conditionalFormatting>
  <conditionalFormatting sqref="B11:X11">
    <cfRule type="expression" dxfId="2811" priority="22">
      <formula>B$9&gt;=20/24</formula>
    </cfRule>
    <cfRule type="expression" dxfId="2810" priority="23">
      <formula>AND(B$9&gt;=14/24,B$9&lt;20/24)</formula>
    </cfRule>
    <cfRule type="expression" dxfId="2809" priority="24">
      <formula>AND(B$9&gt;=8/24,B$9&lt;14/24)</formula>
    </cfRule>
    <cfRule type="expression" dxfId="2808" priority="25">
      <formula>B$9&lt;8/24</formula>
    </cfRule>
  </conditionalFormatting>
  <conditionalFormatting sqref="B11:X11">
    <cfRule type="expression" dxfId="2807" priority="21">
      <formula>B11&gt;$AG11</formula>
    </cfRule>
  </conditionalFormatting>
  <conditionalFormatting sqref="B12:X14">
    <cfRule type="expression" dxfId="2806" priority="17">
      <formula>B$9&gt;=20/24</formula>
    </cfRule>
    <cfRule type="expression" dxfId="2805" priority="18">
      <formula>AND(B$9&gt;=14/24,B$9&lt;20/24)</formula>
    </cfRule>
    <cfRule type="expression" dxfId="2804" priority="19">
      <formula>AND(B$9&gt;=8/24,B$9&lt;14/24)</formula>
    </cfRule>
    <cfRule type="expression" dxfId="2803" priority="20">
      <formula>B$9&lt;8/24</formula>
    </cfRule>
  </conditionalFormatting>
  <conditionalFormatting sqref="B41:X41">
    <cfRule type="expression" dxfId="2802" priority="13">
      <formula>B$9&gt;=20/24</formula>
    </cfRule>
    <cfRule type="expression" dxfId="2801" priority="14">
      <formula>AND(B$9&gt;=14/24,B$9&lt;20/24)</formula>
    </cfRule>
    <cfRule type="expression" dxfId="2800" priority="15">
      <formula>AND(B$9&gt;=8/24,B$9&lt;14/24)</formula>
    </cfRule>
    <cfRule type="expression" dxfId="2799" priority="16">
      <formula>B$9&lt;8/24</formula>
    </cfRule>
  </conditionalFormatting>
  <conditionalFormatting sqref="E73:P77 R73:AF77">
    <cfRule type="expression" dxfId="2798" priority="9">
      <formula>E$9&gt;=20/24</formula>
    </cfRule>
    <cfRule type="expression" dxfId="2797" priority="10">
      <formula>AND(E$9&gt;=14/24,E$9&lt;20/24)</formula>
    </cfRule>
    <cfRule type="expression" dxfId="2796" priority="11">
      <formula>AND(E$9&gt;=8/24,E$9&lt;14/24)</formula>
    </cfRule>
    <cfRule type="expression" dxfId="2795" priority="12">
      <formula>E$9&lt;8/24</formula>
    </cfRule>
  </conditionalFormatting>
  <conditionalFormatting sqref="AL74:AN74 AL80:AN80 AN75:AN76">
    <cfRule type="expression" dxfId="2794" priority="5">
      <formula>AL$9&gt;=20/24</formula>
    </cfRule>
    <cfRule type="expression" dxfId="2793" priority="6">
      <formula>AND(AL$9&gt;=14/24,AL$9&lt;20/24)</formula>
    </cfRule>
    <cfRule type="expression" dxfId="2792" priority="7">
      <formula>AND(AL$9&gt;=8/24,AL$9&lt;14/24)</formula>
    </cfRule>
    <cfRule type="expression" dxfId="2791" priority="8">
      <formula>AL$9&lt;8/24</formula>
    </cfRule>
  </conditionalFormatting>
  <conditionalFormatting sqref="AN77:AN78">
    <cfRule type="expression" dxfId="2790" priority="1">
      <formula>AN$9&gt;=20/24</formula>
    </cfRule>
    <cfRule type="expression" dxfId="2789" priority="2">
      <formula>AND(AN$9&gt;=14/24,AN$9&lt;20/24)</formula>
    </cfRule>
    <cfRule type="expression" dxfId="2788" priority="3">
      <formula>AND(AN$9&gt;=8/24,AN$9&lt;14/24)</formula>
    </cfRule>
    <cfRule type="expression" dxfId="2787" priority="4">
      <formula>AN$9&lt;8/24</formula>
    </cfRule>
  </conditionalFormatting>
  <conditionalFormatting sqref="AL75:AM79">
    <cfRule type="expression" dxfId="2786" priority="258">
      <formula>AJ$9&gt;=20/24</formula>
    </cfRule>
    <cfRule type="expression" dxfId="2785" priority="259">
      <formula>AND(AJ$9&gt;=14/24,AJ$9&lt;20/24)</formula>
    </cfRule>
    <cfRule type="expression" dxfId="2784" priority="260">
      <formula>AND(AJ$9&gt;=8/24,AJ$9&lt;14/24)</formula>
    </cfRule>
    <cfRule type="expression" dxfId="2783" priority="261">
      <formula>AJ$9&lt;8/24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4" id="{0DEF419F-17D7-423E-B957-D4A6167AA76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F218E182-32E0-4852-B873-A4508FC52EEA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F95FB100-5077-449D-84FA-11120C6C4735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C068F720-348C-4E80-BAFE-F437C6B3629F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30" id="{4681EE9F-821D-4A82-A5D9-2A1BC4D18DE1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80377978-ED42-4422-9B44-5172F64EFFB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2338387A-1B87-4C55-A583-A95434AC77F4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F67E05A5-8C20-4642-9C2E-BFBF82F10E9D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40" id="{1DB3C9FB-4445-4E03-B948-B76912661577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1" id="{FB350A13-6B9F-440A-9C45-416659932E2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2" id="{48E8E309-60E6-490D-9E0B-763FC773C0A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3" id="{1CEF7E3A-DD4B-4682-9B85-7752D9CF4DC1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6" id="{BABCC92D-DDA9-4E3E-8D57-CF03F840092B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7" id="{F6EBC821-A927-45B2-A5E9-85B35FD77288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8" id="{44748D21-7968-4D25-BA33-87765B5201A2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9" id="{6B22D6AA-4FA5-42BC-8149-E2F1268F170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J274"/>
  <sheetViews>
    <sheetView workbookViewId="0">
      <pane ySplit="10" topLeftCell="A43" activePane="bottomLeft" state="frozen"/>
      <selection activeCell="U80" sqref="U80"/>
      <selection pane="bottomLeft" activeCell="H63" sqref="H6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1" width="6" style="1" bestFit="1" customWidth="1"/>
    <col min="12" max="12" width="6.42578125" style="1" bestFit="1" customWidth="1"/>
    <col min="13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0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/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str">
        <f ca="1">"2079/"&amp;"10/"&amp;INT(MID(CELL("filename",D6),FIND("]",CELL("filename",D6))+1,200))</f>
        <v>2079/10/26</v>
      </c>
      <c r="C4" s="771"/>
      <c r="D4" s="771"/>
      <c r="E4" s="772" t="str">
        <f ca="1">"2079/"&amp;"10/"&amp;INT(MID(CELL("filename",G6),FIND("]",CELL("filename",G6))+1,200))</f>
        <v>2079/10/26</v>
      </c>
      <c r="F4" s="772"/>
      <c r="G4" s="772"/>
      <c r="H4" s="772" t="str">
        <f ca="1">TEXT(E4,"dddd")</f>
        <v>Thursday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494</v>
      </c>
      <c r="C5" s="30">
        <f t="shared" si="0"/>
        <v>482</v>
      </c>
      <c r="D5" s="30">
        <f t="shared" si="0"/>
        <v>477.9</v>
      </c>
      <c r="E5" s="30">
        <f t="shared" si="0"/>
        <v>525</v>
      </c>
      <c r="F5" s="30">
        <f t="shared" si="0"/>
        <v>515</v>
      </c>
      <c r="G5" s="30">
        <f t="shared" si="0"/>
        <v>503.1</v>
      </c>
      <c r="H5" s="30">
        <f t="shared" si="0"/>
        <v>485</v>
      </c>
      <c r="I5" s="30">
        <f t="shared" si="0"/>
        <v>450.4</v>
      </c>
      <c r="J5" s="30">
        <f t="shared" si="0"/>
        <v>453.3</v>
      </c>
      <c r="K5" s="30">
        <f t="shared" si="0"/>
        <v>455.1</v>
      </c>
      <c r="L5" s="30">
        <f t="shared" si="0"/>
        <v>452.79999999999995</v>
      </c>
      <c r="M5" s="30">
        <f t="shared" si="0"/>
        <v>459.3</v>
      </c>
      <c r="N5" s="30">
        <f t="shared" si="0"/>
        <v>458.90000000000003</v>
      </c>
      <c r="O5" s="30">
        <f t="shared" si="0"/>
        <v>486.5</v>
      </c>
      <c r="P5" s="30">
        <f t="shared" si="0"/>
        <v>496.20000000000005</v>
      </c>
      <c r="Q5" s="30">
        <f t="shared" si="0"/>
        <v>488.4</v>
      </c>
      <c r="R5" s="30">
        <f t="shared" si="0"/>
        <v>509.3</v>
      </c>
      <c r="S5" s="30">
        <f t="shared" si="0"/>
        <v>499</v>
      </c>
      <c r="T5" s="30">
        <f t="shared" si="0"/>
        <v>499</v>
      </c>
      <c r="U5" s="30">
        <f t="shared" si="0"/>
        <v>500</v>
      </c>
      <c r="V5" s="30">
        <f t="shared" si="0"/>
        <v>515</v>
      </c>
      <c r="W5" s="30">
        <f t="shared" si="0"/>
        <v>495</v>
      </c>
      <c r="X5" s="30">
        <f t="shared" si="0"/>
        <v>442</v>
      </c>
      <c r="Y5" s="30">
        <f t="shared" si="0"/>
        <v>309</v>
      </c>
      <c r="Z5" s="30">
        <f t="shared" si="0"/>
        <v>283</v>
      </c>
      <c r="AA5" s="30">
        <f t="shared" si="0"/>
        <v>458.6</v>
      </c>
      <c r="AB5" s="30">
        <f t="shared" si="0"/>
        <v>457.3</v>
      </c>
      <c r="AC5" s="30">
        <f t="shared" si="0"/>
        <v>431.90000000000003</v>
      </c>
      <c r="AD5" s="30">
        <f t="shared" si="0"/>
        <v>481.2</v>
      </c>
      <c r="AE5" s="30">
        <f t="shared" si="0"/>
        <v>493.2</v>
      </c>
      <c r="AF5" s="30">
        <f>B78</f>
        <v>495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1488MW at 7:30hr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Load=1022</v>
      </c>
      <c r="B7" s="35">
        <f t="shared" ref="B7:AF7" si="1">B85</f>
        <v>1063.04</v>
      </c>
      <c r="C7" s="35">
        <f t="shared" si="1"/>
        <v>1065.04</v>
      </c>
      <c r="D7" s="35">
        <f t="shared" si="1"/>
        <v>1022.0400000000001</v>
      </c>
      <c r="E7" s="35">
        <f t="shared" si="1"/>
        <v>1047.54</v>
      </c>
      <c r="F7" s="35">
        <f t="shared" si="1"/>
        <v>1055.04</v>
      </c>
      <c r="G7" s="35">
        <f t="shared" si="1"/>
        <v>1077.44</v>
      </c>
      <c r="H7" s="35">
        <f t="shared" si="1"/>
        <v>1102.7400000000002</v>
      </c>
      <c r="I7" s="35">
        <f t="shared" si="1"/>
        <v>1164.6400000000001</v>
      </c>
      <c r="J7" s="35">
        <f t="shared" si="1"/>
        <v>1319.7400000000002</v>
      </c>
      <c r="K7" s="35">
        <f t="shared" si="1"/>
        <v>1368.3400000000001</v>
      </c>
      <c r="L7" s="35">
        <f t="shared" si="1"/>
        <v>1487.94</v>
      </c>
      <c r="M7" s="35">
        <f t="shared" si="1"/>
        <v>1383.54</v>
      </c>
      <c r="N7" s="35">
        <f>N85</f>
        <v>1372.04</v>
      </c>
      <c r="O7" s="35">
        <f t="shared" si="1"/>
        <v>1293.6399999999999</v>
      </c>
      <c r="P7" s="35">
        <f t="shared" si="1"/>
        <v>1248.24</v>
      </c>
      <c r="Q7" s="35">
        <f t="shared" si="1"/>
        <v>1167.94</v>
      </c>
      <c r="R7" s="35">
        <f t="shared" si="1"/>
        <v>1292.3400000000001</v>
      </c>
      <c r="S7" s="35">
        <f t="shared" si="1"/>
        <v>1307.1400000000001</v>
      </c>
      <c r="T7" s="35">
        <f t="shared" si="1"/>
        <v>1317.24</v>
      </c>
      <c r="U7" s="35">
        <f t="shared" si="1"/>
        <v>1273.44</v>
      </c>
      <c r="V7" s="35">
        <f t="shared" si="1"/>
        <v>1256.6399999999999</v>
      </c>
      <c r="W7" s="35">
        <f t="shared" si="1"/>
        <v>1461.6399999999999</v>
      </c>
      <c r="X7" s="35">
        <f t="shared" si="1"/>
        <v>1441.6399999999999</v>
      </c>
      <c r="Y7" s="35">
        <f t="shared" si="1"/>
        <v>1649.4</v>
      </c>
      <c r="Z7" s="35">
        <f t="shared" si="1"/>
        <v>1614.6399999999999</v>
      </c>
      <c r="AA7" s="35">
        <f t="shared" si="1"/>
        <v>1537.44</v>
      </c>
      <c r="AB7" s="35">
        <f t="shared" si="1"/>
        <v>1445.44</v>
      </c>
      <c r="AC7" s="35">
        <f t="shared" si="1"/>
        <v>1373.34</v>
      </c>
      <c r="AD7" s="35">
        <f t="shared" si="1"/>
        <v>1220.9399999999998</v>
      </c>
      <c r="AE7" s="35">
        <f t="shared" si="1"/>
        <v>1204.54</v>
      </c>
      <c r="AF7" s="35">
        <f t="shared" si="1"/>
        <v>1110.9399999999998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17.5</v>
      </c>
      <c r="C11" s="45">
        <v>17.5</v>
      </c>
      <c r="D11" s="45">
        <v>17.5</v>
      </c>
      <c r="E11" s="45">
        <v>17.5</v>
      </c>
      <c r="F11" s="45">
        <v>17.5</v>
      </c>
      <c r="G11" s="45">
        <v>17.5</v>
      </c>
      <c r="H11" s="45">
        <v>17.5</v>
      </c>
      <c r="I11" s="45">
        <v>17.5</v>
      </c>
      <c r="J11" s="45">
        <v>17.5</v>
      </c>
      <c r="K11" s="45">
        <v>17.5</v>
      </c>
      <c r="L11" s="45">
        <v>17.5</v>
      </c>
      <c r="M11" s="45">
        <v>17.5</v>
      </c>
      <c r="N11" s="45">
        <v>17.5</v>
      </c>
      <c r="O11" s="45">
        <v>17.5</v>
      </c>
      <c r="P11" s="45">
        <v>17.5</v>
      </c>
      <c r="Q11" s="45">
        <v>17.5</v>
      </c>
      <c r="R11" s="45">
        <v>17.5</v>
      </c>
      <c r="S11" s="45">
        <v>17.5</v>
      </c>
      <c r="T11" s="45">
        <v>17.5</v>
      </c>
      <c r="U11" s="45">
        <v>17.5</v>
      </c>
      <c r="V11" s="45">
        <v>17.5</v>
      </c>
      <c r="W11" s="45">
        <v>17.5</v>
      </c>
      <c r="X11" s="45">
        <v>17.5</v>
      </c>
      <c r="Y11" s="45">
        <v>17.5</v>
      </c>
      <c r="Z11" s="45">
        <v>17.5</v>
      </c>
      <c r="AA11" s="45">
        <v>17.5</v>
      </c>
      <c r="AB11" s="45">
        <v>17.8</v>
      </c>
      <c r="AC11" s="45">
        <v>17.899999999999999</v>
      </c>
      <c r="AD11" s="45">
        <v>17.899999999999999</v>
      </c>
      <c r="AE11" s="45">
        <v>17.100000000000001</v>
      </c>
      <c r="AF11" s="45">
        <v>17.100000000000001</v>
      </c>
      <c r="AG11" s="46">
        <v>52.4</v>
      </c>
      <c r="AH11" s="47">
        <f t="shared" ref="AH11:AH74" si="2">MAX(B11:AF11)</f>
        <v>17.899999999999999</v>
      </c>
      <c r="AI11" s="48">
        <f t="shared" ref="AI11:AI74" si="3">MIN(B11:AF11)</f>
        <v>17.100000000000001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31.3</v>
      </c>
      <c r="C12" s="45">
        <v>31.3</v>
      </c>
      <c r="D12" s="45">
        <v>31.3</v>
      </c>
      <c r="E12" s="45">
        <v>31.3</v>
      </c>
      <c r="F12" s="45">
        <v>31.3</v>
      </c>
      <c r="G12" s="45">
        <v>31.3</v>
      </c>
      <c r="H12" s="45">
        <v>31.3</v>
      </c>
      <c r="I12" s="45">
        <v>31.3</v>
      </c>
      <c r="J12" s="45">
        <v>31.3</v>
      </c>
      <c r="K12" s="45">
        <v>31.3</v>
      </c>
      <c r="L12" s="45">
        <v>31.3</v>
      </c>
      <c r="M12" s="45">
        <v>31.3</v>
      </c>
      <c r="N12" s="45">
        <v>31.3</v>
      </c>
      <c r="O12" s="45">
        <v>31.3</v>
      </c>
      <c r="P12" s="45">
        <v>31.3</v>
      </c>
      <c r="Q12" s="45">
        <v>31.3</v>
      </c>
      <c r="R12" s="45">
        <v>31.3</v>
      </c>
      <c r="S12" s="45">
        <v>31.3</v>
      </c>
      <c r="T12" s="45">
        <v>31.3</v>
      </c>
      <c r="U12" s="45">
        <v>31.3</v>
      </c>
      <c r="V12" s="45">
        <v>31.3</v>
      </c>
      <c r="W12" s="45">
        <v>31.3</v>
      </c>
      <c r="X12" s="45">
        <v>31.3</v>
      </c>
      <c r="Y12" s="45">
        <v>31.3</v>
      </c>
      <c r="Z12" s="45">
        <v>31.3</v>
      </c>
      <c r="AA12" s="45">
        <v>31.3</v>
      </c>
      <c r="AB12" s="45">
        <v>30.9</v>
      </c>
      <c r="AC12" s="45">
        <v>31</v>
      </c>
      <c r="AD12" s="45">
        <v>31</v>
      </c>
      <c r="AE12" s="45">
        <v>30.7</v>
      </c>
      <c r="AF12" s="45">
        <v>30.6</v>
      </c>
      <c r="AG12" s="50">
        <v>50</v>
      </c>
      <c r="AH12" s="47">
        <f t="shared" si="2"/>
        <v>31.3</v>
      </c>
      <c r="AI12" s="48">
        <f t="shared" si="3"/>
        <v>30.6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19</v>
      </c>
      <c r="C13" s="45">
        <v>19</v>
      </c>
      <c r="D13" s="45">
        <v>19</v>
      </c>
      <c r="E13" s="45">
        <v>19</v>
      </c>
      <c r="F13" s="45">
        <v>19</v>
      </c>
      <c r="G13" s="45">
        <v>19</v>
      </c>
      <c r="H13" s="45">
        <v>19</v>
      </c>
      <c r="I13" s="45">
        <v>19</v>
      </c>
      <c r="J13" s="45">
        <v>19</v>
      </c>
      <c r="K13" s="45">
        <v>19</v>
      </c>
      <c r="L13" s="45">
        <v>19</v>
      </c>
      <c r="M13" s="45">
        <v>19</v>
      </c>
      <c r="N13" s="45">
        <v>19</v>
      </c>
      <c r="O13" s="45">
        <v>19</v>
      </c>
      <c r="P13" s="45">
        <v>19</v>
      </c>
      <c r="Q13" s="45">
        <v>19</v>
      </c>
      <c r="R13" s="45">
        <v>19</v>
      </c>
      <c r="S13" s="45">
        <v>19</v>
      </c>
      <c r="T13" s="45">
        <v>19</v>
      </c>
      <c r="U13" s="45">
        <v>19</v>
      </c>
      <c r="V13" s="45">
        <v>19</v>
      </c>
      <c r="W13" s="45">
        <v>19</v>
      </c>
      <c r="X13" s="45">
        <v>19</v>
      </c>
      <c r="Y13" s="45">
        <v>19</v>
      </c>
      <c r="Z13" s="45">
        <v>19</v>
      </c>
      <c r="AA13" s="45">
        <v>19</v>
      </c>
      <c r="AB13" s="45">
        <v>15.8</v>
      </c>
      <c r="AC13" s="45">
        <v>15.5</v>
      </c>
      <c r="AD13" s="45">
        <v>19.2</v>
      </c>
      <c r="AE13" s="45">
        <v>19.100000000000001</v>
      </c>
      <c r="AF13" s="45">
        <v>16.2</v>
      </c>
      <c r="AG13" s="50">
        <v>45</v>
      </c>
      <c r="AH13" s="47">
        <f t="shared" si="2"/>
        <v>19.2</v>
      </c>
      <c r="AI13" s="48">
        <f t="shared" si="3"/>
        <v>15.5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0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50">
        <v>42</v>
      </c>
      <c r="AH14" s="47">
        <f t="shared" si="2"/>
        <v>0</v>
      </c>
      <c r="AI14" s="48">
        <f t="shared" si="3"/>
        <v>0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13</v>
      </c>
      <c r="C15" s="45">
        <v>13</v>
      </c>
      <c r="D15" s="45">
        <v>13</v>
      </c>
      <c r="E15" s="45">
        <v>13</v>
      </c>
      <c r="F15" s="45">
        <v>13</v>
      </c>
      <c r="G15" s="45">
        <v>13</v>
      </c>
      <c r="H15" s="45">
        <v>13</v>
      </c>
      <c r="I15" s="45">
        <v>13</v>
      </c>
      <c r="J15" s="45">
        <v>13</v>
      </c>
      <c r="K15" s="45">
        <v>13</v>
      </c>
      <c r="L15" s="45">
        <v>13</v>
      </c>
      <c r="M15" s="45">
        <v>13</v>
      </c>
      <c r="N15" s="45">
        <v>13</v>
      </c>
      <c r="O15" s="45">
        <v>13</v>
      </c>
      <c r="P15" s="45">
        <v>13</v>
      </c>
      <c r="Q15" s="45">
        <v>13</v>
      </c>
      <c r="R15" s="45">
        <v>13</v>
      </c>
      <c r="S15" s="45">
        <v>13</v>
      </c>
      <c r="T15" s="45">
        <v>13</v>
      </c>
      <c r="U15" s="45">
        <v>13</v>
      </c>
      <c r="V15" s="45">
        <v>13</v>
      </c>
      <c r="W15" s="45">
        <v>13</v>
      </c>
      <c r="X15" s="45">
        <v>13</v>
      </c>
      <c r="Y15" s="45">
        <v>13</v>
      </c>
      <c r="Z15" s="45">
        <v>13</v>
      </c>
      <c r="AA15" s="45">
        <v>13</v>
      </c>
      <c r="AB15" s="45">
        <v>13</v>
      </c>
      <c r="AC15" s="45">
        <v>13</v>
      </c>
      <c r="AD15" s="45">
        <v>13</v>
      </c>
      <c r="AE15" s="45">
        <v>13</v>
      </c>
      <c r="AF15" s="45">
        <v>13</v>
      </c>
      <c r="AG15" s="50">
        <v>36</v>
      </c>
      <c r="AH15" s="47">
        <f t="shared" si="2"/>
        <v>13</v>
      </c>
      <c r="AI15" s="48">
        <f t="shared" si="3"/>
        <v>13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8.6999999999999993</v>
      </c>
      <c r="C16" s="45">
        <v>8.6999999999999993</v>
      </c>
      <c r="D16" s="45">
        <v>8.6999999999999993</v>
      </c>
      <c r="E16" s="45">
        <v>8.6999999999999993</v>
      </c>
      <c r="F16" s="45">
        <v>8.6999999999999993</v>
      </c>
      <c r="G16" s="45">
        <v>8.6999999999999993</v>
      </c>
      <c r="H16" s="45">
        <v>8.6999999999999993</v>
      </c>
      <c r="I16" s="45">
        <v>8.6999999999999993</v>
      </c>
      <c r="J16" s="45">
        <v>8.6999999999999993</v>
      </c>
      <c r="K16" s="45">
        <v>8.6999999999999993</v>
      </c>
      <c r="L16" s="45">
        <v>8.6999999999999993</v>
      </c>
      <c r="M16" s="45">
        <v>8.6999999999999993</v>
      </c>
      <c r="N16" s="45">
        <v>8.6999999999999993</v>
      </c>
      <c r="O16" s="45">
        <v>8.6999999999999993</v>
      </c>
      <c r="P16" s="45">
        <v>8.6999999999999993</v>
      </c>
      <c r="Q16" s="45">
        <v>8.6999999999999993</v>
      </c>
      <c r="R16" s="45">
        <v>8.6999999999999993</v>
      </c>
      <c r="S16" s="45">
        <v>8.6999999999999993</v>
      </c>
      <c r="T16" s="45">
        <v>8.6999999999999993</v>
      </c>
      <c r="U16" s="45">
        <v>8.6999999999999993</v>
      </c>
      <c r="V16" s="45">
        <v>8.6999999999999993</v>
      </c>
      <c r="W16" s="45">
        <v>8.6999999999999993</v>
      </c>
      <c r="X16" s="45">
        <v>8.6999999999999993</v>
      </c>
      <c r="Y16" s="45">
        <v>8.6999999999999993</v>
      </c>
      <c r="Z16" s="45">
        <v>8.6999999999999993</v>
      </c>
      <c r="AA16" s="45">
        <v>8.6999999999999993</v>
      </c>
      <c r="AB16" s="45">
        <v>8.6999999999999993</v>
      </c>
      <c r="AC16" s="45">
        <v>8.6999999999999993</v>
      </c>
      <c r="AD16" s="45">
        <v>8.6999999999999993</v>
      </c>
      <c r="AE16" s="45">
        <v>8.6999999999999993</v>
      </c>
      <c r="AF16" s="45">
        <v>8.6999999999999993</v>
      </c>
      <c r="AG16" s="51">
        <v>30</v>
      </c>
      <c r="AH16" s="47">
        <f t="shared" si="2"/>
        <v>8.6999999999999993</v>
      </c>
      <c r="AI16" s="48">
        <f t="shared" si="3"/>
        <v>8.6999999999999993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7.6</v>
      </c>
      <c r="C17" s="45">
        <v>7.6</v>
      </c>
      <c r="D17" s="45">
        <v>7.6</v>
      </c>
      <c r="E17" s="45">
        <v>7.6</v>
      </c>
      <c r="F17" s="45">
        <v>7.6</v>
      </c>
      <c r="G17" s="45">
        <v>7.6</v>
      </c>
      <c r="H17" s="45">
        <v>7.6</v>
      </c>
      <c r="I17" s="45">
        <v>7.6</v>
      </c>
      <c r="J17" s="45">
        <v>7.6</v>
      </c>
      <c r="K17" s="45">
        <v>7.6</v>
      </c>
      <c r="L17" s="45">
        <v>7.6</v>
      </c>
      <c r="M17" s="45">
        <v>7.6</v>
      </c>
      <c r="N17" s="45">
        <v>7.6</v>
      </c>
      <c r="O17" s="45">
        <v>7.6</v>
      </c>
      <c r="P17" s="45">
        <v>7.6</v>
      </c>
      <c r="Q17" s="45">
        <v>7.6</v>
      </c>
      <c r="R17" s="45">
        <v>7.6</v>
      </c>
      <c r="S17" s="45">
        <v>7.6</v>
      </c>
      <c r="T17" s="45">
        <v>7.6</v>
      </c>
      <c r="U17" s="45">
        <v>7.6</v>
      </c>
      <c r="V17" s="45">
        <v>7.6</v>
      </c>
      <c r="W17" s="45">
        <v>7.6</v>
      </c>
      <c r="X17" s="45">
        <v>7.6</v>
      </c>
      <c r="Y17" s="45">
        <v>7.6</v>
      </c>
      <c r="Z17" s="45">
        <v>7.6</v>
      </c>
      <c r="AA17" s="45">
        <v>7.6</v>
      </c>
      <c r="AB17" s="45">
        <v>7.6</v>
      </c>
      <c r="AC17" s="45">
        <v>7.6</v>
      </c>
      <c r="AD17" s="45">
        <v>7.6</v>
      </c>
      <c r="AE17" s="45">
        <v>7.6</v>
      </c>
      <c r="AF17" s="45">
        <v>7.6</v>
      </c>
      <c r="AG17" s="50">
        <v>24.2</v>
      </c>
      <c r="AH17" s="47">
        <f t="shared" si="2"/>
        <v>7.6</v>
      </c>
      <c r="AI17" s="48">
        <f t="shared" si="3"/>
        <v>7.6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50">
        <v>28</v>
      </c>
      <c r="AH18" s="47">
        <f t="shared" si="2"/>
        <v>8</v>
      </c>
      <c r="AI18" s="48">
        <f t="shared" si="3"/>
        <v>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9.1999999999999993</v>
      </c>
      <c r="C20" s="45">
        <v>9.1999999999999993</v>
      </c>
      <c r="D20" s="45">
        <v>9.1999999999999993</v>
      </c>
      <c r="E20" s="45">
        <v>9.1999999999999993</v>
      </c>
      <c r="F20" s="45">
        <v>9.1999999999999993</v>
      </c>
      <c r="G20" s="45">
        <v>9.1999999999999993</v>
      </c>
      <c r="H20" s="45">
        <v>9.1999999999999993</v>
      </c>
      <c r="I20" s="45">
        <v>9.1999999999999993</v>
      </c>
      <c r="J20" s="45">
        <v>9.1999999999999993</v>
      </c>
      <c r="K20" s="45">
        <v>9.1999999999999993</v>
      </c>
      <c r="L20" s="45">
        <v>9.1999999999999993</v>
      </c>
      <c r="M20" s="45">
        <v>9.1999999999999993</v>
      </c>
      <c r="N20" s="45">
        <v>9.1999999999999993</v>
      </c>
      <c r="O20" s="45">
        <v>9.1999999999999993</v>
      </c>
      <c r="P20" s="45">
        <v>9.1999999999999993</v>
      </c>
      <c r="Q20" s="45">
        <v>9.1999999999999993</v>
      </c>
      <c r="R20" s="45">
        <v>9.1999999999999993</v>
      </c>
      <c r="S20" s="45">
        <v>9.1999999999999993</v>
      </c>
      <c r="T20" s="45">
        <v>9.1999999999999993</v>
      </c>
      <c r="U20" s="45">
        <v>9.1999999999999993</v>
      </c>
      <c r="V20" s="45">
        <v>9.1999999999999993</v>
      </c>
      <c r="W20" s="45">
        <v>9.1999999999999993</v>
      </c>
      <c r="X20" s="45">
        <v>9.1999999999999993</v>
      </c>
      <c r="Y20" s="45">
        <v>9.1999999999999993</v>
      </c>
      <c r="Z20" s="45">
        <v>9.1999999999999993</v>
      </c>
      <c r="AA20" s="45">
        <v>9.1999999999999993</v>
      </c>
      <c r="AB20" s="45">
        <v>9.1999999999999993</v>
      </c>
      <c r="AC20" s="45">
        <v>9.1999999999999993</v>
      </c>
      <c r="AD20" s="45">
        <v>9.1999999999999993</v>
      </c>
      <c r="AE20" s="45">
        <v>9.1999999999999993</v>
      </c>
      <c r="AF20" s="45">
        <v>9.1999999999999993</v>
      </c>
      <c r="AG20" s="50">
        <v>25</v>
      </c>
      <c r="AH20" s="47">
        <f t="shared" si="2"/>
        <v>9.1999999999999993</v>
      </c>
      <c r="AI20" s="48">
        <f t="shared" si="3"/>
        <v>9.1999999999999993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0">
        <v>25</v>
      </c>
      <c r="AH22" s="47">
        <f t="shared" si="2"/>
        <v>11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13</v>
      </c>
      <c r="Z23" s="45">
        <v>13</v>
      </c>
      <c r="AA23" s="45">
        <v>13</v>
      </c>
      <c r="AB23" s="45">
        <v>13</v>
      </c>
      <c r="AC23" s="45">
        <v>13</v>
      </c>
      <c r="AD23" s="45">
        <v>13</v>
      </c>
      <c r="AE23" s="45">
        <v>13</v>
      </c>
      <c r="AF23" s="45">
        <v>13</v>
      </c>
      <c r="AG23" s="50">
        <v>25</v>
      </c>
      <c r="AH23" s="47">
        <f t="shared" si="2"/>
        <v>13</v>
      </c>
      <c r="AI23" s="48">
        <f t="shared" si="3"/>
        <v>13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7.6</v>
      </c>
      <c r="C24" s="45">
        <v>7.6</v>
      </c>
      <c r="D24" s="45">
        <v>7.6</v>
      </c>
      <c r="E24" s="45">
        <v>7.6</v>
      </c>
      <c r="F24" s="45">
        <v>7.6</v>
      </c>
      <c r="G24" s="45">
        <v>7.6</v>
      </c>
      <c r="H24" s="45">
        <v>7.6</v>
      </c>
      <c r="I24" s="45">
        <v>7.6</v>
      </c>
      <c r="J24" s="45">
        <v>7.6</v>
      </c>
      <c r="K24" s="45">
        <v>7.6</v>
      </c>
      <c r="L24" s="45">
        <v>7.6</v>
      </c>
      <c r="M24" s="45">
        <v>7.6</v>
      </c>
      <c r="N24" s="45">
        <v>7.6</v>
      </c>
      <c r="O24" s="45">
        <v>7.6</v>
      </c>
      <c r="P24" s="45">
        <v>7.6</v>
      </c>
      <c r="Q24" s="45">
        <v>7.6</v>
      </c>
      <c r="R24" s="45">
        <v>7.6</v>
      </c>
      <c r="S24" s="45">
        <v>7.6</v>
      </c>
      <c r="T24" s="45">
        <v>7.6</v>
      </c>
      <c r="U24" s="45">
        <v>7.6</v>
      </c>
      <c r="V24" s="45">
        <v>7.6</v>
      </c>
      <c r="W24" s="45">
        <v>7.6</v>
      </c>
      <c r="X24" s="45">
        <v>7.6</v>
      </c>
      <c r="Y24" s="45">
        <v>7.6</v>
      </c>
      <c r="Z24" s="45">
        <v>7.6</v>
      </c>
      <c r="AA24" s="45">
        <v>7.6</v>
      </c>
      <c r="AB24" s="45">
        <v>7.6</v>
      </c>
      <c r="AC24" s="45">
        <v>7.6</v>
      </c>
      <c r="AD24" s="45">
        <v>7.6</v>
      </c>
      <c r="AE24" s="45">
        <v>7.6</v>
      </c>
      <c r="AF24" s="45">
        <v>7.6</v>
      </c>
      <c r="AG24" s="50">
        <v>23.5</v>
      </c>
      <c r="AH24" s="47">
        <f t="shared" si="2"/>
        <v>7.6</v>
      </c>
      <c r="AI24" s="48">
        <f t="shared" si="3"/>
        <v>7.6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8</v>
      </c>
      <c r="C28" s="45">
        <v>8</v>
      </c>
      <c r="D28" s="45">
        <v>8</v>
      </c>
      <c r="E28" s="45">
        <v>8</v>
      </c>
      <c r="F28" s="45">
        <v>8</v>
      </c>
      <c r="G28" s="45">
        <v>8</v>
      </c>
      <c r="H28" s="45">
        <v>8</v>
      </c>
      <c r="I28" s="45">
        <v>8</v>
      </c>
      <c r="J28" s="45">
        <v>8</v>
      </c>
      <c r="K28" s="45">
        <v>8</v>
      </c>
      <c r="L28" s="45">
        <v>8</v>
      </c>
      <c r="M28" s="45">
        <v>8</v>
      </c>
      <c r="N28" s="45">
        <v>8</v>
      </c>
      <c r="O28" s="45">
        <v>8</v>
      </c>
      <c r="P28" s="45">
        <v>8</v>
      </c>
      <c r="Q28" s="45">
        <v>8</v>
      </c>
      <c r="R28" s="45">
        <v>8</v>
      </c>
      <c r="S28" s="45">
        <v>8</v>
      </c>
      <c r="T28" s="45">
        <v>8</v>
      </c>
      <c r="U28" s="45">
        <v>8</v>
      </c>
      <c r="V28" s="45">
        <v>8</v>
      </c>
      <c r="W28" s="45">
        <v>8</v>
      </c>
      <c r="X28" s="45">
        <v>8</v>
      </c>
      <c r="Y28" s="45">
        <v>8</v>
      </c>
      <c r="Z28" s="45">
        <v>8</v>
      </c>
      <c r="AA28" s="45">
        <v>8</v>
      </c>
      <c r="AB28" s="45">
        <v>8</v>
      </c>
      <c r="AC28" s="45">
        <v>8</v>
      </c>
      <c r="AD28" s="45">
        <v>8</v>
      </c>
      <c r="AE28" s="45">
        <v>8</v>
      </c>
      <c r="AF28" s="45">
        <v>8</v>
      </c>
      <c r="AG28" s="50">
        <v>22</v>
      </c>
      <c r="AH28" s="47">
        <f t="shared" si="2"/>
        <v>8</v>
      </c>
      <c r="AI28" s="48">
        <f t="shared" si="3"/>
        <v>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>
        <v>10</v>
      </c>
      <c r="L35" s="45">
        <v>10</v>
      </c>
      <c r="M35" s="45">
        <v>10</v>
      </c>
      <c r="N35" s="45">
        <v>10</v>
      </c>
      <c r="O35" s="45">
        <v>10</v>
      </c>
      <c r="P35" s="45">
        <v>10</v>
      </c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45">
        <v>10</v>
      </c>
      <c r="Z35" s="45">
        <v>10</v>
      </c>
      <c r="AA35" s="45">
        <v>10</v>
      </c>
      <c r="AB35" s="45">
        <v>10</v>
      </c>
      <c r="AC35" s="45">
        <v>10</v>
      </c>
      <c r="AD35" s="45">
        <v>10</v>
      </c>
      <c r="AE35" s="45">
        <v>10</v>
      </c>
      <c r="AF35" s="45">
        <v>10</v>
      </c>
      <c r="AG35" s="50">
        <v>12</v>
      </c>
      <c r="AH35" s="47">
        <f t="shared" si="2"/>
        <v>10</v>
      </c>
      <c r="AI35" s="48">
        <f t="shared" si="3"/>
        <v>10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100</v>
      </c>
      <c r="C42" s="56">
        <v>100</v>
      </c>
      <c r="D42" s="56">
        <v>100</v>
      </c>
      <c r="E42" s="56">
        <v>100</v>
      </c>
      <c r="F42" s="56">
        <v>100</v>
      </c>
      <c r="G42" s="56">
        <v>100</v>
      </c>
      <c r="H42" s="56">
        <v>100</v>
      </c>
      <c r="I42" s="56">
        <v>100</v>
      </c>
      <c r="J42" s="56">
        <v>100</v>
      </c>
      <c r="K42" s="56">
        <v>100</v>
      </c>
      <c r="L42" s="56">
        <v>100</v>
      </c>
      <c r="M42" s="56">
        <v>100</v>
      </c>
      <c r="N42" s="56">
        <v>100</v>
      </c>
      <c r="O42" s="56">
        <v>100</v>
      </c>
      <c r="P42" s="56">
        <v>100</v>
      </c>
      <c r="Q42" s="56">
        <v>100</v>
      </c>
      <c r="R42" s="56">
        <v>100</v>
      </c>
      <c r="S42" s="56">
        <v>100</v>
      </c>
      <c r="T42" s="56">
        <v>100</v>
      </c>
      <c r="U42" s="56">
        <v>100</v>
      </c>
      <c r="V42" s="56">
        <v>100</v>
      </c>
      <c r="W42" s="56">
        <v>100</v>
      </c>
      <c r="X42" s="56">
        <v>100</v>
      </c>
      <c r="Y42" s="56">
        <v>100</v>
      </c>
      <c r="Z42" s="56">
        <v>100</v>
      </c>
      <c r="AA42" s="56">
        <v>100</v>
      </c>
      <c r="AB42" s="56">
        <v>100</v>
      </c>
      <c r="AC42" s="56">
        <v>100</v>
      </c>
      <c r="AD42" s="56">
        <v>100</v>
      </c>
      <c r="AE42" s="56">
        <v>100</v>
      </c>
      <c r="AF42" s="56">
        <v>100</v>
      </c>
      <c r="AG42" s="54">
        <v>85</v>
      </c>
      <c r="AH42" s="47">
        <f t="shared" si="2"/>
        <v>100</v>
      </c>
      <c r="AI42" s="48">
        <f t="shared" si="3"/>
        <v>100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:AG44" si="4">SUM(B11:B42)</f>
        <v>368.6</v>
      </c>
      <c r="C44" s="60">
        <f t="shared" si="4"/>
        <v>368.6</v>
      </c>
      <c r="D44" s="60">
        <f t="shared" si="4"/>
        <v>368.6</v>
      </c>
      <c r="E44" s="60">
        <f t="shared" si="4"/>
        <v>368.6</v>
      </c>
      <c r="F44" s="60">
        <f t="shared" si="4"/>
        <v>368.6</v>
      </c>
      <c r="G44" s="60">
        <f t="shared" si="4"/>
        <v>368.6</v>
      </c>
      <c r="H44" s="60">
        <f t="shared" si="4"/>
        <v>368.6</v>
      </c>
      <c r="I44" s="60">
        <f t="shared" si="4"/>
        <v>368.6</v>
      </c>
      <c r="J44" s="60">
        <f t="shared" si="4"/>
        <v>368.6</v>
      </c>
      <c r="K44" s="60">
        <f t="shared" si="4"/>
        <v>368.6</v>
      </c>
      <c r="L44" s="60">
        <f t="shared" si="4"/>
        <v>368.6</v>
      </c>
      <c r="M44" s="60">
        <f t="shared" si="4"/>
        <v>368.6</v>
      </c>
      <c r="N44" s="60">
        <f t="shared" si="4"/>
        <v>368.6</v>
      </c>
      <c r="O44" s="60">
        <f t="shared" si="4"/>
        <v>368.6</v>
      </c>
      <c r="P44" s="60">
        <f t="shared" si="4"/>
        <v>368.6</v>
      </c>
      <c r="Q44" s="60">
        <f t="shared" si="4"/>
        <v>368.6</v>
      </c>
      <c r="R44" s="60">
        <f t="shared" si="4"/>
        <v>368.6</v>
      </c>
      <c r="S44" s="60">
        <f t="shared" si="4"/>
        <v>368.6</v>
      </c>
      <c r="T44" s="60">
        <f t="shared" si="4"/>
        <v>368.6</v>
      </c>
      <c r="U44" s="60">
        <f t="shared" si="4"/>
        <v>368.6</v>
      </c>
      <c r="V44" s="60">
        <f t="shared" si="4"/>
        <v>368.6</v>
      </c>
      <c r="W44" s="60">
        <f t="shared" si="4"/>
        <v>368.6</v>
      </c>
      <c r="X44" s="60">
        <f t="shared" ref="X44" si="5">SUM(X11:X42)</f>
        <v>368.6</v>
      </c>
      <c r="Y44" s="60">
        <f t="shared" si="4"/>
        <v>368.6</v>
      </c>
      <c r="Z44" s="60">
        <f t="shared" si="4"/>
        <v>368.6</v>
      </c>
      <c r="AA44" s="60">
        <f t="shared" si="4"/>
        <v>368.6</v>
      </c>
      <c r="AB44" s="60">
        <f t="shared" si="4"/>
        <v>365.29999999999995</v>
      </c>
      <c r="AC44" s="60">
        <f t="shared" si="4"/>
        <v>365.2</v>
      </c>
      <c r="AD44" s="60">
        <f t="shared" si="4"/>
        <v>368.9</v>
      </c>
      <c r="AE44" s="60">
        <f t="shared" si="4"/>
        <v>367.7</v>
      </c>
      <c r="AF44" s="60">
        <f t="shared" si="4"/>
        <v>364.7</v>
      </c>
      <c r="AG44" s="61">
        <f t="shared" si="4"/>
        <v>814.78000000000009</v>
      </c>
      <c r="AH44" s="47">
        <f t="shared" si="2"/>
        <v>368.9</v>
      </c>
      <c r="AI44" s="48">
        <f t="shared" si="3"/>
        <v>364.7</v>
      </c>
      <c r="AK44" s="49"/>
    </row>
    <row r="45" spans="1:88" x14ac:dyDescent="0.25">
      <c r="A45" s="62" t="s">
        <v>53</v>
      </c>
      <c r="B45" s="45">
        <v>0</v>
      </c>
      <c r="C45" s="45">
        <v>0</v>
      </c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50</v>
      </c>
      <c r="J45" s="45">
        <v>100</v>
      </c>
      <c r="K45" s="45">
        <v>120</v>
      </c>
      <c r="L45" s="45">
        <v>120</v>
      </c>
      <c r="M45" s="63">
        <v>110</v>
      </c>
      <c r="N45" s="63">
        <v>120</v>
      </c>
      <c r="O45" s="45">
        <v>120</v>
      </c>
      <c r="P45" s="45">
        <v>70</v>
      </c>
      <c r="Q45" s="45">
        <v>60</v>
      </c>
      <c r="R45" s="45">
        <v>90</v>
      </c>
      <c r="S45" s="45">
        <v>70</v>
      </c>
      <c r="T45" s="45">
        <v>90</v>
      </c>
      <c r="U45" s="45">
        <v>95</v>
      </c>
      <c r="V45" s="45">
        <v>60</v>
      </c>
      <c r="W45" s="45">
        <v>90</v>
      </c>
      <c r="X45" s="45">
        <v>90</v>
      </c>
      <c r="Y45" s="45">
        <v>190</v>
      </c>
      <c r="Z45" s="45">
        <v>340</v>
      </c>
      <c r="AA45" s="45">
        <v>320</v>
      </c>
      <c r="AB45" s="45">
        <v>90</v>
      </c>
      <c r="AC45" s="45">
        <v>100</v>
      </c>
      <c r="AD45" s="45">
        <v>90</v>
      </c>
      <c r="AE45" s="45">
        <v>60</v>
      </c>
      <c r="AF45" s="45">
        <v>35</v>
      </c>
      <c r="AG45" s="51">
        <v>456</v>
      </c>
      <c r="AH45" s="47">
        <f t="shared" si="2"/>
        <v>340</v>
      </c>
      <c r="AI45" s="48">
        <f t="shared" si="3"/>
        <v>0</v>
      </c>
      <c r="AK45" s="49"/>
    </row>
    <row r="46" spans="1:88" x14ac:dyDescent="0.25">
      <c r="A46" s="64" t="s">
        <v>54</v>
      </c>
      <c r="B46" s="65">
        <v>28</v>
      </c>
      <c r="C46" s="65">
        <v>28</v>
      </c>
      <c r="D46" s="65">
        <v>28</v>
      </c>
      <c r="E46" s="65">
        <v>28</v>
      </c>
      <c r="F46" s="65">
        <v>28</v>
      </c>
      <c r="G46" s="65">
        <v>28</v>
      </c>
      <c r="H46" s="65">
        <v>28</v>
      </c>
      <c r="I46" s="65">
        <v>28</v>
      </c>
      <c r="J46" s="65">
        <v>28</v>
      </c>
      <c r="K46" s="65">
        <v>28</v>
      </c>
      <c r="L46" s="65">
        <v>28</v>
      </c>
      <c r="M46" s="65">
        <v>28</v>
      </c>
      <c r="N46" s="65">
        <v>28</v>
      </c>
      <c r="O46" s="65">
        <v>28</v>
      </c>
      <c r="P46" s="65">
        <v>28</v>
      </c>
      <c r="Q46" s="65">
        <v>28</v>
      </c>
      <c r="R46" s="65">
        <v>28</v>
      </c>
      <c r="S46" s="65">
        <v>28</v>
      </c>
      <c r="T46" s="65">
        <v>28</v>
      </c>
      <c r="U46" s="65">
        <v>28</v>
      </c>
      <c r="V46" s="65">
        <v>28</v>
      </c>
      <c r="W46" s="65">
        <v>28</v>
      </c>
      <c r="X46" s="65">
        <v>28</v>
      </c>
      <c r="Y46" s="65">
        <v>28</v>
      </c>
      <c r="Z46" s="65">
        <v>28</v>
      </c>
      <c r="AA46" s="65">
        <v>28</v>
      </c>
      <c r="AB46" s="65">
        <v>28</v>
      </c>
      <c r="AC46" s="65">
        <v>28</v>
      </c>
      <c r="AD46" s="65">
        <v>28</v>
      </c>
      <c r="AE46" s="65">
        <v>28</v>
      </c>
      <c r="AF46" s="65">
        <v>28</v>
      </c>
      <c r="AG46" s="54">
        <v>60</v>
      </c>
      <c r="AH46" s="47">
        <f t="shared" si="2"/>
        <v>28</v>
      </c>
      <c r="AI46" s="48">
        <f t="shared" si="3"/>
        <v>28</v>
      </c>
      <c r="AK46" s="49"/>
    </row>
    <row r="47" spans="1:88" ht="15.75" thickBot="1" x14ac:dyDescent="0.3">
      <c r="A47" s="66" t="s">
        <v>55</v>
      </c>
      <c r="B47" s="67">
        <v>17.100000000000001</v>
      </c>
      <c r="C47" s="67">
        <v>17.100000000000001</v>
      </c>
      <c r="D47" s="67">
        <v>17.100000000000001</v>
      </c>
      <c r="E47" s="67">
        <v>17.100000000000001</v>
      </c>
      <c r="F47" s="67">
        <v>17.100000000000001</v>
      </c>
      <c r="G47" s="67">
        <v>17.100000000000001</v>
      </c>
      <c r="H47" s="67">
        <v>17.100000000000001</v>
      </c>
      <c r="I47" s="67">
        <v>17.100000000000001</v>
      </c>
      <c r="J47" s="67">
        <v>17.100000000000001</v>
      </c>
      <c r="K47" s="67">
        <v>17.100000000000001</v>
      </c>
      <c r="L47" s="67">
        <v>17.100000000000001</v>
      </c>
      <c r="M47" s="67">
        <v>10.199999999999999</v>
      </c>
      <c r="N47" s="67">
        <v>10.199999999999999</v>
      </c>
      <c r="O47" s="67">
        <v>10.199999999999999</v>
      </c>
      <c r="P47" s="67">
        <v>10.199999999999999</v>
      </c>
      <c r="Q47" s="67">
        <v>10.199999999999999</v>
      </c>
      <c r="R47" s="67">
        <v>10.199999999999999</v>
      </c>
      <c r="S47" s="67">
        <v>8.1999999999999993</v>
      </c>
      <c r="T47" s="67">
        <v>8.1999999999999993</v>
      </c>
      <c r="U47" s="67">
        <v>8.1999999999999993</v>
      </c>
      <c r="V47" s="67">
        <v>8.1999999999999993</v>
      </c>
      <c r="W47" s="67">
        <v>8.1999999999999993</v>
      </c>
      <c r="X47" s="67">
        <v>8.1999999999999993</v>
      </c>
      <c r="Y47" s="67">
        <v>17</v>
      </c>
      <c r="Z47" s="67">
        <v>17</v>
      </c>
      <c r="AA47" s="67">
        <v>17</v>
      </c>
      <c r="AB47" s="67">
        <v>17.100000000000001</v>
      </c>
      <c r="AC47" s="67">
        <v>17</v>
      </c>
      <c r="AD47" s="67">
        <v>17</v>
      </c>
      <c r="AE47" s="67">
        <v>17</v>
      </c>
      <c r="AF47" s="67">
        <v>9.1999999999999993</v>
      </c>
      <c r="AG47" s="68">
        <v>22.1</v>
      </c>
      <c r="AH47" s="47">
        <f t="shared" si="2"/>
        <v>17.100000000000001</v>
      </c>
      <c r="AI47" s="48">
        <f t="shared" si="3"/>
        <v>8.1999999999999993</v>
      </c>
      <c r="AK47" s="49"/>
    </row>
    <row r="48" spans="1:88" ht="15.75" thickBot="1" x14ac:dyDescent="0.3">
      <c r="A48" s="69" t="s">
        <v>56</v>
      </c>
      <c r="B48" s="60">
        <f t="shared" ref="B48:AG48" si="6">SUM(B45:B47)</f>
        <v>45.1</v>
      </c>
      <c r="C48" s="60">
        <f t="shared" si="6"/>
        <v>45.1</v>
      </c>
      <c r="D48" s="60">
        <f t="shared" si="6"/>
        <v>45.1</v>
      </c>
      <c r="E48" s="60">
        <f t="shared" si="6"/>
        <v>45.1</v>
      </c>
      <c r="F48" s="60">
        <f t="shared" si="6"/>
        <v>45.1</v>
      </c>
      <c r="G48" s="60">
        <f t="shared" si="6"/>
        <v>45.1</v>
      </c>
      <c r="H48" s="60">
        <f t="shared" si="6"/>
        <v>45.1</v>
      </c>
      <c r="I48" s="60">
        <f t="shared" si="6"/>
        <v>95.1</v>
      </c>
      <c r="J48" s="60">
        <f t="shared" si="6"/>
        <v>145.1</v>
      </c>
      <c r="K48" s="60">
        <f t="shared" si="6"/>
        <v>165.1</v>
      </c>
      <c r="L48" s="60">
        <f t="shared" si="6"/>
        <v>165.1</v>
      </c>
      <c r="M48" s="60">
        <f t="shared" si="6"/>
        <v>148.19999999999999</v>
      </c>
      <c r="N48" s="60">
        <f t="shared" si="6"/>
        <v>158.19999999999999</v>
      </c>
      <c r="O48" s="60">
        <f t="shared" si="6"/>
        <v>158.19999999999999</v>
      </c>
      <c r="P48" s="60">
        <f t="shared" si="6"/>
        <v>108.2</v>
      </c>
      <c r="Q48" s="60">
        <f t="shared" si="6"/>
        <v>98.2</v>
      </c>
      <c r="R48" s="60">
        <f t="shared" si="6"/>
        <v>128.19999999999999</v>
      </c>
      <c r="S48" s="60">
        <f t="shared" si="6"/>
        <v>106.2</v>
      </c>
      <c r="T48" s="60">
        <f t="shared" si="6"/>
        <v>126.2</v>
      </c>
      <c r="U48" s="60">
        <f t="shared" si="6"/>
        <v>131.19999999999999</v>
      </c>
      <c r="V48" s="60">
        <f t="shared" si="6"/>
        <v>96.2</v>
      </c>
      <c r="W48" s="60">
        <f t="shared" si="6"/>
        <v>126.2</v>
      </c>
      <c r="X48" s="60">
        <f t="shared" ref="X48" si="7">SUM(X45:X47)</f>
        <v>126.2</v>
      </c>
      <c r="Y48" s="60">
        <f t="shared" si="6"/>
        <v>235</v>
      </c>
      <c r="Z48" s="60">
        <f t="shared" si="6"/>
        <v>385</v>
      </c>
      <c r="AA48" s="60">
        <f t="shared" si="6"/>
        <v>365</v>
      </c>
      <c r="AB48" s="60">
        <f t="shared" si="6"/>
        <v>135.1</v>
      </c>
      <c r="AC48" s="60">
        <f t="shared" si="6"/>
        <v>145</v>
      </c>
      <c r="AD48" s="60">
        <f t="shared" si="6"/>
        <v>135</v>
      </c>
      <c r="AE48" s="60">
        <f t="shared" si="6"/>
        <v>105</v>
      </c>
      <c r="AF48" s="60">
        <f t="shared" si="6"/>
        <v>72.2</v>
      </c>
      <c r="AG48" s="61">
        <f t="shared" si="6"/>
        <v>538.1</v>
      </c>
      <c r="AH48" s="47">
        <f t="shared" si="2"/>
        <v>385</v>
      </c>
      <c r="AI48" s="48">
        <f t="shared" si="3"/>
        <v>45.1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0</v>
      </c>
      <c r="I49" s="45">
        <v>48</v>
      </c>
      <c r="J49" s="45">
        <v>125</v>
      </c>
      <c r="K49" s="45">
        <v>140</v>
      </c>
      <c r="L49" s="45">
        <v>140</v>
      </c>
      <c r="M49" s="45">
        <v>110</v>
      </c>
      <c r="N49" s="45">
        <v>106.7</v>
      </c>
      <c r="O49" s="45">
        <v>61.2</v>
      </c>
      <c r="P49" s="45">
        <v>61.2</v>
      </c>
      <c r="Q49" s="45">
        <v>61.2</v>
      </c>
      <c r="R49" s="45">
        <v>132.19999999999999</v>
      </c>
      <c r="S49" s="45">
        <v>135</v>
      </c>
      <c r="T49" s="45">
        <v>82</v>
      </c>
      <c r="U49" s="45">
        <v>45.7</v>
      </c>
      <c r="V49" s="45">
        <v>60</v>
      </c>
      <c r="W49" s="45">
        <v>61</v>
      </c>
      <c r="X49" s="45">
        <v>61</v>
      </c>
      <c r="Y49" s="45">
        <v>90</v>
      </c>
      <c r="Z49" s="45">
        <v>72.3</v>
      </c>
      <c r="AA49" s="45">
        <v>59</v>
      </c>
      <c r="AB49" s="45">
        <v>58.7</v>
      </c>
      <c r="AC49" s="45">
        <v>58.9</v>
      </c>
      <c r="AD49" s="45">
        <v>59.3</v>
      </c>
      <c r="AE49" s="45">
        <v>35</v>
      </c>
      <c r="AF49" s="45">
        <v>0</v>
      </c>
      <c r="AG49" s="51">
        <v>144</v>
      </c>
      <c r="AH49" s="47">
        <f t="shared" si="2"/>
        <v>140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29</v>
      </c>
      <c r="C50" s="65">
        <v>29</v>
      </c>
      <c r="D50" s="65">
        <v>0</v>
      </c>
      <c r="E50" s="65">
        <v>0</v>
      </c>
      <c r="F50" s="65">
        <v>0</v>
      </c>
      <c r="G50" s="65">
        <v>0</v>
      </c>
      <c r="H50" s="65">
        <v>20</v>
      </c>
      <c r="I50" s="65">
        <v>28.9</v>
      </c>
      <c r="J50" s="65">
        <v>48.4</v>
      </c>
      <c r="K50" s="65">
        <v>59.1</v>
      </c>
      <c r="L50" s="65">
        <v>64.7</v>
      </c>
      <c r="M50" s="65">
        <v>50</v>
      </c>
      <c r="N50" s="65">
        <v>33.799999999999997</v>
      </c>
      <c r="O50" s="65">
        <v>24.4</v>
      </c>
      <c r="P50" s="65">
        <v>21.4</v>
      </c>
      <c r="Q50" s="65">
        <v>21.4</v>
      </c>
      <c r="R50" s="45">
        <v>50.4</v>
      </c>
      <c r="S50" s="45">
        <v>45</v>
      </c>
      <c r="T50" s="45">
        <v>0</v>
      </c>
      <c r="U50" s="45">
        <v>0</v>
      </c>
      <c r="V50" s="45">
        <v>22</v>
      </c>
      <c r="W50" s="45">
        <v>22</v>
      </c>
      <c r="X50" s="45">
        <v>22</v>
      </c>
      <c r="Y50" s="45">
        <v>67</v>
      </c>
      <c r="Z50" s="45">
        <v>50.9</v>
      </c>
      <c r="AA50" s="45">
        <v>30</v>
      </c>
      <c r="AB50" s="65">
        <v>29</v>
      </c>
      <c r="AC50" s="65">
        <v>31.2</v>
      </c>
      <c r="AD50" s="65">
        <v>31.6</v>
      </c>
      <c r="AE50" s="65">
        <v>31</v>
      </c>
      <c r="AF50" s="65">
        <v>35.299999999999997</v>
      </c>
      <c r="AG50" s="54">
        <v>70</v>
      </c>
      <c r="AH50" s="47">
        <f t="shared" si="2"/>
        <v>67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32</v>
      </c>
      <c r="C51" s="65">
        <v>35</v>
      </c>
      <c r="D51" s="65">
        <v>33</v>
      </c>
      <c r="E51" s="65">
        <v>62.6</v>
      </c>
      <c r="F51" s="65">
        <v>23</v>
      </c>
      <c r="G51" s="65">
        <v>16</v>
      </c>
      <c r="H51" s="65">
        <v>23</v>
      </c>
      <c r="I51" s="65">
        <v>45.7</v>
      </c>
      <c r="J51" s="65">
        <v>62.9</v>
      </c>
      <c r="K51" s="65">
        <v>62.9</v>
      </c>
      <c r="L51" s="65">
        <v>55.1</v>
      </c>
      <c r="M51" s="65">
        <v>36</v>
      </c>
      <c r="N51" s="65">
        <v>32.4</v>
      </c>
      <c r="O51" s="65">
        <v>16.399999999999999</v>
      </c>
      <c r="P51" s="65">
        <v>16.399999999999999</v>
      </c>
      <c r="Q51" s="65">
        <v>16.399999999999999</v>
      </c>
      <c r="R51" s="45">
        <v>16.100000000000001</v>
      </c>
      <c r="S51" s="45">
        <v>34.6</v>
      </c>
      <c r="T51" s="45">
        <v>47.6</v>
      </c>
      <c r="U51" s="45">
        <v>35.1</v>
      </c>
      <c r="V51" s="45">
        <v>16</v>
      </c>
      <c r="W51" s="45">
        <v>0</v>
      </c>
      <c r="X51" s="45">
        <v>0</v>
      </c>
      <c r="Y51" s="45">
        <v>53</v>
      </c>
      <c r="Z51" s="45">
        <v>32</v>
      </c>
      <c r="AA51" s="45">
        <v>35</v>
      </c>
      <c r="AB51" s="65">
        <v>36.5</v>
      </c>
      <c r="AC51" s="65">
        <v>36.799999999999997</v>
      </c>
      <c r="AD51" s="65">
        <v>45.3</v>
      </c>
      <c r="AE51" s="65">
        <v>46</v>
      </c>
      <c r="AF51" s="65">
        <v>21.9</v>
      </c>
      <c r="AG51" s="54">
        <v>69</v>
      </c>
      <c r="AH51" s="47">
        <f t="shared" si="2"/>
        <v>62.9</v>
      </c>
      <c r="AI51" s="48">
        <f t="shared" si="3"/>
        <v>0</v>
      </c>
      <c r="AK51" s="49"/>
    </row>
    <row r="52" spans="1:41" x14ac:dyDescent="0.25">
      <c r="A52" s="53" t="s">
        <v>60</v>
      </c>
      <c r="B52" s="56">
        <v>48</v>
      </c>
      <c r="C52" s="56">
        <v>48</v>
      </c>
      <c r="D52" s="56">
        <v>48</v>
      </c>
      <c r="E52" s="56">
        <v>48</v>
      </c>
      <c r="F52" s="56">
        <v>48</v>
      </c>
      <c r="G52" s="56">
        <v>48</v>
      </c>
      <c r="H52" s="56">
        <v>48</v>
      </c>
      <c r="I52" s="56">
        <v>48</v>
      </c>
      <c r="J52" s="56">
        <v>48</v>
      </c>
      <c r="K52" s="56">
        <v>48</v>
      </c>
      <c r="L52" s="56">
        <v>48</v>
      </c>
      <c r="M52" s="56">
        <v>48</v>
      </c>
      <c r="N52" s="65">
        <v>43.1</v>
      </c>
      <c r="O52" s="65">
        <v>43.1</v>
      </c>
      <c r="P52" s="65">
        <v>43.1</v>
      </c>
      <c r="Q52" s="65">
        <v>43.1</v>
      </c>
      <c r="R52" s="45">
        <v>43.6</v>
      </c>
      <c r="S52" s="45">
        <v>43.6</v>
      </c>
      <c r="T52" s="45">
        <v>43.6</v>
      </c>
      <c r="U52" s="45">
        <v>43.6</v>
      </c>
      <c r="V52" s="45">
        <v>43.6</v>
      </c>
      <c r="W52" s="45">
        <v>43.6</v>
      </c>
      <c r="X52" s="45">
        <v>43.6</v>
      </c>
      <c r="Y52" s="65">
        <v>43.6</v>
      </c>
      <c r="Z52" s="65">
        <v>41.6</v>
      </c>
      <c r="AA52" s="65">
        <v>41.6</v>
      </c>
      <c r="AB52" s="65">
        <v>41.6</v>
      </c>
      <c r="AC52" s="65">
        <v>41.6</v>
      </c>
      <c r="AD52" s="65">
        <v>42.3</v>
      </c>
      <c r="AE52" s="65">
        <v>46.4</v>
      </c>
      <c r="AF52" s="65">
        <v>47.9</v>
      </c>
      <c r="AG52" s="54">
        <v>60</v>
      </c>
      <c r="AH52" s="47">
        <f t="shared" si="2"/>
        <v>48</v>
      </c>
      <c r="AI52" s="48">
        <f t="shared" si="3"/>
        <v>41.6</v>
      </c>
      <c r="AK52" s="49"/>
    </row>
    <row r="53" spans="1:41" x14ac:dyDescent="0.25">
      <c r="A53" s="53" t="s">
        <v>61</v>
      </c>
      <c r="B53" s="56">
        <v>0</v>
      </c>
      <c r="C53" s="56">
        <v>0</v>
      </c>
      <c r="D53" s="56">
        <v>0</v>
      </c>
      <c r="E53" s="56">
        <v>0</v>
      </c>
      <c r="F53" s="56">
        <v>0</v>
      </c>
      <c r="G53" s="56">
        <v>0</v>
      </c>
      <c r="H53" s="56">
        <v>0</v>
      </c>
      <c r="I53" s="56">
        <v>0</v>
      </c>
      <c r="J53" s="56">
        <v>26</v>
      </c>
      <c r="K53" s="56">
        <v>26</v>
      </c>
      <c r="L53" s="56">
        <v>26</v>
      </c>
      <c r="M53" s="56">
        <v>26</v>
      </c>
      <c r="N53" s="65">
        <v>24</v>
      </c>
      <c r="O53" s="65">
        <v>15</v>
      </c>
      <c r="P53" s="65">
        <v>15</v>
      </c>
      <c r="Q53" s="65">
        <v>15</v>
      </c>
      <c r="R53" s="45">
        <v>13</v>
      </c>
      <c r="S53" s="45">
        <v>13</v>
      </c>
      <c r="T53" s="45">
        <v>0</v>
      </c>
      <c r="U53" s="45">
        <v>0</v>
      </c>
      <c r="V53" s="45">
        <v>0</v>
      </c>
      <c r="W53" s="45">
        <v>0</v>
      </c>
      <c r="X53" s="45">
        <v>0</v>
      </c>
      <c r="Y53" s="65">
        <v>25</v>
      </c>
      <c r="Z53" s="65">
        <v>30</v>
      </c>
      <c r="AA53" s="65">
        <v>30</v>
      </c>
      <c r="AB53" s="65">
        <v>25</v>
      </c>
      <c r="AC53" s="65">
        <v>25</v>
      </c>
      <c r="AD53" s="65">
        <v>13</v>
      </c>
      <c r="AE53" s="65">
        <v>0</v>
      </c>
      <c r="AF53" s="65">
        <v>0</v>
      </c>
      <c r="AG53" s="54">
        <v>30</v>
      </c>
      <c r="AH53" s="47">
        <f t="shared" si="2"/>
        <v>30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65">
        <v>2</v>
      </c>
      <c r="O54" s="65">
        <v>4</v>
      </c>
      <c r="P54" s="65">
        <v>4</v>
      </c>
      <c r="Q54" s="65">
        <v>4</v>
      </c>
      <c r="R54" s="45">
        <v>8</v>
      </c>
      <c r="S54" s="45">
        <v>8</v>
      </c>
      <c r="T54" s="45">
        <v>8</v>
      </c>
      <c r="U54" s="45">
        <v>8</v>
      </c>
      <c r="V54" s="45">
        <v>8</v>
      </c>
      <c r="W54" s="45">
        <v>8</v>
      </c>
      <c r="X54" s="45">
        <v>8</v>
      </c>
      <c r="Y54" s="65">
        <v>8</v>
      </c>
      <c r="Z54" s="65">
        <v>8</v>
      </c>
      <c r="AA54" s="65">
        <v>8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8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16</v>
      </c>
      <c r="C55" s="65">
        <v>16</v>
      </c>
      <c r="D55" s="65">
        <v>16</v>
      </c>
      <c r="E55" s="65">
        <v>16</v>
      </c>
      <c r="F55" s="65">
        <v>16</v>
      </c>
      <c r="G55" s="65">
        <v>16</v>
      </c>
      <c r="H55" s="65">
        <v>16</v>
      </c>
      <c r="I55" s="65">
        <v>16</v>
      </c>
      <c r="J55" s="65">
        <v>16</v>
      </c>
      <c r="K55" s="65">
        <v>16</v>
      </c>
      <c r="L55" s="65">
        <v>16</v>
      </c>
      <c r="M55" s="65">
        <v>16</v>
      </c>
      <c r="N55" s="65">
        <v>16</v>
      </c>
      <c r="O55" s="65">
        <v>16</v>
      </c>
      <c r="P55" s="65">
        <v>16</v>
      </c>
      <c r="Q55" s="65">
        <v>16</v>
      </c>
      <c r="R55" s="65">
        <v>16</v>
      </c>
      <c r="S55" s="65">
        <v>16</v>
      </c>
      <c r="T55" s="65">
        <v>16</v>
      </c>
      <c r="U55" s="65">
        <v>16</v>
      </c>
      <c r="V55" s="65">
        <v>16</v>
      </c>
      <c r="W55" s="65">
        <v>16</v>
      </c>
      <c r="X55" s="65">
        <v>16</v>
      </c>
      <c r="Y55" s="65">
        <v>16</v>
      </c>
      <c r="Z55" s="65">
        <v>16</v>
      </c>
      <c r="AA55" s="65">
        <v>16</v>
      </c>
      <c r="AB55" s="65">
        <v>16</v>
      </c>
      <c r="AC55" s="65">
        <v>16</v>
      </c>
      <c r="AD55" s="65">
        <v>16</v>
      </c>
      <c r="AE55" s="65">
        <v>16</v>
      </c>
      <c r="AF55" s="65">
        <v>16</v>
      </c>
      <c r="AG55" s="54">
        <v>24</v>
      </c>
      <c r="AH55" s="47">
        <f t="shared" si="2"/>
        <v>16</v>
      </c>
      <c r="AI55" s="48">
        <f t="shared" si="3"/>
        <v>16</v>
      </c>
      <c r="AK55" s="49"/>
    </row>
    <row r="56" spans="1:41" x14ac:dyDescent="0.25">
      <c r="A56" s="53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4">
        <v>15</v>
      </c>
      <c r="AH56" s="47">
        <f t="shared" si="2"/>
        <v>3.2</v>
      </c>
      <c r="AI56" s="48">
        <f t="shared" si="3"/>
        <v>3.2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10.6</v>
      </c>
      <c r="C57" s="65">
        <v>10.6</v>
      </c>
      <c r="D57" s="65">
        <v>10.6</v>
      </c>
      <c r="E57" s="65">
        <v>10.6</v>
      </c>
      <c r="F57" s="65">
        <v>10.6</v>
      </c>
      <c r="G57" s="65">
        <v>10.6</v>
      </c>
      <c r="H57" s="65">
        <v>10.6</v>
      </c>
      <c r="I57" s="65">
        <v>10.6</v>
      </c>
      <c r="J57" s="65">
        <v>10.6</v>
      </c>
      <c r="K57" s="65">
        <v>10.6</v>
      </c>
      <c r="L57" s="65">
        <v>10.6</v>
      </c>
      <c r="M57" s="65">
        <v>10.6</v>
      </c>
      <c r="N57" s="65">
        <v>10.6</v>
      </c>
      <c r="O57" s="65">
        <v>10.6</v>
      </c>
      <c r="P57" s="65">
        <v>10.6</v>
      </c>
      <c r="Q57" s="65">
        <v>10.6</v>
      </c>
      <c r="R57" s="65">
        <v>10.6</v>
      </c>
      <c r="S57" s="65">
        <v>10.6</v>
      </c>
      <c r="T57" s="65">
        <v>10.6</v>
      </c>
      <c r="U57" s="65">
        <v>10.6</v>
      </c>
      <c r="V57" s="65">
        <v>10.6</v>
      </c>
      <c r="W57" s="65">
        <v>10.6</v>
      </c>
      <c r="X57" s="65">
        <v>10.6</v>
      </c>
      <c r="Y57" s="65">
        <v>10.6</v>
      </c>
      <c r="Z57" s="65">
        <v>10.6</v>
      </c>
      <c r="AA57" s="65">
        <v>10.6</v>
      </c>
      <c r="AB57" s="65">
        <v>10.6</v>
      </c>
      <c r="AC57" s="65">
        <v>10.6</v>
      </c>
      <c r="AD57" s="65">
        <v>10.6</v>
      </c>
      <c r="AE57" s="65">
        <v>10.6</v>
      </c>
      <c r="AF57" s="65">
        <v>10.6</v>
      </c>
      <c r="AG57" s="54">
        <v>14.1</v>
      </c>
      <c r="AH57" s="47">
        <f t="shared" si="2"/>
        <v>10.6</v>
      </c>
      <c r="AI57" s="48">
        <f t="shared" si="3"/>
        <v>10.6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4.8</v>
      </c>
      <c r="C58" s="65">
        <v>4.8</v>
      </c>
      <c r="D58" s="65">
        <v>4.8</v>
      </c>
      <c r="E58" s="65">
        <v>4.8</v>
      </c>
      <c r="F58" s="65">
        <v>4.8</v>
      </c>
      <c r="G58" s="65">
        <v>4.8</v>
      </c>
      <c r="H58" s="65">
        <v>4.8</v>
      </c>
      <c r="I58" s="65">
        <v>4.8</v>
      </c>
      <c r="J58" s="65">
        <v>4.8</v>
      </c>
      <c r="K58" s="65">
        <v>4.8</v>
      </c>
      <c r="L58" s="65">
        <v>4.8</v>
      </c>
      <c r="M58" s="65">
        <v>3.2</v>
      </c>
      <c r="N58" s="65">
        <v>3.2</v>
      </c>
      <c r="O58" s="65">
        <v>3.1</v>
      </c>
      <c r="P58" s="65">
        <v>3.1</v>
      </c>
      <c r="Q58" s="65">
        <v>3.1</v>
      </c>
      <c r="R58" s="65">
        <v>3.1</v>
      </c>
      <c r="S58" s="65">
        <v>3.1</v>
      </c>
      <c r="T58" s="65">
        <v>3.1</v>
      </c>
      <c r="U58" s="65">
        <v>3.1</v>
      </c>
      <c r="V58" s="65">
        <v>3.1</v>
      </c>
      <c r="W58" s="65">
        <v>3.1</v>
      </c>
      <c r="X58" s="65">
        <v>3.1</v>
      </c>
      <c r="Y58" s="65">
        <v>3.1</v>
      </c>
      <c r="Z58" s="65">
        <v>3.1</v>
      </c>
      <c r="AA58" s="65">
        <v>3.1</v>
      </c>
      <c r="AB58" s="65">
        <v>3.1</v>
      </c>
      <c r="AC58" s="65">
        <v>3.1</v>
      </c>
      <c r="AD58" s="65">
        <v>3.1</v>
      </c>
      <c r="AE58" s="65">
        <v>3.1</v>
      </c>
      <c r="AF58" s="65">
        <v>3.1</v>
      </c>
      <c r="AG58" s="54">
        <v>14</v>
      </c>
      <c r="AH58" s="47">
        <f t="shared" si="2"/>
        <v>4.8</v>
      </c>
      <c r="AI58" s="48">
        <f t="shared" si="3"/>
        <v>3.1</v>
      </c>
      <c r="AK58" s="49"/>
    </row>
    <row r="59" spans="1:41" x14ac:dyDescent="0.25">
      <c r="A59" s="53" t="s">
        <v>67</v>
      </c>
      <c r="B59" s="65">
        <v>4</v>
      </c>
      <c r="C59" s="65">
        <v>4</v>
      </c>
      <c r="D59" s="65">
        <v>4</v>
      </c>
      <c r="E59" s="65">
        <v>4</v>
      </c>
      <c r="F59" s="65">
        <v>4</v>
      </c>
      <c r="G59" s="65">
        <v>4</v>
      </c>
      <c r="H59" s="65">
        <v>4</v>
      </c>
      <c r="I59" s="65">
        <v>4</v>
      </c>
      <c r="J59" s="65">
        <v>4</v>
      </c>
      <c r="K59" s="65">
        <v>4</v>
      </c>
      <c r="L59" s="65">
        <v>4</v>
      </c>
      <c r="M59" s="65">
        <v>4.2</v>
      </c>
      <c r="N59" s="65">
        <v>4.2</v>
      </c>
      <c r="O59" s="65">
        <v>4.2</v>
      </c>
      <c r="P59" s="65">
        <v>4.2</v>
      </c>
      <c r="Q59" s="65">
        <v>4.2</v>
      </c>
      <c r="R59" s="65">
        <v>4.2</v>
      </c>
      <c r="S59" s="65">
        <v>4.2</v>
      </c>
      <c r="T59" s="65">
        <v>4.2</v>
      </c>
      <c r="U59" s="65">
        <v>4.2</v>
      </c>
      <c r="V59" s="65">
        <v>4.2</v>
      </c>
      <c r="W59" s="65">
        <v>4.2</v>
      </c>
      <c r="X59" s="65">
        <v>4.2</v>
      </c>
      <c r="Y59" s="65">
        <v>4.2</v>
      </c>
      <c r="Z59" s="65">
        <v>4.2</v>
      </c>
      <c r="AA59" s="65">
        <v>4.2</v>
      </c>
      <c r="AB59" s="65">
        <v>4.2</v>
      </c>
      <c r="AC59" s="65">
        <v>4.2</v>
      </c>
      <c r="AD59" s="65">
        <v>4.2</v>
      </c>
      <c r="AE59" s="65">
        <v>4.2</v>
      </c>
      <c r="AF59" s="65">
        <v>4.2</v>
      </c>
      <c r="AG59" s="54">
        <v>10.050000000000001</v>
      </c>
      <c r="AH59" s="47">
        <f t="shared" si="2"/>
        <v>4.2</v>
      </c>
      <c r="AI59" s="48">
        <f t="shared" si="3"/>
        <v>4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</v>
      </c>
      <c r="AK61" s="49"/>
    </row>
    <row r="62" spans="1:41" ht="15.75" thickBot="1" x14ac:dyDescent="0.3">
      <c r="A62" s="74" t="s">
        <v>70</v>
      </c>
      <c r="B62" s="60">
        <f t="shared" ref="B62:AG62" si="8">SUM(B49:B61)</f>
        <v>154.33999999999997</v>
      </c>
      <c r="C62" s="60">
        <f t="shared" si="8"/>
        <v>157.33999999999997</v>
      </c>
      <c r="D62" s="60">
        <f t="shared" si="8"/>
        <v>126.34</v>
      </c>
      <c r="E62" s="60">
        <f t="shared" si="8"/>
        <v>155.93999999999997</v>
      </c>
      <c r="F62" s="60">
        <f t="shared" si="8"/>
        <v>116.34</v>
      </c>
      <c r="G62" s="60">
        <f t="shared" si="8"/>
        <v>109.34</v>
      </c>
      <c r="H62" s="60">
        <f t="shared" si="8"/>
        <v>136.33999999999997</v>
      </c>
      <c r="I62" s="60">
        <f t="shared" si="8"/>
        <v>215.94</v>
      </c>
      <c r="J62" s="60">
        <f t="shared" si="8"/>
        <v>355.64000000000004</v>
      </c>
      <c r="K62" s="60">
        <f t="shared" si="8"/>
        <v>381.34000000000003</v>
      </c>
      <c r="L62" s="60">
        <f t="shared" si="8"/>
        <v>379.14000000000004</v>
      </c>
      <c r="M62" s="60">
        <f t="shared" si="8"/>
        <v>313.94</v>
      </c>
      <c r="N62" s="60">
        <f t="shared" si="8"/>
        <v>285.94</v>
      </c>
      <c r="O62" s="60">
        <f t="shared" si="8"/>
        <v>207.93999999999994</v>
      </c>
      <c r="P62" s="60">
        <f t="shared" si="8"/>
        <v>204.93999999999994</v>
      </c>
      <c r="Q62" s="60">
        <f t="shared" si="8"/>
        <v>204.93999999999994</v>
      </c>
      <c r="R62" s="60">
        <f t="shared" si="8"/>
        <v>307.14</v>
      </c>
      <c r="S62" s="60">
        <f t="shared" si="8"/>
        <v>323.04000000000002</v>
      </c>
      <c r="T62" s="60">
        <f t="shared" si="8"/>
        <v>225.03999999999994</v>
      </c>
      <c r="U62" s="60">
        <f t="shared" si="8"/>
        <v>176.23999999999995</v>
      </c>
      <c r="V62" s="60">
        <f t="shared" si="8"/>
        <v>193.43999999999994</v>
      </c>
      <c r="W62" s="60">
        <f t="shared" si="8"/>
        <v>178.43999999999994</v>
      </c>
      <c r="X62" s="60">
        <f t="shared" si="8"/>
        <v>178.43999999999994</v>
      </c>
      <c r="Y62" s="60">
        <f t="shared" si="8"/>
        <v>330.40000000000003</v>
      </c>
      <c r="Z62" s="60">
        <f t="shared" si="8"/>
        <v>278.64</v>
      </c>
      <c r="AA62" s="60">
        <f t="shared" si="8"/>
        <v>247.43999999999994</v>
      </c>
      <c r="AB62" s="60">
        <f t="shared" si="8"/>
        <v>234.63999999999996</v>
      </c>
      <c r="AC62" s="60">
        <f t="shared" si="8"/>
        <v>237.33999999999995</v>
      </c>
      <c r="AD62" s="60">
        <f t="shared" si="8"/>
        <v>235.33999999999995</v>
      </c>
      <c r="AE62" s="60">
        <f t="shared" si="8"/>
        <v>202.23999999999995</v>
      </c>
      <c r="AF62" s="60">
        <f t="shared" si="8"/>
        <v>148.93999999999997</v>
      </c>
      <c r="AG62" s="61">
        <f t="shared" si="8"/>
        <v>489.91</v>
      </c>
      <c r="AH62" s="47">
        <f t="shared" si="2"/>
        <v>381.34000000000003</v>
      </c>
      <c r="AI62" s="48">
        <f t="shared" si="3"/>
        <v>109.34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24</v>
      </c>
      <c r="H63" s="45">
        <v>29.3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0</v>
      </c>
      <c r="R63" s="45">
        <v>0</v>
      </c>
      <c r="S63" s="45">
        <v>0</v>
      </c>
      <c r="T63" s="45">
        <v>60</v>
      </c>
      <c r="U63" s="45">
        <v>60</v>
      </c>
      <c r="V63" s="45">
        <v>60</v>
      </c>
      <c r="W63" s="45">
        <v>60</v>
      </c>
      <c r="X63" s="45">
        <v>60</v>
      </c>
      <c r="Y63" s="45">
        <v>60</v>
      </c>
      <c r="Z63" s="45">
        <v>60</v>
      </c>
      <c r="AA63" s="45">
        <v>60</v>
      </c>
      <c r="AB63" s="45">
        <v>48.7</v>
      </c>
      <c r="AC63" s="45">
        <v>29.5</v>
      </c>
      <c r="AD63" s="45">
        <v>29.7</v>
      </c>
      <c r="AE63" s="45">
        <v>29.4</v>
      </c>
      <c r="AF63" s="45">
        <v>24</v>
      </c>
      <c r="AG63" s="51">
        <v>60</v>
      </c>
      <c r="AH63" s="47">
        <f t="shared" si="2"/>
        <v>60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11.3</v>
      </c>
      <c r="H64" s="65">
        <v>14.9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45">
        <v>0</v>
      </c>
      <c r="R64" s="45">
        <v>0</v>
      </c>
      <c r="S64" s="45">
        <v>0</v>
      </c>
      <c r="T64" s="45">
        <v>28</v>
      </c>
      <c r="U64" s="45">
        <v>28</v>
      </c>
      <c r="V64" s="45">
        <v>28</v>
      </c>
      <c r="W64" s="45">
        <v>28</v>
      </c>
      <c r="X64" s="45">
        <v>28</v>
      </c>
      <c r="Y64" s="45">
        <v>28</v>
      </c>
      <c r="Z64" s="45">
        <v>28</v>
      </c>
      <c r="AA64" s="45">
        <v>28</v>
      </c>
      <c r="AB64" s="65">
        <v>20.6</v>
      </c>
      <c r="AC64" s="65">
        <v>13.9</v>
      </c>
      <c r="AD64" s="65">
        <v>14.7</v>
      </c>
      <c r="AE64" s="65">
        <v>13.9</v>
      </c>
      <c r="AF64" s="45">
        <v>5.8</v>
      </c>
      <c r="AG64" s="54">
        <v>32</v>
      </c>
      <c r="AH64" s="47">
        <f t="shared" si="2"/>
        <v>28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4.0999999999999996</v>
      </c>
      <c r="H65" s="67">
        <v>5.4</v>
      </c>
      <c r="I65" s="67">
        <v>0</v>
      </c>
      <c r="J65" s="67">
        <v>0</v>
      </c>
      <c r="K65" s="67">
        <v>0</v>
      </c>
      <c r="L65" s="67">
        <v>0</v>
      </c>
      <c r="M65" s="67">
        <v>0</v>
      </c>
      <c r="N65" s="67">
        <v>0</v>
      </c>
      <c r="O65" s="67">
        <v>0</v>
      </c>
      <c r="P65" s="67">
        <v>0</v>
      </c>
      <c r="Q65" s="45">
        <v>0</v>
      </c>
      <c r="R65" s="45">
        <v>0</v>
      </c>
      <c r="S65" s="45">
        <v>0</v>
      </c>
      <c r="T65" s="45">
        <v>10.4</v>
      </c>
      <c r="U65" s="45">
        <v>10.4</v>
      </c>
      <c r="V65" s="45">
        <v>10.4</v>
      </c>
      <c r="W65" s="45">
        <v>10.4</v>
      </c>
      <c r="X65" s="45">
        <v>10.4</v>
      </c>
      <c r="Y65" s="45">
        <v>10.4</v>
      </c>
      <c r="Z65" s="45">
        <v>10.4</v>
      </c>
      <c r="AA65" s="45">
        <v>10.4</v>
      </c>
      <c r="AB65" s="67">
        <v>7.5</v>
      </c>
      <c r="AC65" s="67">
        <v>5.0999999999999996</v>
      </c>
      <c r="AD65" s="67">
        <v>5.4</v>
      </c>
      <c r="AE65" s="67">
        <v>5.0999999999999996</v>
      </c>
      <c r="AF65" s="45">
        <v>2.1</v>
      </c>
      <c r="AG65" s="68">
        <v>14</v>
      </c>
      <c r="AH65" s="47">
        <f t="shared" si="2"/>
        <v>10.4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f t="shared" ref="G66" si="9">G63+G64+G65</f>
        <v>39.4</v>
      </c>
      <c r="H66" s="60">
        <f t="shared" ref="H66" si="10">H63+H64+H65</f>
        <v>49.6</v>
      </c>
      <c r="I66" s="60">
        <v>0</v>
      </c>
      <c r="J66" s="60">
        <v>0</v>
      </c>
      <c r="K66" s="60">
        <v>0</v>
      </c>
      <c r="L66" s="60">
        <f>L63+L64+L65</f>
        <v>0</v>
      </c>
      <c r="M66" s="60">
        <f t="shared" ref="M66:AF66" si="11">M63+M64+M65</f>
        <v>0</v>
      </c>
      <c r="N66" s="60">
        <f t="shared" si="11"/>
        <v>0</v>
      </c>
      <c r="O66" s="60">
        <f t="shared" si="11"/>
        <v>0</v>
      </c>
      <c r="P66" s="60">
        <f t="shared" si="11"/>
        <v>0</v>
      </c>
      <c r="Q66" s="60">
        <f t="shared" si="11"/>
        <v>0</v>
      </c>
      <c r="R66" s="60">
        <f t="shared" si="11"/>
        <v>0</v>
      </c>
      <c r="S66" s="60">
        <f t="shared" si="11"/>
        <v>0</v>
      </c>
      <c r="T66" s="60">
        <f t="shared" si="11"/>
        <v>98.4</v>
      </c>
      <c r="U66" s="60">
        <f t="shared" si="11"/>
        <v>98.4</v>
      </c>
      <c r="V66" s="60">
        <f t="shared" si="11"/>
        <v>98.4</v>
      </c>
      <c r="W66" s="60">
        <f t="shared" si="11"/>
        <v>98.4</v>
      </c>
      <c r="X66" s="60">
        <f t="shared" si="11"/>
        <v>98.4</v>
      </c>
      <c r="Y66" s="60">
        <f t="shared" si="11"/>
        <v>98.4</v>
      </c>
      <c r="Z66" s="60">
        <f t="shared" si="11"/>
        <v>98.4</v>
      </c>
      <c r="AA66" s="60">
        <f t="shared" si="11"/>
        <v>98.4</v>
      </c>
      <c r="AB66" s="60">
        <f t="shared" si="11"/>
        <v>76.800000000000011</v>
      </c>
      <c r="AC66" s="60">
        <f t="shared" si="11"/>
        <v>48.5</v>
      </c>
      <c r="AD66" s="60">
        <f t="shared" si="11"/>
        <v>49.8</v>
      </c>
      <c r="AE66" s="60">
        <f t="shared" si="11"/>
        <v>48.4</v>
      </c>
      <c r="AF66" s="60">
        <f t="shared" si="11"/>
        <v>31.900000000000002</v>
      </c>
      <c r="AG66" s="61">
        <f>SUM(AG63:AG65)</f>
        <v>106</v>
      </c>
      <c r="AH66" s="47">
        <f t="shared" si="2"/>
        <v>98.4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65</v>
      </c>
      <c r="C67" s="45">
        <v>64</v>
      </c>
      <c r="D67" s="45">
        <v>69</v>
      </c>
      <c r="E67" s="45">
        <v>44.9</v>
      </c>
      <c r="F67" s="45">
        <v>62</v>
      </c>
      <c r="G67" s="45">
        <v>72</v>
      </c>
      <c r="H67" s="45">
        <v>70.099999999999994</v>
      </c>
      <c r="I67" s="45">
        <v>62</v>
      </c>
      <c r="J67" s="45">
        <v>47.4</v>
      </c>
      <c r="K67" s="45">
        <v>65.3</v>
      </c>
      <c r="L67" s="45">
        <v>66.099999999999994</v>
      </c>
      <c r="M67" s="45">
        <v>62.4</v>
      </c>
      <c r="N67" s="45">
        <v>63.6</v>
      </c>
      <c r="O67" s="45">
        <v>62.1</v>
      </c>
      <c r="P67" s="45">
        <v>71.5</v>
      </c>
      <c r="Q67" s="45">
        <v>62.1</v>
      </c>
      <c r="R67" s="45">
        <v>66.099999999999994</v>
      </c>
      <c r="S67" s="45">
        <v>68.599999999999994</v>
      </c>
      <c r="T67" s="45">
        <v>72.3</v>
      </c>
      <c r="U67" s="45">
        <v>75</v>
      </c>
      <c r="V67" s="45">
        <v>67</v>
      </c>
      <c r="W67" s="45">
        <v>65</v>
      </c>
      <c r="X67" s="45">
        <v>65</v>
      </c>
      <c r="Y67" s="45">
        <v>70</v>
      </c>
      <c r="Z67" s="45">
        <v>64</v>
      </c>
      <c r="AA67" s="45">
        <v>62</v>
      </c>
      <c r="AB67" s="45">
        <v>56.3</v>
      </c>
      <c r="AC67" s="45">
        <v>59</v>
      </c>
      <c r="AD67" s="45">
        <v>68.599999999999994</v>
      </c>
      <c r="AE67" s="45">
        <v>71.400000000000006</v>
      </c>
      <c r="AF67" s="45">
        <v>68.5</v>
      </c>
      <c r="AG67" s="51"/>
      <c r="AH67" s="47">
        <f t="shared" si="2"/>
        <v>75</v>
      </c>
      <c r="AI67" s="48">
        <f t="shared" si="3"/>
        <v>44.9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350</v>
      </c>
      <c r="C69" s="65">
        <v>355</v>
      </c>
      <c r="D69" s="65">
        <v>330</v>
      </c>
      <c r="E69" s="65">
        <v>350</v>
      </c>
      <c r="F69" s="65">
        <v>380</v>
      </c>
      <c r="G69" s="65">
        <v>360</v>
      </c>
      <c r="H69" s="65">
        <v>350</v>
      </c>
      <c r="I69" s="65">
        <v>340</v>
      </c>
      <c r="J69" s="65">
        <v>320</v>
      </c>
      <c r="K69" s="65">
        <v>305</v>
      </c>
      <c r="L69" s="65">
        <v>306</v>
      </c>
      <c r="M69" s="65">
        <v>291.39999999999998</v>
      </c>
      <c r="N69" s="65">
        <v>280.7</v>
      </c>
      <c r="O69" s="65">
        <v>282.8</v>
      </c>
      <c r="P69" s="65">
        <v>301</v>
      </c>
      <c r="Q69" s="65">
        <v>358.6</v>
      </c>
      <c r="R69" s="65">
        <v>335.2</v>
      </c>
      <c r="S69" s="65">
        <v>347</v>
      </c>
      <c r="T69" s="65">
        <v>333</v>
      </c>
      <c r="U69" s="65">
        <v>326</v>
      </c>
      <c r="V69" s="65">
        <v>335</v>
      </c>
      <c r="W69" s="65">
        <v>352</v>
      </c>
      <c r="X69" s="65">
        <v>354</v>
      </c>
      <c r="Y69" s="65">
        <v>309</v>
      </c>
      <c r="Z69" s="65">
        <v>151</v>
      </c>
      <c r="AA69" s="65">
        <v>109</v>
      </c>
      <c r="AB69" s="65">
        <v>273</v>
      </c>
      <c r="AC69" s="65">
        <v>274.10000000000002</v>
      </c>
      <c r="AD69" s="65">
        <v>280</v>
      </c>
      <c r="AE69" s="65">
        <v>326.5</v>
      </c>
      <c r="AF69" s="65">
        <v>338.8</v>
      </c>
      <c r="AG69" s="75"/>
      <c r="AH69" s="47">
        <f t="shared" si="2"/>
        <v>380</v>
      </c>
      <c r="AI69" s="48">
        <f t="shared" si="3"/>
        <v>109</v>
      </c>
      <c r="AK69" s="49"/>
    </row>
    <row r="70" spans="1:40" x14ac:dyDescent="0.25">
      <c r="A70" s="53" t="s">
        <v>78</v>
      </c>
      <c r="B70" s="76">
        <v>60</v>
      </c>
      <c r="C70" s="76">
        <v>50</v>
      </c>
      <c r="D70" s="76">
        <v>58</v>
      </c>
      <c r="E70" s="76">
        <v>58</v>
      </c>
      <c r="F70" s="76">
        <v>58</v>
      </c>
      <c r="G70" s="76">
        <v>58</v>
      </c>
      <c r="H70" s="76">
        <v>58</v>
      </c>
      <c r="I70" s="76">
        <v>58</v>
      </c>
      <c r="J70" s="76">
        <v>58</v>
      </c>
      <c r="K70" s="76">
        <v>58</v>
      </c>
      <c r="L70" s="76">
        <v>58</v>
      </c>
      <c r="M70" s="76">
        <v>34</v>
      </c>
      <c r="N70" s="76">
        <v>40</v>
      </c>
      <c r="O70" s="76">
        <v>40</v>
      </c>
      <c r="P70" s="76">
        <v>39</v>
      </c>
      <c r="Q70" s="76">
        <v>50</v>
      </c>
      <c r="R70" s="76">
        <v>57.1</v>
      </c>
      <c r="S70" s="76">
        <v>63.7</v>
      </c>
      <c r="T70" s="76">
        <v>63.7</v>
      </c>
      <c r="U70" s="76">
        <v>68</v>
      </c>
      <c r="V70" s="76">
        <v>68</v>
      </c>
      <c r="W70" s="76">
        <v>68</v>
      </c>
      <c r="X70" s="76">
        <v>46</v>
      </c>
      <c r="Y70" s="65">
        <v>33</v>
      </c>
      <c r="Z70" s="65">
        <v>33</v>
      </c>
      <c r="AA70" s="65">
        <v>51</v>
      </c>
      <c r="AB70" s="65">
        <v>56.3</v>
      </c>
      <c r="AC70" s="65">
        <v>50.2</v>
      </c>
      <c r="AD70" s="65">
        <v>58.3</v>
      </c>
      <c r="AE70" s="65">
        <v>58.3</v>
      </c>
      <c r="AF70" s="65">
        <v>59.9</v>
      </c>
      <c r="AG70" s="75"/>
      <c r="AH70" s="47">
        <f t="shared" si="2"/>
        <v>68</v>
      </c>
      <c r="AI70" s="48">
        <f t="shared" si="3"/>
        <v>33</v>
      </c>
      <c r="AK70" s="49"/>
    </row>
    <row r="71" spans="1:40" x14ac:dyDescent="0.25">
      <c r="A71" s="53" t="s">
        <v>79</v>
      </c>
      <c r="B71" s="45">
        <v>20</v>
      </c>
      <c r="C71" s="45">
        <v>25</v>
      </c>
      <c r="D71" s="45">
        <v>25</v>
      </c>
      <c r="E71" s="45">
        <v>25</v>
      </c>
      <c r="F71" s="45">
        <v>25</v>
      </c>
      <c r="G71" s="45">
        <v>25</v>
      </c>
      <c r="H71" s="45">
        <v>25</v>
      </c>
      <c r="I71" s="45">
        <v>25</v>
      </c>
      <c r="J71" s="45">
        <v>25</v>
      </c>
      <c r="K71" s="45">
        <v>25</v>
      </c>
      <c r="L71" s="45">
        <v>25</v>
      </c>
      <c r="M71" s="45">
        <v>65</v>
      </c>
      <c r="N71" s="45">
        <v>70</v>
      </c>
      <c r="O71" s="45">
        <v>69</v>
      </c>
      <c r="P71" s="45">
        <v>70</v>
      </c>
      <c r="Q71" s="45">
        <v>20.5</v>
      </c>
      <c r="R71" s="45">
        <v>25</v>
      </c>
      <c r="S71" s="45">
        <v>25</v>
      </c>
      <c r="T71" s="45">
        <v>25</v>
      </c>
      <c r="U71" s="45">
        <v>25</v>
      </c>
      <c r="V71" s="45">
        <v>25</v>
      </c>
      <c r="W71" s="45">
        <v>25</v>
      </c>
      <c r="X71" s="45">
        <v>25</v>
      </c>
      <c r="Y71" s="45">
        <v>25</v>
      </c>
      <c r="Z71" s="45">
        <v>56</v>
      </c>
      <c r="AA71" s="45">
        <v>56</v>
      </c>
      <c r="AB71" s="45">
        <v>68</v>
      </c>
      <c r="AC71" s="45">
        <v>69</v>
      </c>
      <c r="AD71" s="45">
        <v>20</v>
      </c>
      <c r="AE71" s="45">
        <v>20</v>
      </c>
      <c r="AF71" s="45">
        <v>21</v>
      </c>
      <c r="AG71" s="75"/>
      <c r="AH71" s="47">
        <f t="shared" si="2"/>
        <v>70</v>
      </c>
      <c r="AI71" s="48">
        <f t="shared" si="3"/>
        <v>20</v>
      </c>
      <c r="AK71" s="49"/>
    </row>
    <row r="72" spans="1:40" x14ac:dyDescent="0.25">
      <c r="A72" s="53" t="s">
        <v>80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0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12">MAX(B75:AF75)</f>
        <v>0</v>
      </c>
      <c r="AI75" s="48">
        <f t="shared" ref="AI75:AI113" si="13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12"/>
        <v>0</v>
      </c>
      <c r="AI76" s="48">
        <f t="shared" si="13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12"/>
        <v>0</v>
      </c>
      <c r="AI77" s="48">
        <f t="shared" si="13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F78" si="14">SUMIF(B67:B77,"&gt;0")</f>
        <v>495</v>
      </c>
      <c r="C78" s="60">
        <f t="shared" si="14"/>
        <v>494</v>
      </c>
      <c r="D78" s="60">
        <f t="shared" si="14"/>
        <v>482</v>
      </c>
      <c r="E78" s="60">
        <f t="shared" si="14"/>
        <v>477.9</v>
      </c>
      <c r="F78" s="60">
        <f t="shared" si="14"/>
        <v>525</v>
      </c>
      <c r="G78" s="60">
        <f t="shared" si="14"/>
        <v>515</v>
      </c>
      <c r="H78" s="60">
        <f t="shared" si="14"/>
        <v>503.1</v>
      </c>
      <c r="I78" s="60">
        <f t="shared" si="14"/>
        <v>485</v>
      </c>
      <c r="J78" s="60">
        <f t="shared" si="14"/>
        <v>450.4</v>
      </c>
      <c r="K78" s="60">
        <f t="shared" si="14"/>
        <v>453.3</v>
      </c>
      <c r="L78" s="60">
        <f t="shared" si="14"/>
        <v>455.1</v>
      </c>
      <c r="M78" s="60">
        <f t="shared" si="14"/>
        <v>452.79999999999995</v>
      </c>
      <c r="N78" s="60">
        <f t="shared" si="14"/>
        <v>459.3</v>
      </c>
      <c r="O78" s="60">
        <f t="shared" si="14"/>
        <v>458.90000000000003</v>
      </c>
      <c r="P78" s="60">
        <f t="shared" si="14"/>
        <v>486.5</v>
      </c>
      <c r="Q78" s="60">
        <f t="shared" si="14"/>
        <v>496.20000000000005</v>
      </c>
      <c r="R78" s="60">
        <f t="shared" si="14"/>
        <v>488.4</v>
      </c>
      <c r="S78" s="60">
        <f t="shared" si="14"/>
        <v>509.3</v>
      </c>
      <c r="T78" s="60">
        <f t="shared" si="14"/>
        <v>499</v>
      </c>
      <c r="U78" s="60">
        <f t="shared" si="14"/>
        <v>499</v>
      </c>
      <c r="V78" s="60">
        <f t="shared" si="14"/>
        <v>500</v>
      </c>
      <c r="W78" s="60">
        <f t="shared" si="14"/>
        <v>515</v>
      </c>
      <c r="X78" s="60">
        <f t="shared" si="14"/>
        <v>495</v>
      </c>
      <c r="Y78" s="60">
        <f t="shared" si="14"/>
        <v>442</v>
      </c>
      <c r="Z78" s="60">
        <f t="shared" si="14"/>
        <v>309</v>
      </c>
      <c r="AA78" s="60">
        <f t="shared" si="14"/>
        <v>283</v>
      </c>
      <c r="AB78" s="60">
        <f t="shared" si="14"/>
        <v>458.6</v>
      </c>
      <c r="AC78" s="60">
        <f t="shared" si="14"/>
        <v>457.3</v>
      </c>
      <c r="AD78" s="60">
        <f t="shared" si="14"/>
        <v>431.90000000000003</v>
      </c>
      <c r="AE78" s="60">
        <f t="shared" si="14"/>
        <v>481.2</v>
      </c>
      <c r="AF78" s="60">
        <f t="shared" si="14"/>
        <v>493.2</v>
      </c>
      <c r="AG78" s="88">
        <f>SUM(AG67:AG77)</f>
        <v>0</v>
      </c>
      <c r="AH78" s="47">
        <f t="shared" si="12"/>
        <v>525</v>
      </c>
      <c r="AI78" s="48">
        <f t="shared" si="13"/>
        <v>283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12"/>
        <v>0</v>
      </c>
      <c r="AI79" s="48">
        <f t="shared" si="13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12"/>
        <v>0</v>
      </c>
      <c r="AI80" s="48">
        <f t="shared" si="13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12"/>
        <v>0</v>
      </c>
      <c r="AI81" s="48">
        <f t="shared" si="13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/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12"/>
        <v>0</v>
      </c>
      <c r="AI82" s="48">
        <f t="shared" si="13"/>
        <v>0</v>
      </c>
    </row>
    <row r="83" spans="1:37" ht="15.75" thickBot="1" x14ac:dyDescent="0.3">
      <c r="A83" s="74" t="s">
        <v>94</v>
      </c>
      <c r="B83" s="95">
        <f>B44+B48+B66+B62+B78+B82</f>
        <v>1063.04</v>
      </c>
      <c r="C83" s="95">
        <f t="shared" ref="C83:AG83" si="15">C44+C48+C66+C62+C78+C82</f>
        <v>1065.04</v>
      </c>
      <c r="D83" s="95">
        <f t="shared" si="15"/>
        <v>1022.0400000000001</v>
      </c>
      <c r="E83" s="95">
        <f t="shared" si="15"/>
        <v>1047.54</v>
      </c>
      <c r="F83" s="95">
        <f t="shared" si="15"/>
        <v>1055.04</v>
      </c>
      <c r="G83" s="95">
        <f t="shared" si="15"/>
        <v>1077.44</v>
      </c>
      <c r="H83" s="95">
        <f t="shared" si="15"/>
        <v>1102.7400000000002</v>
      </c>
      <c r="I83" s="95">
        <f t="shared" si="15"/>
        <v>1164.6400000000001</v>
      </c>
      <c r="J83" s="95">
        <f t="shared" si="15"/>
        <v>1319.7400000000002</v>
      </c>
      <c r="K83" s="95">
        <f t="shared" si="15"/>
        <v>1368.3400000000001</v>
      </c>
      <c r="L83" s="95">
        <f t="shared" si="15"/>
        <v>1367.94</v>
      </c>
      <c r="M83" s="95">
        <f t="shared" si="15"/>
        <v>1283.54</v>
      </c>
      <c r="N83" s="95">
        <f t="shared" si="15"/>
        <v>1272.04</v>
      </c>
      <c r="O83" s="95">
        <f t="shared" si="15"/>
        <v>1193.6399999999999</v>
      </c>
      <c r="P83" s="95">
        <f t="shared" si="15"/>
        <v>1168.24</v>
      </c>
      <c r="Q83" s="95">
        <f t="shared" si="15"/>
        <v>1167.94</v>
      </c>
      <c r="R83" s="95">
        <f t="shared" si="15"/>
        <v>1292.3400000000001</v>
      </c>
      <c r="S83" s="95">
        <f t="shared" si="15"/>
        <v>1307.1400000000001</v>
      </c>
      <c r="T83" s="95">
        <f t="shared" si="15"/>
        <v>1317.24</v>
      </c>
      <c r="U83" s="95">
        <f t="shared" si="15"/>
        <v>1273.44</v>
      </c>
      <c r="V83" s="95">
        <f t="shared" si="15"/>
        <v>1256.6399999999999</v>
      </c>
      <c r="W83" s="95">
        <f t="shared" si="15"/>
        <v>1286.6399999999999</v>
      </c>
      <c r="X83" s="95">
        <f t="shared" si="15"/>
        <v>1266.6399999999999</v>
      </c>
      <c r="Y83" s="95">
        <f t="shared" si="15"/>
        <v>1474.4</v>
      </c>
      <c r="Z83" s="95">
        <f t="shared" si="15"/>
        <v>1439.6399999999999</v>
      </c>
      <c r="AA83" s="95">
        <f t="shared" si="15"/>
        <v>1362.44</v>
      </c>
      <c r="AB83" s="95">
        <f t="shared" si="15"/>
        <v>1270.44</v>
      </c>
      <c r="AC83" s="95">
        <f t="shared" si="15"/>
        <v>1253.3399999999999</v>
      </c>
      <c r="AD83" s="95">
        <f t="shared" si="15"/>
        <v>1220.9399999999998</v>
      </c>
      <c r="AE83" s="95">
        <f t="shared" si="15"/>
        <v>1204.54</v>
      </c>
      <c r="AF83" s="95">
        <f t="shared" si="15"/>
        <v>1110.9399999999998</v>
      </c>
      <c r="AG83" s="61">
        <f t="shared" si="15"/>
        <v>2004.1900000000003</v>
      </c>
      <c r="AH83" s="47">
        <f>MAX(B83:AF83)</f>
        <v>1474.4</v>
      </c>
      <c r="AI83" s="48">
        <f>MIN(B83:AF83)</f>
        <v>1022.0400000000001</v>
      </c>
    </row>
    <row r="84" spans="1:37" ht="15.75" thickBot="1" x14ac:dyDescent="0.3">
      <c r="A84" s="96" t="s">
        <v>95</v>
      </c>
      <c r="B84" s="97">
        <v>0</v>
      </c>
      <c r="C84" s="97"/>
      <c r="D84" s="97"/>
      <c r="E84" s="97"/>
      <c r="F84" s="97"/>
      <c r="G84" s="97"/>
      <c r="H84" s="97"/>
      <c r="I84" s="97"/>
      <c r="J84" s="97"/>
      <c r="K84" s="97"/>
      <c r="L84" s="97">
        <v>120</v>
      </c>
      <c r="M84" s="97">
        <v>100</v>
      </c>
      <c r="N84" s="97">
        <v>100</v>
      </c>
      <c r="O84" s="97">
        <v>100</v>
      </c>
      <c r="P84" s="97">
        <v>80</v>
      </c>
      <c r="Q84" s="97"/>
      <c r="R84" s="97"/>
      <c r="S84" s="97"/>
      <c r="T84" s="97"/>
      <c r="U84" s="97"/>
      <c r="V84" s="97"/>
      <c r="W84" s="97">
        <v>175</v>
      </c>
      <c r="X84" s="97">
        <v>175</v>
      </c>
      <c r="Y84" s="97">
        <v>175</v>
      </c>
      <c r="Z84" s="97">
        <v>175</v>
      </c>
      <c r="AA84" s="97">
        <v>175</v>
      </c>
      <c r="AB84" s="97">
        <v>175</v>
      </c>
      <c r="AC84" s="97">
        <v>120</v>
      </c>
      <c r="AD84" s="97"/>
      <c r="AE84" s="97"/>
      <c r="AF84" s="97"/>
      <c r="AG84" s="88"/>
      <c r="AH84" s="47">
        <f t="shared" si="12"/>
        <v>175</v>
      </c>
      <c r="AI84" s="48">
        <f t="shared" si="13"/>
        <v>0</v>
      </c>
    </row>
    <row r="85" spans="1:37" ht="15.75" thickBot="1" x14ac:dyDescent="0.3">
      <c r="A85" s="74" t="s">
        <v>96</v>
      </c>
      <c r="B85" s="95">
        <f>B83+B84</f>
        <v>1063.04</v>
      </c>
      <c r="C85" s="95">
        <f t="shared" ref="C85:AF85" si="16">C83+C84</f>
        <v>1065.04</v>
      </c>
      <c r="D85" s="95">
        <f t="shared" si="16"/>
        <v>1022.0400000000001</v>
      </c>
      <c r="E85" s="95">
        <f t="shared" si="16"/>
        <v>1047.54</v>
      </c>
      <c r="F85" s="95">
        <f t="shared" si="16"/>
        <v>1055.04</v>
      </c>
      <c r="G85" s="95">
        <f t="shared" si="16"/>
        <v>1077.44</v>
      </c>
      <c r="H85" s="95">
        <f t="shared" si="16"/>
        <v>1102.7400000000002</v>
      </c>
      <c r="I85" s="95">
        <f t="shared" si="16"/>
        <v>1164.6400000000001</v>
      </c>
      <c r="J85" s="95">
        <f t="shared" si="16"/>
        <v>1319.7400000000002</v>
      </c>
      <c r="K85" s="95">
        <f t="shared" si="16"/>
        <v>1368.3400000000001</v>
      </c>
      <c r="L85" s="95">
        <f t="shared" si="16"/>
        <v>1487.94</v>
      </c>
      <c r="M85" s="95">
        <f t="shared" si="16"/>
        <v>1383.54</v>
      </c>
      <c r="N85" s="95">
        <f t="shared" si="16"/>
        <v>1372.04</v>
      </c>
      <c r="O85" s="95">
        <f t="shared" si="16"/>
        <v>1293.6399999999999</v>
      </c>
      <c r="P85" s="95">
        <f t="shared" si="16"/>
        <v>1248.24</v>
      </c>
      <c r="Q85" s="95">
        <f t="shared" si="16"/>
        <v>1167.94</v>
      </c>
      <c r="R85" s="95">
        <f t="shared" si="16"/>
        <v>1292.3400000000001</v>
      </c>
      <c r="S85" s="95">
        <f t="shared" si="16"/>
        <v>1307.1400000000001</v>
      </c>
      <c r="T85" s="95">
        <f t="shared" si="16"/>
        <v>1317.24</v>
      </c>
      <c r="U85" s="95">
        <f t="shared" si="16"/>
        <v>1273.44</v>
      </c>
      <c r="V85" s="95">
        <f t="shared" si="16"/>
        <v>1256.6399999999999</v>
      </c>
      <c r="W85" s="95">
        <f t="shared" si="16"/>
        <v>1461.6399999999999</v>
      </c>
      <c r="X85" s="95">
        <f t="shared" si="16"/>
        <v>1441.6399999999999</v>
      </c>
      <c r="Y85" s="95">
        <f t="shared" si="16"/>
        <v>1649.4</v>
      </c>
      <c r="Z85" s="95">
        <f t="shared" si="16"/>
        <v>1614.6399999999999</v>
      </c>
      <c r="AA85" s="95">
        <f t="shared" si="16"/>
        <v>1537.44</v>
      </c>
      <c r="AB85" s="95">
        <f t="shared" si="16"/>
        <v>1445.44</v>
      </c>
      <c r="AC85" s="95">
        <f t="shared" si="16"/>
        <v>1373.34</v>
      </c>
      <c r="AD85" s="95">
        <f t="shared" si="16"/>
        <v>1220.9399999999998</v>
      </c>
      <c r="AE85" s="95">
        <f t="shared" si="16"/>
        <v>1204.54</v>
      </c>
      <c r="AF85" s="95">
        <f t="shared" si="16"/>
        <v>1110.9399999999998</v>
      </c>
      <c r="AG85" s="88">
        <f>AG82+AG78+AG66+AG62+AG44+AG84</f>
        <v>1466.0900000000001</v>
      </c>
      <c r="AH85" s="47">
        <f t="shared" si="12"/>
        <v>1649.4</v>
      </c>
      <c r="AI85" s="48">
        <f t="shared" si="13"/>
        <v>1022.0400000000001</v>
      </c>
    </row>
    <row r="86" spans="1:37" ht="15.75" thickBot="1" x14ac:dyDescent="0.3">
      <c r="A86" s="74" t="s">
        <v>97</v>
      </c>
      <c r="B86" s="95">
        <f t="shared" ref="B86:AF86" si="17">B85-B93</f>
        <v>1063.04</v>
      </c>
      <c r="C86" s="95">
        <f t="shared" si="17"/>
        <v>1065.04</v>
      </c>
      <c r="D86" s="95">
        <f t="shared" si="17"/>
        <v>1022.0400000000001</v>
      </c>
      <c r="E86" s="95">
        <f t="shared" si="17"/>
        <v>1047.54</v>
      </c>
      <c r="F86" s="95">
        <f t="shared" si="17"/>
        <v>1055.04</v>
      </c>
      <c r="G86" s="95">
        <f t="shared" si="17"/>
        <v>1077.44</v>
      </c>
      <c r="H86" s="95">
        <f t="shared" si="17"/>
        <v>1102.7400000000002</v>
      </c>
      <c r="I86" s="95">
        <f t="shared" si="17"/>
        <v>1164.6400000000001</v>
      </c>
      <c r="J86" s="95">
        <f t="shared" si="17"/>
        <v>1319.7400000000002</v>
      </c>
      <c r="K86" s="95">
        <f t="shared" si="17"/>
        <v>1368.3400000000001</v>
      </c>
      <c r="L86" s="95">
        <f t="shared" si="17"/>
        <v>1487.94</v>
      </c>
      <c r="M86" s="95">
        <f t="shared" si="17"/>
        <v>1383.54</v>
      </c>
      <c r="N86" s="95">
        <f t="shared" si="17"/>
        <v>1372.04</v>
      </c>
      <c r="O86" s="95">
        <f t="shared" si="17"/>
        <v>1293.6399999999999</v>
      </c>
      <c r="P86" s="95">
        <f t="shared" si="17"/>
        <v>1248.24</v>
      </c>
      <c r="Q86" s="95">
        <f t="shared" si="17"/>
        <v>1167.94</v>
      </c>
      <c r="R86" s="95">
        <f t="shared" si="17"/>
        <v>1292.3400000000001</v>
      </c>
      <c r="S86" s="95">
        <f t="shared" si="17"/>
        <v>1307.1400000000001</v>
      </c>
      <c r="T86" s="95">
        <f t="shared" si="17"/>
        <v>1317.24</v>
      </c>
      <c r="U86" s="95">
        <f t="shared" si="17"/>
        <v>1273.44</v>
      </c>
      <c r="V86" s="95">
        <f t="shared" si="17"/>
        <v>1256.6399999999999</v>
      </c>
      <c r="W86" s="95">
        <f t="shared" si="17"/>
        <v>1461.6399999999999</v>
      </c>
      <c r="X86" s="95">
        <f t="shared" si="17"/>
        <v>1441.6399999999999</v>
      </c>
      <c r="Y86" s="95">
        <f t="shared" si="17"/>
        <v>1649.4</v>
      </c>
      <c r="Z86" s="95">
        <f t="shared" si="17"/>
        <v>1614.6399999999999</v>
      </c>
      <c r="AA86" s="95">
        <f t="shared" si="17"/>
        <v>1537.44</v>
      </c>
      <c r="AB86" s="95">
        <f t="shared" si="17"/>
        <v>1445.44</v>
      </c>
      <c r="AC86" s="95">
        <f t="shared" si="17"/>
        <v>1373.34</v>
      </c>
      <c r="AD86" s="95">
        <f t="shared" si="17"/>
        <v>1220.9399999999998</v>
      </c>
      <c r="AE86" s="95">
        <f t="shared" si="17"/>
        <v>1204.54</v>
      </c>
      <c r="AF86" s="95">
        <f t="shared" si="17"/>
        <v>1110.9399999999998</v>
      </c>
      <c r="AG86" s="88"/>
      <c r="AH86" s="47">
        <f t="shared" si="12"/>
        <v>1649.4</v>
      </c>
      <c r="AI86" s="48">
        <f t="shared" si="13"/>
        <v>1022.0400000000001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12"/>
        <v>0</v>
      </c>
      <c r="AI87" s="48">
        <f t="shared" si="13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12"/>
        <v>0</v>
      </c>
      <c r="AI88" s="48">
        <f t="shared" si="13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12"/>
        <v>0</v>
      </c>
      <c r="AI89" s="48">
        <f t="shared" si="13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12"/>
        <v>0</v>
      </c>
      <c r="AI90" s="48">
        <f t="shared" si="13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12"/>
        <v>0</v>
      </c>
      <c r="AI91" s="48">
        <f t="shared" si="13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12"/>
        <v>0</v>
      </c>
      <c r="AI92" s="48">
        <f t="shared" si="13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88"/>
      <c r="AH93" s="47">
        <f t="shared" si="12"/>
        <v>0</v>
      </c>
      <c r="AI93" s="48">
        <f t="shared" si="13"/>
        <v>0</v>
      </c>
      <c r="AK93" s="49"/>
    </row>
    <row r="94" spans="1:37" ht="15.75" thickBot="1" x14ac:dyDescent="0.3">
      <c r="A94" s="74" t="s">
        <v>102</v>
      </c>
      <c r="B94" s="60">
        <f t="shared" ref="B94:AF94" si="18">B78-B93</f>
        <v>495</v>
      </c>
      <c r="C94" s="60">
        <f t="shared" si="18"/>
        <v>494</v>
      </c>
      <c r="D94" s="60">
        <f t="shared" si="18"/>
        <v>482</v>
      </c>
      <c r="E94" s="60">
        <f t="shared" si="18"/>
        <v>477.9</v>
      </c>
      <c r="F94" s="60">
        <f t="shared" si="18"/>
        <v>525</v>
      </c>
      <c r="G94" s="60">
        <f t="shared" si="18"/>
        <v>515</v>
      </c>
      <c r="H94" s="60">
        <f t="shared" si="18"/>
        <v>503.1</v>
      </c>
      <c r="I94" s="60">
        <f t="shared" si="18"/>
        <v>485</v>
      </c>
      <c r="J94" s="60">
        <f t="shared" si="18"/>
        <v>450.4</v>
      </c>
      <c r="K94" s="60">
        <f t="shared" si="18"/>
        <v>453.3</v>
      </c>
      <c r="L94" s="60">
        <f t="shared" si="18"/>
        <v>455.1</v>
      </c>
      <c r="M94" s="60">
        <f t="shared" si="18"/>
        <v>452.79999999999995</v>
      </c>
      <c r="N94" s="60">
        <f t="shared" si="18"/>
        <v>459.3</v>
      </c>
      <c r="O94" s="60">
        <f t="shared" si="18"/>
        <v>458.90000000000003</v>
      </c>
      <c r="P94" s="60">
        <f t="shared" si="18"/>
        <v>486.5</v>
      </c>
      <c r="Q94" s="60">
        <f t="shared" si="18"/>
        <v>496.20000000000005</v>
      </c>
      <c r="R94" s="60">
        <f t="shared" si="18"/>
        <v>488.4</v>
      </c>
      <c r="S94" s="60">
        <f t="shared" si="18"/>
        <v>509.3</v>
      </c>
      <c r="T94" s="60">
        <f t="shared" si="18"/>
        <v>499</v>
      </c>
      <c r="U94" s="60">
        <f t="shared" si="18"/>
        <v>499</v>
      </c>
      <c r="V94" s="60">
        <f t="shared" si="18"/>
        <v>500</v>
      </c>
      <c r="W94" s="60">
        <f t="shared" si="18"/>
        <v>515</v>
      </c>
      <c r="X94" s="60">
        <f t="shared" si="18"/>
        <v>495</v>
      </c>
      <c r="Y94" s="60">
        <f t="shared" si="18"/>
        <v>442</v>
      </c>
      <c r="Z94" s="60">
        <f t="shared" si="18"/>
        <v>309</v>
      </c>
      <c r="AA94" s="60">
        <f t="shared" si="18"/>
        <v>283</v>
      </c>
      <c r="AB94" s="60">
        <f t="shared" si="18"/>
        <v>458.6</v>
      </c>
      <c r="AC94" s="60">
        <f t="shared" si="18"/>
        <v>457.3</v>
      </c>
      <c r="AD94" s="60">
        <f t="shared" si="18"/>
        <v>431.90000000000003</v>
      </c>
      <c r="AE94" s="60">
        <f t="shared" si="18"/>
        <v>481.2</v>
      </c>
      <c r="AF94" s="60">
        <f t="shared" si="18"/>
        <v>493.2</v>
      </c>
      <c r="AG94" s="88"/>
      <c r="AH94" s="47">
        <f t="shared" si="12"/>
        <v>525</v>
      </c>
      <c r="AI94" s="48">
        <f t="shared" si="13"/>
        <v>283</v>
      </c>
    </row>
    <row r="95" spans="1:37" x14ac:dyDescent="0.25">
      <c r="A95" s="100" t="s">
        <v>103</v>
      </c>
      <c r="B95" s="101">
        <v>50.03</v>
      </c>
      <c r="C95" s="101">
        <v>50.04</v>
      </c>
      <c r="D95" s="101">
        <v>49.97</v>
      </c>
      <c r="E95" s="101">
        <v>50.02</v>
      </c>
      <c r="F95" s="101">
        <v>49.98</v>
      </c>
      <c r="G95" s="101">
        <v>50.07</v>
      </c>
      <c r="H95" s="101">
        <v>50.07</v>
      </c>
      <c r="I95" s="101">
        <v>50.07</v>
      </c>
      <c r="J95" s="101">
        <v>49.78</v>
      </c>
      <c r="K95" s="101">
        <v>49.92</v>
      </c>
      <c r="L95" s="101">
        <v>49.91</v>
      </c>
      <c r="M95" s="101">
        <v>50.04</v>
      </c>
      <c r="N95" s="101">
        <v>50.133000000000003</v>
      </c>
      <c r="O95" s="101">
        <v>49.978999999999999</v>
      </c>
      <c r="P95" s="101">
        <v>49.948999999999998</v>
      </c>
      <c r="Q95" s="101">
        <v>50.012999999999998</v>
      </c>
      <c r="R95" s="101">
        <v>50.030999999999999</v>
      </c>
      <c r="S95" s="101">
        <v>50.030999999999999</v>
      </c>
      <c r="T95" s="101">
        <v>49.966999999999999</v>
      </c>
      <c r="U95" s="101">
        <v>49.906999999999996</v>
      </c>
      <c r="V95" s="101">
        <v>49.906999999999996</v>
      </c>
      <c r="W95" s="101">
        <v>50.09</v>
      </c>
      <c r="X95" s="101">
        <v>50.036000000000001</v>
      </c>
      <c r="Y95" s="101">
        <v>49.914999999999999</v>
      </c>
      <c r="Z95" s="101">
        <v>49.95</v>
      </c>
      <c r="AA95" s="101">
        <v>50.091999999999999</v>
      </c>
      <c r="AB95" s="101">
        <v>50.115000000000002</v>
      </c>
      <c r="AC95" s="101">
        <v>49.988999999999997</v>
      </c>
      <c r="AD95" s="101">
        <v>49.844000000000001</v>
      </c>
      <c r="AE95" s="101">
        <v>50.087000000000003</v>
      </c>
      <c r="AF95" s="101">
        <v>49.89</v>
      </c>
      <c r="AG95" s="102"/>
      <c r="AH95" s="47">
        <f t="shared" si="12"/>
        <v>50.133000000000003</v>
      </c>
      <c r="AI95" s="48">
        <f t="shared" si="13"/>
        <v>49.78</v>
      </c>
    </row>
    <row r="96" spans="1:37" x14ac:dyDescent="0.25">
      <c r="A96" s="103" t="s">
        <v>104</v>
      </c>
      <c r="B96" s="65">
        <v>128</v>
      </c>
      <c r="C96" s="65">
        <v>126</v>
      </c>
      <c r="D96" s="65">
        <v>126</v>
      </c>
      <c r="E96" s="65">
        <v>128.80000000000001</v>
      </c>
      <c r="F96" s="65">
        <v>129</v>
      </c>
      <c r="G96" s="65">
        <v>129.80000000000001</v>
      </c>
      <c r="H96" s="65">
        <v>128.80000000000001</v>
      </c>
      <c r="I96" s="65">
        <v>128.80000000000001</v>
      </c>
      <c r="J96" s="65">
        <v>126.4</v>
      </c>
      <c r="K96" s="65">
        <v>126.9</v>
      </c>
      <c r="L96" s="65">
        <v>125.4</v>
      </c>
      <c r="M96" s="65">
        <v>125.5</v>
      </c>
      <c r="N96" s="65">
        <v>126.5</v>
      </c>
      <c r="O96" s="65">
        <v>125.3</v>
      </c>
      <c r="P96" s="65">
        <v>123.5</v>
      </c>
      <c r="Q96" s="65">
        <v>123.5</v>
      </c>
      <c r="R96" s="65"/>
      <c r="S96" s="65"/>
      <c r="T96" s="65">
        <v>125.9</v>
      </c>
      <c r="U96" s="65">
        <v>127.3</v>
      </c>
      <c r="V96" s="65">
        <v>127.3</v>
      </c>
      <c r="W96" s="65">
        <v>128.30000000000001</v>
      </c>
      <c r="X96" s="65">
        <v>130</v>
      </c>
      <c r="Y96" s="65">
        <v>130</v>
      </c>
      <c r="Z96" s="65">
        <v>128.69999999999999</v>
      </c>
      <c r="AA96" s="65">
        <v>129.9</v>
      </c>
      <c r="AB96" s="65">
        <v>131.30000000000001</v>
      </c>
      <c r="AC96" s="65">
        <v>130.19999999999999</v>
      </c>
      <c r="AD96" s="65">
        <v>128.4</v>
      </c>
      <c r="AE96" s="65">
        <v>128.1</v>
      </c>
      <c r="AF96" s="65">
        <v>129.1</v>
      </c>
      <c r="AG96" s="104"/>
      <c r="AH96" s="47">
        <f t="shared" si="12"/>
        <v>131.30000000000001</v>
      </c>
      <c r="AI96" s="48">
        <f t="shared" si="13"/>
        <v>123.5</v>
      </c>
    </row>
    <row r="97" spans="1:35" x14ac:dyDescent="0.25">
      <c r="A97" s="103" t="s">
        <v>105</v>
      </c>
      <c r="B97" s="65">
        <v>132</v>
      </c>
      <c r="C97" s="65">
        <v>131</v>
      </c>
      <c r="D97" s="65">
        <v>131</v>
      </c>
      <c r="E97" s="65">
        <v>132.9</v>
      </c>
      <c r="F97" s="65">
        <v>132.6</v>
      </c>
      <c r="G97" s="65">
        <v>133</v>
      </c>
      <c r="H97" s="65">
        <v>132.4</v>
      </c>
      <c r="I97" s="65">
        <v>132.4</v>
      </c>
      <c r="J97" s="65">
        <v>129.19999999999999</v>
      </c>
      <c r="K97" s="65">
        <v>127.9</v>
      </c>
      <c r="L97" s="65">
        <v>126.6</v>
      </c>
      <c r="M97" s="65">
        <v>126.8</v>
      </c>
      <c r="N97" s="65">
        <v>128.1</v>
      </c>
      <c r="O97" s="65">
        <v>127.8</v>
      </c>
      <c r="P97" s="65">
        <v>126.7</v>
      </c>
      <c r="Q97" s="65">
        <v>126.7</v>
      </c>
      <c r="R97" s="65">
        <v>126.5</v>
      </c>
      <c r="S97" s="65">
        <v>126.5</v>
      </c>
      <c r="T97" s="65">
        <v>129.30000000000001</v>
      </c>
      <c r="U97" s="65">
        <v>129.6</v>
      </c>
      <c r="V97" s="65">
        <v>129.6</v>
      </c>
      <c r="W97" s="65">
        <v>129.5</v>
      </c>
      <c r="X97" s="65">
        <v>131.19999999999999</v>
      </c>
      <c r="Y97" s="65">
        <v>128</v>
      </c>
      <c r="Z97" s="65">
        <v>130.1</v>
      </c>
      <c r="AA97" s="65">
        <v>131.1</v>
      </c>
      <c r="AB97" s="65">
        <v>132.30000000000001</v>
      </c>
      <c r="AC97" s="65">
        <v>131.5</v>
      </c>
      <c r="AD97" s="65">
        <v>130.5</v>
      </c>
      <c r="AE97" s="65">
        <v>131.6</v>
      </c>
      <c r="AF97" s="65">
        <v>132.30000000000001</v>
      </c>
      <c r="AG97" s="104"/>
      <c r="AH97" s="47">
        <f t="shared" si="12"/>
        <v>133</v>
      </c>
      <c r="AI97" s="48">
        <f t="shared" si="13"/>
        <v>126.5</v>
      </c>
    </row>
    <row r="98" spans="1:35" x14ac:dyDescent="0.25">
      <c r="A98" s="103" t="s">
        <v>106</v>
      </c>
      <c r="B98" s="65">
        <v>132</v>
      </c>
      <c r="C98" s="65">
        <v>132</v>
      </c>
      <c r="D98" s="65">
        <v>132</v>
      </c>
      <c r="E98" s="65">
        <v>131.1</v>
      </c>
      <c r="F98" s="65">
        <v>133.1</v>
      </c>
      <c r="G98" s="65">
        <v>132.6</v>
      </c>
      <c r="H98" s="65">
        <v>129.5</v>
      </c>
      <c r="I98" s="65">
        <v>129.5</v>
      </c>
      <c r="J98" s="65">
        <v>125.9</v>
      </c>
      <c r="K98" s="65">
        <v>127</v>
      </c>
      <c r="L98" s="65">
        <v>127.1</v>
      </c>
      <c r="M98" s="65">
        <v>126.7</v>
      </c>
      <c r="N98" s="65">
        <v>129.5</v>
      </c>
      <c r="O98" s="65">
        <v>128.19999999999999</v>
      </c>
      <c r="P98" s="65">
        <v>126.9</v>
      </c>
      <c r="Q98" s="65">
        <v>126.9</v>
      </c>
      <c r="R98" s="65">
        <v>128.80000000000001</v>
      </c>
      <c r="S98" s="65">
        <v>128.80000000000001</v>
      </c>
      <c r="T98" s="65">
        <v>126.8</v>
      </c>
      <c r="U98" s="65">
        <v>128.9</v>
      </c>
      <c r="V98" s="65">
        <v>128.9</v>
      </c>
      <c r="W98" s="65">
        <v>129.4</v>
      </c>
      <c r="X98" s="65">
        <v>129.80000000000001</v>
      </c>
      <c r="Y98" s="65">
        <v>132.1</v>
      </c>
      <c r="Z98" s="65">
        <v>129.9</v>
      </c>
      <c r="AA98" s="65">
        <v>131.69999999999999</v>
      </c>
      <c r="AB98" s="65">
        <v>132.6</v>
      </c>
      <c r="AC98" s="65">
        <v>131.19999999999999</v>
      </c>
      <c r="AD98" s="65">
        <v>129.80000000000001</v>
      </c>
      <c r="AE98" s="65">
        <v>132.30000000000001</v>
      </c>
      <c r="AF98" s="65">
        <v>130.5</v>
      </c>
      <c r="AG98" s="104"/>
      <c r="AH98" s="47">
        <f t="shared" si="12"/>
        <v>133.1</v>
      </c>
      <c r="AI98" s="48">
        <f t="shared" si="13"/>
        <v>125.9</v>
      </c>
    </row>
    <row r="99" spans="1:35" x14ac:dyDescent="0.25">
      <c r="A99" s="105" t="s">
        <v>107</v>
      </c>
      <c r="B99" s="65">
        <v>134.6</v>
      </c>
      <c r="C99" s="65">
        <v>134</v>
      </c>
      <c r="D99" s="65">
        <v>134</v>
      </c>
      <c r="E99" s="65">
        <v>132.4</v>
      </c>
      <c r="F99" s="65">
        <v>135.5</v>
      </c>
      <c r="G99" s="65">
        <v>135</v>
      </c>
      <c r="H99" s="65">
        <v>132.1</v>
      </c>
      <c r="I99" s="65">
        <v>132.1</v>
      </c>
      <c r="J99" s="65">
        <v>126.8</v>
      </c>
      <c r="K99" s="65">
        <v>126.8</v>
      </c>
      <c r="L99" s="65">
        <v>129.4</v>
      </c>
      <c r="M99" s="65">
        <v>129.6</v>
      </c>
      <c r="N99" s="65">
        <v>132</v>
      </c>
      <c r="O99" s="65">
        <v>129.19999999999999</v>
      </c>
      <c r="P99" s="65">
        <v>128.69999999999999</v>
      </c>
      <c r="Q99" s="65">
        <v>128.69999999999999</v>
      </c>
      <c r="R99" s="65">
        <v>131.19999999999999</v>
      </c>
      <c r="S99" s="65">
        <v>131.19999999999999</v>
      </c>
      <c r="T99" s="65">
        <v>132.5</v>
      </c>
      <c r="U99" s="65">
        <v>133</v>
      </c>
      <c r="V99" s="65">
        <v>133</v>
      </c>
      <c r="W99" s="65">
        <v>130.19999999999999</v>
      </c>
      <c r="X99" s="65">
        <v>132.4</v>
      </c>
      <c r="Y99" s="65">
        <v>132</v>
      </c>
      <c r="Z99" s="65">
        <v>132</v>
      </c>
      <c r="AA99" s="65">
        <v>134.30000000000001</v>
      </c>
      <c r="AB99" s="65">
        <v>134.1</v>
      </c>
      <c r="AC99" s="65">
        <v>132.9</v>
      </c>
      <c r="AD99" s="65">
        <v>131.80000000000001</v>
      </c>
      <c r="AE99" s="65">
        <v>134</v>
      </c>
      <c r="AF99" s="65">
        <v>133.1</v>
      </c>
      <c r="AG99" s="104"/>
      <c r="AH99" s="47">
        <f t="shared" si="12"/>
        <v>135.5</v>
      </c>
      <c r="AI99" s="48">
        <f t="shared" si="13"/>
        <v>126.8</v>
      </c>
    </row>
    <row r="100" spans="1:35" x14ac:dyDescent="0.25">
      <c r="A100" s="105" t="s">
        <v>108</v>
      </c>
      <c r="B100" s="106">
        <v>130.69999999999999</v>
      </c>
      <c r="C100" s="106">
        <v>131</v>
      </c>
      <c r="D100" s="106">
        <v>131</v>
      </c>
      <c r="E100" s="106">
        <v>133.4</v>
      </c>
      <c r="F100" s="106">
        <v>132.4</v>
      </c>
      <c r="G100" s="106">
        <v>132.9</v>
      </c>
      <c r="H100" s="106">
        <v>137.19999999999999</v>
      </c>
      <c r="I100" s="106">
        <v>137.19999999999999</v>
      </c>
      <c r="J100" s="106">
        <v>132.30000000000001</v>
      </c>
      <c r="K100" s="106">
        <v>132.30000000000001</v>
      </c>
      <c r="L100" s="106">
        <v>132.4</v>
      </c>
      <c r="M100" s="106">
        <v>131.9</v>
      </c>
      <c r="N100" s="106">
        <v>133.9</v>
      </c>
      <c r="O100" s="106">
        <v>134.9</v>
      </c>
      <c r="P100" s="106">
        <v>126.8</v>
      </c>
      <c r="Q100" s="106">
        <v>126.8</v>
      </c>
      <c r="R100" s="106">
        <v>135.6</v>
      </c>
      <c r="S100" s="106">
        <v>135.6</v>
      </c>
      <c r="T100" s="106">
        <v>133</v>
      </c>
      <c r="U100" s="106">
        <v>132.69999999999999</v>
      </c>
      <c r="V100" s="106">
        <v>132.69999999999999</v>
      </c>
      <c r="W100" s="106">
        <v>133.74</v>
      </c>
      <c r="X100" s="106">
        <v>131.5</v>
      </c>
      <c r="Y100" s="106">
        <v>131.5</v>
      </c>
      <c r="Z100" s="106">
        <v>130.30000000000001</v>
      </c>
      <c r="AA100" s="106">
        <v>135</v>
      </c>
      <c r="AB100" s="106">
        <v>137</v>
      </c>
      <c r="AC100" s="106">
        <v>134.6</v>
      </c>
      <c r="AD100" s="106">
        <v>132.1</v>
      </c>
      <c r="AE100" s="106">
        <v>131.19999999999999</v>
      </c>
      <c r="AF100" s="106">
        <v>131.19999999999999</v>
      </c>
      <c r="AG100" s="107"/>
      <c r="AH100" s="47">
        <f t="shared" si="12"/>
        <v>137.19999999999999</v>
      </c>
      <c r="AI100" s="48">
        <f t="shared" si="13"/>
        <v>126.8</v>
      </c>
    </row>
    <row r="101" spans="1:35" x14ac:dyDescent="0.25">
      <c r="A101" s="103" t="s">
        <v>109</v>
      </c>
      <c r="B101" s="65">
        <v>132</v>
      </c>
      <c r="C101" s="65">
        <v>132</v>
      </c>
      <c r="D101" s="65">
        <v>132</v>
      </c>
      <c r="E101" s="65">
        <v>137</v>
      </c>
      <c r="F101" s="65">
        <v>135.69999999999999</v>
      </c>
      <c r="G101" s="65">
        <v>133.5</v>
      </c>
      <c r="H101" s="65">
        <v>129.19999999999999</v>
      </c>
      <c r="I101" s="65">
        <v>129.19999999999999</v>
      </c>
      <c r="J101" s="65">
        <v>126.7</v>
      </c>
      <c r="K101" s="65">
        <v>126.7</v>
      </c>
      <c r="L101" s="65">
        <v>126.7</v>
      </c>
      <c r="M101" s="65">
        <v>126.9</v>
      </c>
      <c r="N101" s="65">
        <v>125.9</v>
      </c>
      <c r="O101" s="65">
        <v>128.80000000000001</v>
      </c>
      <c r="P101" s="65">
        <v>128.30000000000001</v>
      </c>
      <c r="Q101" s="65">
        <v>128.30000000000001</v>
      </c>
      <c r="R101" s="65">
        <v>126.6</v>
      </c>
      <c r="S101" s="65">
        <v>126.6</v>
      </c>
      <c r="T101" s="65">
        <v>128.9</v>
      </c>
      <c r="U101" s="65">
        <v>127.7</v>
      </c>
      <c r="V101" s="65">
        <v>127.7</v>
      </c>
      <c r="W101" s="65">
        <v>133.9</v>
      </c>
      <c r="X101" s="65">
        <v>134.69999999999999</v>
      </c>
      <c r="Y101" s="65">
        <v>131.19999999999999</v>
      </c>
      <c r="Z101" s="65">
        <v>131.80000000000001</v>
      </c>
      <c r="AA101" s="65">
        <v>133.80000000000001</v>
      </c>
      <c r="AB101" s="65">
        <v>136</v>
      </c>
      <c r="AC101" s="65">
        <v>134.80000000000001</v>
      </c>
      <c r="AD101" s="65">
        <v>136</v>
      </c>
      <c r="AE101" s="65">
        <v>134</v>
      </c>
      <c r="AF101" s="65">
        <v>132.80000000000001</v>
      </c>
      <c r="AG101" s="104"/>
      <c r="AH101" s="47">
        <f t="shared" si="12"/>
        <v>137</v>
      </c>
      <c r="AI101" s="48">
        <f t="shared" si="13"/>
        <v>125.9</v>
      </c>
    </row>
    <row r="102" spans="1:35" ht="15.75" thickBot="1" x14ac:dyDescent="0.3">
      <c r="A102" s="103" t="s">
        <v>110</v>
      </c>
      <c r="B102" s="92">
        <v>66.5</v>
      </c>
      <c r="C102" s="92">
        <v>66.5</v>
      </c>
      <c r="D102" s="92">
        <v>66.5</v>
      </c>
      <c r="E102" s="92">
        <v>66.900000000000006</v>
      </c>
      <c r="F102" s="92">
        <v>66.7</v>
      </c>
      <c r="G102" s="92">
        <v>66.8</v>
      </c>
      <c r="H102" s="92">
        <v>66.900000000000006</v>
      </c>
      <c r="I102" s="92">
        <v>66.900000000000006</v>
      </c>
      <c r="J102" s="92">
        <v>66.900000000000006</v>
      </c>
      <c r="K102" s="92">
        <v>66.900000000000006</v>
      </c>
      <c r="L102" s="92">
        <v>63.3</v>
      </c>
      <c r="M102" s="92">
        <v>63.7</v>
      </c>
      <c r="N102" s="92">
        <v>64.2</v>
      </c>
      <c r="O102" s="92">
        <v>64.099999999999994</v>
      </c>
      <c r="P102" s="92">
        <v>63.8</v>
      </c>
      <c r="Q102" s="92">
        <v>63.8</v>
      </c>
      <c r="R102" s="92">
        <v>63.2</v>
      </c>
      <c r="S102" s="92">
        <v>63.2</v>
      </c>
      <c r="T102" s="92">
        <v>64.900000000000006</v>
      </c>
      <c r="U102" s="92">
        <v>64.8</v>
      </c>
      <c r="V102" s="92">
        <v>64.8</v>
      </c>
      <c r="W102" s="92">
        <v>64.8</v>
      </c>
      <c r="X102" s="92">
        <v>65.599999999999994</v>
      </c>
      <c r="Y102" s="92">
        <v>65</v>
      </c>
      <c r="Z102" s="92">
        <v>65.099999999999994</v>
      </c>
      <c r="AA102" s="92">
        <v>65.8</v>
      </c>
      <c r="AB102" s="92">
        <v>66.2</v>
      </c>
      <c r="AC102" s="92">
        <v>66</v>
      </c>
      <c r="AD102" s="92">
        <v>65.400000000000006</v>
      </c>
      <c r="AE102" s="92">
        <v>66.400000000000006</v>
      </c>
      <c r="AF102" s="92">
        <v>66.400000000000006</v>
      </c>
      <c r="AG102" s="108"/>
      <c r="AH102" s="47">
        <f t="shared" si="12"/>
        <v>66.900000000000006</v>
      </c>
      <c r="AI102" s="48">
        <f t="shared" si="13"/>
        <v>63.2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12"/>
        <v>0</v>
      </c>
      <c r="AI103" s="48">
        <f t="shared" si="13"/>
        <v>0</v>
      </c>
    </row>
    <row r="104" spans="1:35" ht="15.75" thickBot="1" x14ac:dyDescent="0.3">
      <c r="A104" s="110" t="s">
        <v>112</v>
      </c>
      <c r="B104" s="111">
        <f t="shared" ref="B104:AF104" si="19">SUM(B16,B22,B25:B26,B52,B54:B55,B57,B59,B105:B109,B131,B137,B143,B152,B154,B166,B173,B176:B177,B184,B186,B188,B192:B194,B196:B198,B203,B209:B210,B212:B214,B222,B227)</f>
        <v>148.30000000000001</v>
      </c>
      <c r="C104" s="111">
        <f t="shared" si="19"/>
        <v>135.24</v>
      </c>
      <c r="D104" s="111">
        <f t="shared" si="19"/>
        <v>138.24</v>
      </c>
      <c r="E104" s="111">
        <f t="shared" si="19"/>
        <v>134.94</v>
      </c>
      <c r="F104" s="111">
        <f t="shared" si="19"/>
        <v>140.51</v>
      </c>
      <c r="G104" s="111">
        <f t="shared" si="19"/>
        <v>153.44</v>
      </c>
      <c r="H104" s="111">
        <f t="shared" si="19"/>
        <v>189.94</v>
      </c>
      <c r="I104" s="111">
        <f t="shared" si="19"/>
        <v>220.33999999999997</v>
      </c>
      <c r="J104" s="111">
        <f t="shared" si="19"/>
        <v>298.83999999999997</v>
      </c>
      <c r="K104" s="111">
        <f t="shared" si="19"/>
        <v>367.04</v>
      </c>
      <c r="L104" s="111">
        <f t="shared" si="19"/>
        <v>333.7636</v>
      </c>
      <c r="M104" s="111">
        <f t="shared" si="19"/>
        <v>384.14</v>
      </c>
      <c r="N104" s="111">
        <f t="shared" si="19"/>
        <v>350.34000000000003</v>
      </c>
      <c r="O104" s="111">
        <f t="shared" si="19"/>
        <v>336.14</v>
      </c>
      <c r="P104" s="111">
        <v>42</v>
      </c>
      <c r="Q104" s="111">
        <f t="shared" si="19"/>
        <v>286.7</v>
      </c>
      <c r="R104" s="111">
        <f t="shared" si="19"/>
        <v>314</v>
      </c>
      <c r="S104" s="111">
        <f t="shared" si="19"/>
        <v>337.5</v>
      </c>
      <c r="T104" s="111">
        <f t="shared" si="19"/>
        <v>301.70000000000005</v>
      </c>
      <c r="U104" s="111">
        <f t="shared" si="19"/>
        <v>305.2</v>
      </c>
      <c r="V104" s="111">
        <f t="shared" si="19"/>
        <v>305.2</v>
      </c>
      <c r="W104" s="111">
        <f t="shared" si="19"/>
        <v>358</v>
      </c>
      <c r="X104" s="111">
        <f t="shared" si="19"/>
        <v>393.59999999999997</v>
      </c>
      <c r="Y104" s="111">
        <f t="shared" si="19"/>
        <v>424.7</v>
      </c>
      <c r="Z104" s="111">
        <f t="shared" si="19"/>
        <v>412</v>
      </c>
      <c r="AA104" s="111">
        <f t="shared" si="19"/>
        <v>392.6</v>
      </c>
      <c r="AB104" s="111">
        <f t="shared" si="19"/>
        <v>358.6</v>
      </c>
      <c r="AC104" s="111">
        <f t="shared" si="19"/>
        <v>344.7</v>
      </c>
      <c r="AD104" s="111">
        <f t="shared" si="19"/>
        <v>309.7</v>
      </c>
      <c r="AE104" s="111">
        <f t="shared" si="19"/>
        <v>246</v>
      </c>
      <c r="AF104" s="111">
        <f t="shared" si="19"/>
        <v>182.5</v>
      </c>
      <c r="AG104" s="112"/>
      <c r="AH104" s="47">
        <f t="shared" si="12"/>
        <v>424.7</v>
      </c>
      <c r="AI104" s="48">
        <f t="shared" si="13"/>
        <v>42</v>
      </c>
    </row>
    <row r="105" spans="1:35" x14ac:dyDescent="0.25">
      <c r="A105" s="100" t="s">
        <v>113</v>
      </c>
      <c r="B105" s="113">
        <v>-7</v>
      </c>
      <c r="C105" s="113">
        <v>-6</v>
      </c>
      <c r="D105" s="113">
        <v>-10</v>
      </c>
      <c r="E105" s="113">
        <v>-8.5</v>
      </c>
      <c r="F105" s="113">
        <v>-13.3</v>
      </c>
      <c r="G105" s="113">
        <v>-15.5</v>
      </c>
      <c r="H105" s="113">
        <v>0</v>
      </c>
      <c r="I105" s="113">
        <v>14</v>
      </c>
      <c r="J105" s="113">
        <v>29.1</v>
      </c>
      <c r="K105" s="113">
        <v>40.200000000000003</v>
      </c>
      <c r="L105" s="113">
        <v>36.6</v>
      </c>
      <c r="M105" s="113">
        <v>40.1</v>
      </c>
      <c r="N105" s="113">
        <v>27.1</v>
      </c>
      <c r="O105" s="113">
        <v>8.3000000000000007</v>
      </c>
      <c r="P105" s="113">
        <v>21.2</v>
      </c>
      <c r="Q105" s="113">
        <v>43.2</v>
      </c>
      <c r="R105" s="113">
        <v>39.5</v>
      </c>
      <c r="S105" s="113">
        <v>41.7</v>
      </c>
      <c r="T105" s="113">
        <v>0</v>
      </c>
      <c r="U105" s="113">
        <v>-22.7</v>
      </c>
      <c r="V105" s="113">
        <v>-22.7</v>
      </c>
      <c r="W105" s="113">
        <v>-15</v>
      </c>
      <c r="X105" s="113">
        <v>26.3</v>
      </c>
      <c r="Y105" s="113">
        <v>24.4</v>
      </c>
      <c r="Z105" s="113">
        <v>10.1</v>
      </c>
      <c r="AA105" s="113">
        <v>12.4</v>
      </c>
      <c r="AB105" s="113">
        <v>16.7</v>
      </c>
      <c r="AC105" s="113">
        <v>18</v>
      </c>
      <c r="AD105" s="113">
        <v>16.899999999999999</v>
      </c>
      <c r="AE105" s="113">
        <v>5.7</v>
      </c>
      <c r="AF105" s="113">
        <v>-9.8000000000000007</v>
      </c>
      <c r="AG105" s="114">
        <v>75</v>
      </c>
      <c r="AH105" s="47">
        <f t="shared" si="12"/>
        <v>43.2</v>
      </c>
      <c r="AI105" s="48">
        <f t="shared" si="13"/>
        <v>-22.7</v>
      </c>
    </row>
    <row r="106" spans="1:35" x14ac:dyDescent="0.25">
      <c r="A106" s="103" t="s">
        <v>114</v>
      </c>
      <c r="B106" s="115">
        <v>-10</v>
      </c>
      <c r="C106" s="115">
        <v>-6</v>
      </c>
      <c r="D106" s="115">
        <v>-15</v>
      </c>
      <c r="E106" s="115">
        <v>-12.8</v>
      </c>
      <c r="F106" s="115">
        <v>-18.5</v>
      </c>
      <c r="G106" s="115">
        <v>-21.9</v>
      </c>
      <c r="H106" s="115">
        <v>0</v>
      </c>
      <c r="I106" s="115">
        <v>16.399999999999999</v>
      </c>
      <c r="J106" s="115">
        <v>38.4</v>
      </c>
      <c r="K106" s="115">
        <v>50.3</v>
      </c>
      <c r="L106" s="115">
        <v>46</v>
      </c>
      <c r="M106" s="115">
        <v>52</v>
      </c>
      <c r="N106" s="115">
        <v>34.200000000000003</v>
      </c>
      <c r="O106" s="115">
        <v>4.5</v>
      </c>
      <c r="P106" s="115">
        <v>28.7</v>
      </c>
      <c r="Q106" s="115">
        <v>60.6</v>
      </c>
      <c r="R106" s="115">
        <v>57.2</v>
      </c>
      <c r="S106" s="115">
        <v>59.2</v>
      </c>
      <c r="T106" s="115">
        <v>2</v>
      </c>
      <c r="U106" s="115">
        <v>-34.1</v>
      </c>
      <c r="V106" s="115">
        <v>-34.1</v>
      </c>
      <c r="W106" s="115">
        <v>-25.5</v>
      </c>
      <c r="X106" s="115">
        <v>31.6</v>
      </c>
      <c r="Y106" s="115">
        <v>27.5</v>
      </c>
      <c r="Z106" s="115">
        <v>6.7</v>
      </c>
      <c r="AA106" s="115">
        <v>9.6</v>
      </c>
      <c r="AB106" s="115">
        <v>15.7</v>
      </c>
      <c r="AC106" s="115">
        <v>18.100000000000001</v>
      </c>
      <c r="AD106" s="115">
        <v>20.6</v>
      </c>
      <c r="AE106" s="115">
        <v>7.9</v>
      </c>
      <c r="AF106" s="115">
        <v>-8.4</v>
      </c>
      <c r="AG106" s="114">
        <v>240</v>
      </c>
      <c r="AH106" s="47">
        <f t="shared" si="12"/>
        <v>60.6</v>
      </c>
      <c r="AI106" s="48">
        <f t="shared" si="13"/>
        <v>-34.1</v>
      </c>
    </row>
    <row r="107" spans="1:35" x14ac:dyDescent="0.25">
      <c r="A107" s="103" t="s">
        <v>115</v>
      </c>
      <c r="B107" s="115">
        <v>-29</v>
      </c>
      <c r="C107" s="115">
        <v>-44</v>
      </c>
      <c r="D107" s="115">
        <v>-26</v>
      </c>
      <c r="E107" s="115">
        <f>-18-19</f>
        <v>-37</v>
      </c>
      <c r="F107" s="115">
        <f>-26.93-13.6</f>
        <v>-40.53</v>
      </c>
      <c r="G107" s="115">
        <f>-21.3-10.2</f>
        <v>-31.5</v>
      </c>
      <c r="H107" s="115">
        <f>-29.3-11.7</f>
        <v>-41</v>
      </c>
      <c r="I107" s="115">
        <f t="shared" ref="I107" si="20">-29.3-11.7</f>
        <v>-41</v>
      </c>
      <c r="J107" s="115">
        <f>-0.7-1.2</f>
        <v>-1.9</v>
      </c>
      <c r="K107" s="115">
        <f>21+22.1</f>
        <v>43.1</v>
      </c>
      <c r="L107" s="115">
        <f>22.3236</f>
        <v>22.323599999999999</v>
      </c>
      <c r="M107" s="115">
        <v>49</v>
      </c>
      <c r="N107" s="115">
        <v>48</v>
      </c>
      <c r="O107" s="115">
        <v>85.8</v>
      </c>
      <c r="P107" s="115">
        <v>3.2</v>
      </c>
      <c r="Q107" s="115">
        <v>-25</v>
      </c>
      <c r="R107" s="115"/>
      <c r="S107" s="115">
        <v>14.7</v>
      </c>
      <c r="T107" s="115">
        <v>25</v>
      </c>
      <c r="U107" s="115">
        <f>35+30</f>
        <v>65</v>
      </c>
      <c r="V107" s="115">
        <f>35+30</f>
        <v>65</v>
      </c>
      <c r="W107" s="115">
        <f>52+48</f>
        <v>100</v>
      </c>
      <c r="X107" s="115">
        <f>37+32</f>
        <v>69</v>
      </c>
      <c r="Y107" s="115">
        <v>83</v>
      </c>
      <c r="Z107" s="115">
        <f>56+52</f>
        <v>108</v>
      </c>
      <c r="AA107" s="115">
        <v>95</v>
      </c>
      <c r="AB107" s="115">
        <v>77.8</v>
      </c>
      <c r="AC107" s="115">
        <v>77.3</v>
      </c>
      <c r="AD107" s="115">
        <v>29.5</v>
      </c>
      <c r="AE107" s="115">
        <v>-8.1</v>
      </c>
      <c r="AF107" s="115">
        <v>-24.4</v>
      </c>
      <c r="AG107" s="114">
        <v>240</v>
      </c>
      <c r="AH107" s="47">
        <f t="shared" si="12"/>
        <v>108</v>
      </c>
      <c r="AI107" s="48">
        <f t="shared" si="13"/>
        <v>-44</v>
      </c>
    </row>
    <row r="108" spans="1:35" x14ac:dyDescent="0.25">
      <c r="A108" s="103" t="s">
        <v>116</v>
      </c>
      <c r="B108" s="115">
        <v>-5</v>
      </c>
      <c r="C108" s="115">
        <v>-7</v>
      </c>
      <c r="D108" s="115">
        <v>-6</v>
      </c>
      <c r="E108" s="115">
        <v>-5</v>
      </c>
      <c r="F108" s="115">
        <v>9.4</v>
      </c>
      <c r="G108" s="115">
        <v>11.4</v>
      </c>
      <c r="H108" s="115">
        <v>15.7</v>
      </c>
      <c r="I108" s="115">
        <v>15.7</v>
      </c>
      <c r="J108" s="115">
        <v>8.6999999999999993</v>
      </c>
      <c r="K108" s="115">
        <v>21.2</v>
      </c>
      <c r="L108" s="115">
        <v>13.8</v>
      </c>
      <c r="M108" s="115">
        <v>23.3</v>
      </c>
      <c r="N108" s="115">
        <v>20.7</v>
      </c>
      <c r="O108" s="115">
        <v>23.7</v>
      </c>
      <c r="P108" s="115">
        <v>21.1</v>
      </c>
      <c r="Q108" s="115">
        <v>0</v>
      </c>
      <c r="R108" s="115">
        <v>0</v>
      </c>
      <c r="S108" s="115">
        <v>0</v>
      </c>
      <c r="T108" s="115">
        <v>48.3</v>
      </c>
      <c r="U108" s="115">
        <v>59.2</v>
      </c>
      <c r="V108" s="115">
        <v>59.2</v>
      </c>
      <c r="W108" s="115">
        <v>61.4</v>
      </c>
      <c r="X108" s="115">
        <v>59.9</v>
      </c>
      <c r="Y108" s="115">
        <v>64</v>
      </c>
      <c r="Z108" s="115">
        <v>68</v>
      </c>
      <c r="AA108" s="115">
        <v>65.599999999999994</v>
      </c>
      <c r="AB108" s="115">
        <v>56.1</v>
      </c>
      <c r="AC108" s="115">
        <v>43.9</v>
      </c>
      <c r="AD108" s="115">
        <v>31.8</v>
      </c>
      <c r="AE108" s="115">
        <v>20.6</v>
      </c>
      <c r="AF108" s="115">
        <v>19.5</v>
      </c>
      <c r="AG108" s="114">
        <v>60</v>
      </c>
      <c r="AH108" s="47">
        <f t="shared" si="12"/>
        <v>68</v>
      </c>
      <c r="AI108" s="48">
        <f t="shared" si="13"/>
        <v>-7</v>
      </c>
    </row>
    <row r="109" spans="1:35" x14ac:dyDescent="0.25">
      <c r="A109" s="116" t="s">
        <v>117</v>
      </c>
      <c r="B109" s="117">
        <v>87</v>
      </c>
      <c r="C109" s="117">
        <v>85</v>
      </c>
      <c r="D109" s="117">
        <v>82</v>
      </c>
      <c r="E109" s="117">
        <v>85</v>
      </c>
      <c r="F109" s="117">
        <v>90.2</v>
      </c>
      <c r="G109" s="117">
        <v>97.7</v>
      </c>
      <c r="H109" s="117">
        <v>102</v>
      </c>
      <c r="I109" s="117">
        <v>102</v>
      </c>
      <c r="J109" s="117">
        <v>111.3</v>
      </c>
      <c r="K109" s="117">
        <v>99</v>
      </c>
      <c r="L109" s="117">
        <v>101.8</v>
      </c>
      <c r="M109" s="117">
        <v>106.3</v>
      </c>
      <c r="N109" s="117">
        <v>109.8</v>
      </c>
      <c r="O109" s="117">
        <v>101.3</v>
      </c>
      <c r="P109" s="117">
        <v>111.5</v>
      </c>
      <c r="Q109" s="117">
        <v>96.3</v>
      </c>
      <c r="R109" s="117">
        <v>101.2</v>
      </c>
      <c r="S109" s="117">
        <v>105.8</v>
      </c>
      <c r="T109" s="117">
        <v>110.3</v>
      </c>
      <c r="U109" s="117">
        <v>121.7</v>
      </c>
      <c r="V109" s="117">
        <v>121.7</v>
      </c>
      <c r="W109" s="117">
        <v>121</v>
      </c>
      <c r="X109" s="117">
        <v>90.7</v>
      </c>
      <c r="Y109" s="117">
        <v>109.7</v>
      </c>
      <c r="Z109" s="117">
        <v>105.1</v>
      </c>
      <c r="AA109" s="117">
        <v>95.9</v>
      </c>
      <c r="AB109" s="117">
        <v>86.2</v>
      </c>
      <c r="AC109" s="117">
        <v>81.3</v>
      </c>
      <c r="AD109" s="117">
        <v>104.1</v>
      </c>
      <c r="AE109" s="117">
        <v>109</v>
      </c>
      <c r="AF109" s="117">
        <v>93.2</v>
      </c>
      <c r="AG109" s="118">
        <v>120</v>
      </c>
      <c r="AH109" s="47">
        <f t="shared" si="12"/>
        <v>121.7</v>
      </c>
      <c r="AI109" s="48">
        <f t="shared" si="13"/>
        <v>81.3</v>
      </c>
    </row>
    <row r="110" spans="1:35" x14ac:dyDescent="0.25">
      <c r="A110" s="116" t="s">
        <v>118</v>
      </c>
      <c r="B110" s="117">
        <v>91</v>
      </c>
      <c r="C110" s="117">
        <v>91</v>
      </c>
      <c r="D110" s="117">
        <v>86</v>
      </c>
      <c r="E110" s="117">
        <v>92.8</v>
      </c>
      <c r="F110" s="117">
        <v>107</v>
      </c>
      <c r="G110" s="117">
        <v>100</v>
      </c>
      <c r="H110" s="117">
        <v>110</v>
      </c>
      <c r="I110" s="117">
        <v>110</v>
      </c>
      <c r="J110" s="117">
        <v>97</v>
      </c>
      <c r="K110" s="117">
        <v>82</v>
      </c>
      <c r="L110" s="117">
        <v>62</v>
      </c>
      <c r="M110" s="117">
        <v>66.8</v>
      </c>
      <c r="N110" s="117">
        <v>73.2</v>
      </c>
      <c r="O110" s="117">
        <v>93.8</v>
      </c>
      <c r="P110" s="117">
        <v>93</v>
      </c>
      <c r="Q110" s="117">
        <v>89.7</v>
      </c>
      <c r="R110" s="117">
        <v>97</v>
      </c>
      <c r="S110" s="117">
        <v>100.7</v>
      </c>
      <c r="T110" s="117">
        <v>101</v>
      </c>
      <c r="U110" s="117">
        <v>101</v>
      </c>
      <c r="V110" s="117">
        <v>101</v>
      </c>
      <c r="W110" s="117">
        <v>92</v>
      </c>
      <c r="X110" s="117">
        <v>78.7</v>
      </c>
      <c r="Y110" s="117">
        <v>99.1</v>
      </c>
      <c r="Z110" s="117">
        <v>29.4</v>
      </c>
      <c r="AA110" s="117">
        <v>90.4</v>
      </c>
      <c r="AB110" s="117">
        <v>73.7</v>
      </c>
      <c r="AC110" s="117">
        <v>83.2</v>
      </c>
      <c r="AD110" s="117">
        <v>95</v>
      </c>
      <c r="AE110" s="117">
        <v>98</v>
      </c>
      <c r="AF110" s="117">
        <v>98.7</v>
      </c>
      <c r="AG110" s="118"/>
      <c r="AH110" s="47">
        <f t="shared" si="12"/>
        <v>110</v>
      </c>
      <c r="AI110" s="48">
        <f t="shared" si="13"/>
        <v>29.4</v>
      </c>
    </row>
    <row r="111" spans="1:35" x14ac:dyDescent="0.25">
      <c r="A111" s="116" t="s">
        <v>119</v>
      </c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>
        <v>3.3</v>
      </c>
      <c r="S111" s="117">
        <v>6.5</v>
      </c>
      <c r="T111" s="117">
        <v>29.4</v>
      </c>
      <c r="U111" s="117">
        <v>38.799999999999997</v>
      </c>
      <c r="V111" s="117">
        <v>38.799999999999997</v>
      </c>
      <c r="W111" s="117">
        <v>24.8</v>
      </c>
      <c r="X111" s="117">
        <v>18.399999999999999</v>
      </c>
      <c r="Y111" s="117">
        <v>22.2</v>
      </c>
      <c r="Z111" s="117">
        <v>29.4</v>
      </c>
      <c r="AA111" s="117">
        <v>25.9</v>
      </c>
      <c r="AB111" s="117">
        <v>19.100000000000001</v>
      </c>
      <c r="AC111" s="117">
        <v>17.100000000000001</v>
      </c>
      <c r="AD111" s="117">
        <v>21.6</v>
      </c>
      <c r="AE111" s="117">
        <v>34.6</v>
      </c>
      <c r="AF111" s="117">
        <v>42.3</v>
      </c>
      <c r="AG111" s="119"/>
      <c r="AH111" s="47">
        <f t="shared" si="12"/>
        <v>42.3</v>
      </c>
      <c r="AI111" s="48">
        <f t="shared" si="13"/>
        <v>3.3</v>
      </c>
    </row>
    <row r="112" spans="1:35" x14ac:dyDescent="0.25">
      <c r="A112" s="120" t="s">
        <v>120</v>
      </c>
      <c r="B112" s="106">
        <v>15</v>
      </c>
      <c r="C112" s="106">
        <v>17</v>
      </c>
      <c r="D112" s="106">
        <v>14</v>
      </c>
      <c r="E112" s="106">
        <v>-18.100000000000001</v>
      </c>
      <c r="F112" s="106">
        <v>-13.7</v>
      </c>
      <c r="G112" s="106">
        <v>-14.3</v>
      </c>
      <c r="H112" s="106">
        <v>-4.4000000000000004</v>
      </c>
      <c r="I112" s="106">
        <v>-4.4000000000000004</v>
      </c>
      <c r="J112" s="106">
        <v>-30.9</v>
      </c>
      <c r="K112" s="106">
        <v>-57.3</v>
      </c>
      <c r="L112" s="106">
        <v>-55</v>
      </c>
      <c r="M112" s="106">
        <v>-52.6</v>
      </c>
      <c r="N112" s="106">
        <v>-36.200000000000003</v>
      </c>
      <c r="O112" s="106">
        <v>-27.9</v>
      </c>
      <c r="P112" s="106">
        <v>-14.9</v>
      </c>
      <c r="Q112" s="106">
        <v>-12.1</v>
      </c>
      <c r="R112" s="106">
        <v>-4.7</v>
      </c>
      <c r="S112" s="106">
        <v>-7.9</v>
      </c>
      <c r="T112" s="106">
        <v>-9.4</v>
      </c>
      <c r="U112" s="106">
        <v>-23</v>
      </c>
      <c r="V112" s="106">
        <v>-23</v>
      </c>
      <c r="W112" s="106">
        <v>-49.7</v>
      </c>
      <c r="X112" s="106">
        <v>-62.8</v>
      </c>
      <c r="Y112" s="106">
        <v>-35</v>
      </c>
      <c r="Z112" s="106">
        <v>-41.7</v>
      </c>
      <c r="AA112" s="106">
        <v>-37</v>
      </c>
      <c r="AB112" s="106">
        <v>-19.399999999999999</v>
      </c>
      <c r="AC112" s="106">
        <v>-9.3000000000000007</v>
      </c>
      <c r="AD112" s="106">
        <v>-4.2</v>
      </c>
      <c r="AE112" s="106">
        <v>1</v>
      </c>
      <c r="AF112" s="106">
        <v>12</v>
      </c>
      <c r="AG112" s="119"/>
      <c r="AH112" s="47">
        <f t="shared" si="12"/>
        <v>17</v>
      </c>
      <c r="AI112" s="48">
        <f t="shared" si="13"/>
        <v>-62.8</v>
      </c>
    </row>
    <row r="113" spans="1:37" ht="15.75" thickBot="1" x14ac:dyDescent="0.3">
      <c r="A113" s="120" t="s">
        <v>715</v>
      </c>
      <c r="B113" s="106">
        <v>70</v>
      </c>
      <c r="C113" s="106">
        <v>70</v>
      </c>
      <c r="D113" s="106">
        <v>70</v>
      </c>
      <c r="E113" s="106">
        <v>64.599999999999994</v>
      </c>
      <c r="F113" s="106">
        <v>67.400000000000006</v>
      </c>
      <c r="G113" s="106">
        <v>68.599999999999994</v>
      </c>
      <c r="H113" s="106">
        <v>-16.600000000000001</v>
      </c>
      <c r="I113" s="106">
        <v>-16.600000000000001</v>
      </c>
      <c r="J113" s="106">
        <v>82.2</v>
      </c>
      <c r="K113" s="106">
        <v>90.7</v>
      </c>
      <c r="L113" s="106">
        <v>92.2</v>
      </c>
      <c r="M113" s="106">
        <v>95.5</v>
      </c>
      <c r="N113" s="106">
        <v>-38.299999999999997</v>
      </c>
      <c r="O113" s="106">
        <v>-56.4</v>
      </c>
      <c r="P113" s="106">
        <v>88.4</v>
      </c>
      <c r="Q113" s="106">
        <v>61.3</v>
      </c>
      <c r="R113" s="106"/>
      <c r="S113" s="106">
        <v>79</v>
      </c>
      <c r="T113" s="106">
        <v>84.2</v>
      </c>
      <c r="U113" s="106">
        <v>82.7</v>
      </c>
      <c r="V113" s="106">
        <v>82.7</v>
      </c>
      <c r="W113" s="106">
        <v>83.8</v>
      </c>
      <c r="X113" s="106">
        <v>96.7</v>
      </c>
      <c r="Y113" s="106">
        <v>98</v>
      </c>
      <c r="Z113" s="106">
        <v>89.8</v>
      </c>
      <c r="AA113" s="106">
        <v>84</v>
      </c>
      <c r="AB113" s="106">
        <v>76</v>
      </c>
      <c r="AC113" s="106">
        <v>80.099999999999994</v>
      </c>
      <c r="AD113" s="106">
        <v>82.7</v>
      </c>
      <c r="AE113" s="106">
        <v>75.2</v>
      </c>
      <c r="AF113" s="106">
        <v>69.5</v>
      </c>
      <c r="AG113" s="119"/>
      <c r="AH113" s="47">
        <f t="shared" si="12"/>
        <v>98</v>
      </c>
      <c r="AI113" s="48">
        <f t="shared" si="13"/>
        <v>-56.4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21">SUM(B115:B219)</f>
        <v>0</v>
      </c>
      <c r="C220" s="136">
        <f t="shared" si="21"/>
        <v>0</v>
      </c>
      <c r="D220" s="136">
        <f t="shared" si="21"/>
        <v>0</v>
      </c>
      <c r="E220" s="136">
        <f t="shared" si="21"/>
        <v>0</v>
      </c>
      <c r="F220" s="136">
        <f t="shared" si="21"/>
        <v>0</v>
      </c>
      <c r="G220" s="136">
        <f t="shared" si="21"/>
        <v>0</v>
      </c>
      <c r="H220" s="136">
        <f t="shared" si="21"/>
        <v>0</v>
      </c>
      <c r="I220" s="136">
        <f t="shared" si="21"/>
        <v>0</v>
      </c>
      <c r="J220" s="136">
        <f t="shared" si="21"/>
        <v>0</v>
      </c>
      <c r="K220" s="136">
        <f t="shared" si="21"/>
        <v>0</v>
      </c>
      <c r="L220" s="136">
        <f t="shared" si="21"/>
        <v>0</v>
      </c>
      <c r="M220" s="136">
        <f t="shared" si="21"/>
        <v>0</v>
      </c>
      <c r="N220" s="136">
        <f t="shared" si="21"/>
        <v>0</v>
      </c>
      <c r="O220" s="136">
        <f t="shared" si="21"/>
        <v>0</v>
      </c>
      <c r="P220" s="136">
        <f t="shared" si="21"/>
        <v>0</v>
      </c>
      <c r="Q220" s="136">
        <f t="shared" si="21"/>
        <v>0</v>
      </c>
      <c r="R220" s="136">
        <f t="shared" si="21"/>
        <v>0</v>
      </c>
      <c r="S220" s="136">
        <f t="shared" si="21"/>
        <v>0</v>
      </c>
      <c r="T220" s="136">
        <f t="shared" si="21"/>
        <v>0</v>
      </c>
      <c r="U220" s="136">
        <f t="shared" si="21"/>
        <v>0</v>
      </c>
      <c r="V220" s="136">
        <f t="shared" si="21"/>
        <v>0</v>
      </c>
      <c r="W220" s="136">
        <f t="shared" si="21"/>
        <v>0</v>
      </c>
      <c r="X220" s="136">
        <f t="shared" si="21"/>
        <v>0</v>
      </c>
      <c r="Y220" s="136">
        <f t="shared" si="21"/>
        <v>0</v>
      </c>
      <c r="Z220" s="136">
        <f t="shared" si="21"/>
        <v>0</v>
      </c>
      <c r="AA220" s="136">
        <f t="shared" si="21"/>
        <v>0</v>
      </c>
      <c r="AB220" s="136">
        <f t="shared" si="21"/>
        <v>0</v>
      </c>
      <c r="AC220" s="136">
        <f t="shared" si="21"/>
        <v>0</v>
      </c>
      <c r="AD220" s="136">
        <f t="shared" si="21"/>
        <v>0</v>
      </c>
      <c r="AE220" s="136">
        <f t="shared" si="21"/>
        <v>0</v>
      </c>
      <c r="AF220" s="137">
        <f t="shared" si="21"/>
        <v>0</v>
      </c>
      <c r="AG220" s="138">
        <f t="shared" si="21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22">AF222</f>
        <v>0</v>
      </c>
      <c r="C222" s="140">
        <v>0.3</v>
      </c>
      <c r="D222" s="140">
        <f t="shared" ref="D222:P227" si="23">C222</f>
        <v>0.3</v>
      </c>
      <c r="E222" s="140">
        <f t="shared" si="23"/>
        <v>0.3</v>
      </c>
      <c r="F222" s="140">
        <f t="shared" si="23"/>
        <v>0.3</v>
      </c>
      <c r="G222" s="140">
        <f t="shared" si="23"/>
        <v>0.3</v>
      </c>
      <c r="H222" s="140">
        <f t="shared" si="23"/>
        <v>0.3</v>
      </c>
      <c r="I222" s="140">
        <f t="shared" si="23"/>
        <v>0.3</v>
      </c>
      <c r="J222" s="140">
        <f t="shared" si="23"/>
        <v>0.3</v>
      </c>
      <c r="K222" s="140">
        <f t="shared" si="23"/>
        <v>0.3</v>
      </c>
      <c r="L222" s="140">
        <f t="shared" si="23"/>
        <v>0.3</v>
      </c>
      <c r="M222" s="140">
        <f t="shared" si="23"/>
        <v>0.3</v>
      </c>
      <c r="N222" s="140">
        <f t="shared" si="23"/>
        <v>0.3</v>
      </c>
      <c r="O222" s="140">
        <f t="shared" si="23"/>
        <v>0.3</v>
      </c>
      <c r="P222" s="140">
        <f t="shared" si="23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22"/>
        <v>0</v>
      </c>
      <c r="C223" s="128">
        <v>0.4</v>
      </c>
      <c r="D223" s="128">
        <f t="shared" si="23"/>
        <v>0.4</v>
      </c>
      <c r="E223" s="128">
        <f t="shared" si="23"/>
        <v>0.4</v>
      </c>
      <c r="F223" s="128">
        <f t="shared" si="23"/>
        <v>0.4</v>
      </c>
      <c r="G223" s="128">
        <f t="shared" si="23"/>
        <v>0.4</v>
      </c>
      <c r="H223" s="128">
        <f t="shared" si="23"/>
        <v>0.4</v>
      </c>
      <c r="I223" s="128">
        <f t="shared" si="23"/>
        <v>0.4</v>
      </c>
      <c r="J223" s="128">
        <f t="shared" si="23"/>
        <v>0.4</v>
      </c>
      <c r="K223" s="128">
        <f t="shared" si="23"/>
        <v>0.4</v>
      </c>
      <c r="L223" s="128">
        <f t="shared" si="23"/>
        <v>0.4</v>
      </c>
      <c r="M223" s="128">
        <f t="shared" si="23"/>
        <v>0.4</v>
      </c>
      <c r="N223" s="128">
        <f t="shared" si="23"/>
        <v>0.4</v>
      </c>
      <c r="O223" s="128">
        <f t="shared" si="23"/>
        <v>0.4</v>
      </c>
      <c r="P223" s="128">
        <f t="shared" si="23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22"/>
        <v>0</v>
      </c>
      <c r="C224" s="128">
        <v>1.5</v>
      </c>
      <c r="D224" s="128">
        <f t="shared" si="23"/>
        <v>1.5</v>
      </c>
      <c r="E224" s="128">
        <f t="shared" si="23"/>
        <v>1.5</v>
      </c>
      <c r="F224" s="128">
        <f t="shared" si="23"/>
        <v>1.5</v>
      </c>
      <c r="G224" s="128">
        <f t="shared" si="23"/>
        <v>1.5</v>
      </c>
      <c r="H224" s="128">
        <f t="shared" si="23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23"/>
        <v>1.5</v>
      </c>
      <c r="K224" s="128">
        <f t="shared" ca="1" si="23"/>
        <v>1.5</v>
      </c>
      <c r="L224" s="128">
        <f t="shared" ca="1" si="23"/>
        <v>1.5</v>
      </c>
      <c r="M224" s="128">
        <f t="shared" ca="1" si="23"/>
        <v>1.5</v>
      </c>
      <c r="N224" s="128">
        <f t="shared" ca="1" si="23"/>
        <v>1.5</v>
      </c>
      <c r="O224" s="128">
        <f t="shared" ca="1" si="23"/>
        <v>1.5</v>
      </c>
      <c r="P224" s="128">
        <f t="shared" ca="1" si="23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22"/>
        <v>0</v>
      </c>
      <c r="C225" s="128">
        <v>0.3</v>
      </c>
      <c r="D225" s="128">
        <f t="shared" si="23"/>
        <v>0.3</v>
      </c>
      <c r="E225" s="128">
        <f t="shared" si="23"/>
        <v>0.3</v>
      </c>
      <c r="F225" s="128">
        <f t="shared" si="23"/>
        <v>0.3</v>
      </c>
      <c r="G225" s="128">
        <f t="shared" si="23"/>
        <v>0.3</v>
      </c>
      <c r="H225" s="128">
        <f t="shared" si="23"/>
        <v>0.3</v>
      </c>
      <c r="I225" s="128">
        <f t="shared" si="23"/>
        <v>0.3</v>
      </c>
      <c r="J225" s="128">
        <f t="shared" si="23"/>
        <v>0.3</v>
      </c>
      <c r="K225" s="128">
        <f t="shared" si="23"/>
        <v>0.3</v>
      </c>
      <c r="L225" s="128">
        <f t="shared" si="23"/>
        <v>0.3</v>
      </c>
      <c r="M225" s="128">
        <f t="shared" si="23"/>
        <v>0.3</v>
      </c>
      <c r="N225" s="128">
        <f t="shared" si="23"/>
        <v>0.3</v>
      </c>
      <c r="O225" s="128">
        <f t="shared" si="23"/>
        <v>0.3</v>
      </c>
      <c r="P225" s="128">
        <f t="shared" si="23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22"/>
        <v>0</v>
      </c>
      <c r="C226" s="128">
        <v>0.4</v>
      </c>
      <c r="D226" s="128">
        <f t="shared" si="23"/>
        <v>0.4</v>
      </c>
      <c r="E226" s="128">
        <f t="shared" si="23"/>
        <v>0.4</v>
      </c>
      <c r="F226" s="128">
        <f t="shared" si="23"/>
        <v>0.4</v>
      </c>
      <c r="G226" s="128">
        <f t="shared" si="23"/>
        <v>0.4</v>
      </c>
      <c r="H226" s="128">
        <f t="shared" si="23"/>
        <v>0.4</v>
      </c>
      <c r="I226" s="128">
        <f t="shared" si="23"/>
        <v>0.4</v>
      </c>
      <c r="J226" s="128">
        <f t="shared" si="23"/>
        <v>0.4</v>
      </c>
      <c r="K226" s="128">
        <f t="shared" si="23"/>
        <v>0.4</v>
      </c>
      <c r="L226" s="128">
        <f t="shared" si="23"/>
        <v>0.4</v>
      </c>
      <c r="M226" s="128">
        <f t="shared" si="23"/>
        <v>0.4</v>
      </c>
      <c r="N226" s="128">
        <f t="shared" si="23"/>
        <v>0.4</v>
      </c>
      <c r="O226" s="128">
        <f t="shared" si="23"/>
        <v>0.4</v>
      </c>
      <c r="P226" s="128">
        <f t="shared" si="23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22"/>
        <v>0</v>
      </c>
      <c r="C227" s="132">
        <v>0.64</v>
      </c>
      <c r="D227" s="132">
        <f t="shared" si="23"/>
        <v>0.64</v>
      </c>
      <c r="E227" s="132">
        <f t="shared" si="23"/>
        <v>0.64</v>
      </c>
      <c r="F227" s="132">
        <f t="shared" si="23"/>
        <v>0.64</v>
      </c>
      <c r="G227" s="132">
        <f t="shared" si="23"/>
        <v>0.64</v>
      </c>
      <c r="H227" s="132">
        <f t="shared" si="23"/>
        <v>0.64</v>
      </c>
      <c r="I227" s="132">
        <f t="shared" si="23"/>
        <v>0.64</v>
      </c>
      <c r="J227" s="132">
        <f t="shared" si="23"/>
        <v>0.64</v>
      </c>
      <c r="K227" s="132">
        <f t="shared" si="23"/>
        <v>0.64</v>
      </c>
      <c r="L227" s="132">
        <f t="shared" si="23"/>
        <v>0.64</v>
      </c>
      <c r="M227" s="132">
        <f t="shared" si="23"/>
        <v>0.64</v>
      </c>
      <c r="N227" s="132">
        <f t="shared" si="23"/>
        <v>0.64</v>
      </c>
      <c r="O227" s="132">
        <f t="shared" si="23"/>
        <v>0.64</v>
      </c>
      <c r="P227" s="132">
        <f t="shared" si="23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24">SUM(B222:B227)</f>
        <v>0</v>
      </c>
      <c r="C228" s="136">
        <f t="shared" si="24"/>
        <v>3.54</v>
      </c>
      <c r="D228" s="136">
        <f t="shared" si="24"/>
        <v>3.54</v>
      </c>
      <c r="E228" s="136">
        <f t="shared" si="24"/>
        <v>3.54</v>
      </c>
      <c r="F228" s="136">
        <f t="shared" si="24"/>
        <v>3.54</v>
      </c>
      <c r="G228" s="136">
        <f t="shared" si="24"/>
        <v>3.54</v>
      </c>
      <c r="H228" s="136">
        <f t="shared" si="24"/>
        <v>3.54</v>
      </c>
      <c r="I228" s="136">
        <f t="shared" ca="1" si="24"/>
        <v>3.54</v>
      </c>
      <c r="J228" s="136">
        <f t="shared" ca="1" si="24"/>
        <v>3.54</v>
      </c>
      <c r="K228" s="136">
        <f t="shared" ca="1" si="24"/>
        <v>3.54</v>
      </c>
      <c r="L228" s="136">
        <f t="shared" ca="1" si="24"/>
        <v>3.54</v>
      </c>
      <c r="M228" s="136">
        <f t="shared" ca="1" si="24"/>
        <v>3.54</v>
      </c>
      <c r="N228" s="136">
        <f t="shared" ca="1" si="24"/>
        <v>3.54</v>
      </c>
      <c r="O228" s="136">
        <f t="shared" ca="1" si="24"/>
        <v>3.54</v>
      </c>
      <c r="P228" s="136">
        <f t="shared" ca="1" si="24"/>
        <v>3.54</v>
      </c>
      <c r="Q228" s="136">
        <f t="shared" si="24"/>
        <v>0</v>
      </c>
      <c r="R228" s="136">
        <f t="shared" si="24"/>
        <v>0</v>
      </c>
      <c r="S228" s="136">
        <f t="shared" si="24"/>
        <v>0</v>
      </c>
      <c r="T228" s="136">
        <f t="shared" si="24"/>
        <v>0</v>
      </c>
      <c r="U228" s="136">
        <f t="shared" si="24"/>
        <v>0</v>
      </c>
      <c r="V228" s="136">
        <f t="shared" si="24"/>
        <v>0</v>
      </c>
      <c r="W228" s="136">
        <f t="shared" si="24"/>
        <v>0</v>
      </c>
      <c r="X228" s="136">
        <f t="shared" si="24"/>
        <v>0</v>
      </c>
      <c r="Y228" s="136">
        <f t="shared" si="24"/>
        <v>0</v>
      </c>
      <c r="Z228" s="136">
        <f t="shared" si="24"/>
        <v>0</v>
      </c>
      <c r="AA228" s="136">
        <f t="shared" si="24"/>
        <v>0</v>
      </c>
      <c r="AB228" s="136">
        <f t="shared" si="24"/>
        <v>0</v>
      </c>
      <c r="AC228" s="136">
        <f t="shared" si="24"/>
        <v>0</v>
      </c>
      <c r="AD228" s="136">
        <f t="shared" si="24"/>
        <v>0</v>
      </c>
      <c r="AE228" s="136">
        <f t="shared" si="24"/>
        <v>0</v>
      </c>
      <c r="AF228" s="136">
        <f t="shared" si="24"/>
        <v>0</v>
      </c>
      <c r="AG228" s="145">
        <f t="shared" si="24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1487.94</v>
      </c>
      <c r="C237" s="161">
        <f>INDEX(G9:N9,1,MATCH(MAX(G85:N85),G85:N85,0))</f>
        <v>0.3125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26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str">
        <f ca="1">"Pie Chart of Daily Peak Demand(Inclusive of Export) of Nepal ("&amp;A4&amp;" "&amp;B4&amp;")"</f>
        <v>Pie Chart of Daily Peak Demand(Inclusive of Export) of Nepal (Nepali Date: 2079/10/26)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2079/10/26)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5">B85</f>
        <v>1063.04</v>
      </c>
      <c r="U242" s="170">
        <f t="shared" si="25"/>
        <v>1065.04</v>
      </c>
      <c r="V242" s="170">
        <f t="shared" si="25"/>
        <v>1022.0400000000001</v>
      </c>
      <c r="W242" s="170">
        <f t="shared" si="25"/>
        <v>1047.54</v>
      </c>
      <c r="X242" s="170">
        <f t="shared" si="25"/>
        <v>1055.04</v>
      </c>
      <c r="Y242" s="170">
        <f t="shared" si="25"/>
        <v>1077.44</v>
      </c>
      <c r="Z242" s="170">
        <f t="shared" si="25"/>
        <v>1102.7400000000002</v>
      </c>
      <c r="AA242" s="170">
        <f t="shared" si="25"/>
        <v>1164.6400000000001</v>
      </c>
      <c r="AB242" s="170">
        <f t="shared" si="25"/>
        <v>1319.7400000000002</v>
      </c>
      <c r="AC242" s="170">
        <f t="shared" si="25"/>
        <v>1368.3400000000001</v>
      </c>
      <c r="AD242" s="170">
        <f t="shared" si="25"/>
        <v>1487.94</v>
      </c>
      <c r="AE242" s="170">
        <f t="shared" si="25"/>
        <v>1383.54</v>
      </c>
      <c r="AF242" s="170">
        <f t="shared" si="25"/>
        <v>1372.04</v>
      </c>
      <c r="AG242" s="170">
        <f t="shared" si="25"/>
        <v>1293.6399999999999</v>
      </c>
      <c r="AH242" s="170">
        <f t="shared" si="25"/>
        <v>1248.24</v>
      </c>
      <c r="AI242" s="170">
        <f t="shared" si="25"/>
        <v>1167.94</v>
      </c>
      <c r="AJ242" s="170">
        <f t="shared" si="25"/>
        <v>1292.3400000000001</v>
      </c>
      <c r="AK242" s="170">
        <f t="shared" si="25"/>
        <v>1307.1400000000001</v>
      </c>
      <c r="AL242" s="170">
        <f t="shared" si="25"/>
        <v>1317.24</v>
      </c>
      <c r="AM242" s="170">
        <f t="shared" si="25"/>
        <v>1273.44</v>
      </c>
      <c r="AN242" s="170">
        <f t="shared" si="25"/>
        <v>1256.6399999999999</v>
      </c>
      <c r="AO242" s="170">
        <f t="shared" si="25"/>
        <v>1461.6399999999999</v>
      </c>
      <c r="AP242" s="170">
        <f t="shared" si="25"/>
        <v>1441.6399999999999</v>
      </c>
      <c r="AQ242" s="170">
        <f t="shared" si="25"/>
        <v>1649.4</v>
      </c>
      <c r="AR242" s="170">
        <f t="shared" si="25"/>
        <v>1614.6399999999999</v>
      </c>
      <c r="AS242" s="170">
        <f t="shared" si="25"/>
        <v>1537.44</v>
      </c>
      <c r="AT242" s="170">
        <f t="shared" si="25"/>
        <v>1445.44</v>
      </c>
      <c r="AU242" s="170">
        <f t="shared" si="25"/>
        <v>1373.34</v>
      </c>
      <c r="AV242" s="170">
        <f t="shared" si="25"/>
        <v>1220.9399999999998</v>
      </c>
      <c r="AW242" s="170">
        <f t="shared" si="25"/>
        <v>1204.54</v>
      </c>
      <c r="AX242" s="170">
        <f t="shared" si="25"/>
        <v>1110.9399999999998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6">C227</f>
        <v>0.64</v>
      </c>
      <c r="C263" s="173">
        <f t="shared" si="26"/>
        <v>0.64</v>
      </c>
      <c r="D263" s="173">
        <f t="shared" si="26"/>
        <v>0.64</v>
      </c>
      <c r="E263" s="173">
        <f t="shared" si="26"/>
        <v>0.64</v>
      </c>
      <c r="F263" s="173">
        <f t="shared" si="26"/>
        <v>0.64</v>
      </c>
      <c r="G263" s="173">
        <f t="shared" si="26"/>
        <v>0.64</v>
      </c>
      <c r="H263" s="173">
        <f t="shared" si="26"/>
        <v>0.64</v>
      </c>
      <c r="I263" s="173">
        <f t="shared" si="26"/>
        <v>0.64</v>
      </c>
      <c r="J263" s="173">
        <f t="shared" si="26"/>
        <v>0.64</v>
      </c>
      <c r="K263" s="173">
        <f t="shared" si="26"/>
        <v>0.64</v>
      </c>
      <c r="L263" s="173">
        <f t="shared" si="26"/>
        <v>0.64</v>
      </c>
      <c r="M263" s="173">
        <f t="shared" si="26"/>
        <v>0.64</v>
      </c>
      <c r="N263" s="173">
        <f t="shared" si="26"/>
        <v>0.64</v>
      </c>
      <c r="O263" s="173">
        <f t="shared" si="26"/>
        <v>0.64</v>
      </c>
      <c r="P263" s="173">
        <f t="shared" si="26"/>
        <v>0</v>
      </c>
      <c r="Q263" s="173">
        <f t="shared" si="26"/>
        <v>0</v>
      </c>
      <c r="R263" s="173">
        <f t="shared" si="26"/>
        <v>0</v>
      </c>
      <c r="S263" s="173">
        <f t="shared" si="26"/>
        <v>0</v>
      </c>
      <c r="T263" s="173">
        <f t="shared" si="26"/>
        <v>0</v>
      </c>
      <c r="U263" s="173">
        <f t="shared" si="26"/>
        <v>0</v>
      </c>
      <c r="V263" s="173">
        <f t="shared" si="26"/>
        <v>0</v>
      </c>
      <c r="W263" s="173">
        <f t="shared" si="26"/>
        <v>0</v>
      </c>
      <c r="X263" s="173">
        <f t="shared" si="26"/>
        <v>0</v>
      </c>
      <c r="Y263" s="173">
        <f t="shared" si="26"/>
        <v>0</v>
      </c>
      <c r="Z263" s="173">
        <f t="shared" si="26"/>
        <v>0</v>
      </c>
      <c r="AA263" s="173">
        <f t="shared" si="26"/>
        <v>0</v>
      </c>
      <c r="AB263" s="173">
        <f t="shared" si="26"/>
        <v>0</v>
      </c>
      <c r="AC263" s="173">
        <f t="shared" si="26"/>
        <v>0</v>
      </c>
      <c r="AD263" s="173">
        <f t="shared" si="26"/>
        <v>0</v>
      </c>
      <c r="AE263" s="173">
        <f t="shared" si="26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7">IF(B231&lt;100,"",B231-520)</f>
        <v/>
      </c>
      <c r="C264" s="174" t="str">
        <f t="shared" si="27"/>
        <v/>
      </c>
      <c r="D264" s="174" t="str">
        <f t="shared" si="27"/>
        <v/>
      </c>
      <c r="E264" s="174" t="str">
        <f t="shared" si="27"/>
        <v/>
      </c>
      <c r="F264" s="174" t="str">
        <f t="shared" si="27"/>
        <v/>
      </c>
      <c r="G264" s="174" t="str">
        <f t="shared" si="27"/>
        <v/>
      </c>
      <c r="H264" s="174" t="str">
        <f t="shared" si="27"/>
        <v/>
      </c>
      <c r="I264" s="174" t="str">
        <f t="shared" si="27"/>
        <v/>
      </c>
      <c r="J264" s="174" t="str">
        <f t="shared" si="27"/>
        <v/>
      </c>
      <c r="K264" s="174" t="str">
        <f t="shared" si="27"/>
        <v/>
      </c>
      <c r="L264" s="174" t="str">
        <f t="shared" si="27"/>
        <v/>
      </c>
      <c r="M264" s="174" t="str">
        <f t="shared" si="27"/>
        <v/>
      </c>
      <c r="N264" s="174" t="str">
        <f t="shared" si="27"/>
        <v/>
      </c>
      <c r="O264" s="174" t="str">
        <f t="shared" si="27"/>
        <v/>
      </c>
      <c r="P264" s="174" t="str">
        <f t="shared" si="27"/>
        <v/>
      </c>
      <c r="Q264" s="174" t="str">
        <f t="shared" si="27"/>
        <v/>
      </c>
      <c r="R264" s="174" t="str">
        <f t="shared" si="27"/>
        <v/>
      </c>
      <c r="S264" s="174" t="str">
        <f t="shared" si="27"/>
        <v/>
      </c>
      <c r="T264" s="174" t="str">
        <f t="shared" si="27"/>
        <v/>
      </c>
      <c r="U264" s="174" t="str">
        <f t="shared" si="27"/>
        <v/>
      </c>
      <c r="V264" s="174" t="str">
        <f t="shared" si="27"/>
        <v/>
      </c>
      <c r="W264" s="174" t="str">
        <f t="shared" si="27"/>
        <v/>
      </c>
      <c r="X264" s="174" t="str">
        <f t="shared" si="27"/>
        <v/>
      </c>
      <c r="Y264" s="174" t="str">
        <f t="shared" si="27"/>
        <v/>
      </c>
      <c r="Z264" s="174" t="str">
        <f t="shared" si="27"/>
        <v/>
      </c>
      <c r="AA264" s="174" t="str">
        <f t="shared" si="27"/>
        <v/>
      </c>
      <c r="AB264" s="174" t="str">
        <f t="shared" si="27"/>
        <v/>
      </c>
      <c r="AC264" s="174" t="str">
        <f t="shared" si="27"/>
        <v/>
      </c>
      <c r="AD264" s="174" t="str">
        <f t="shared" si="27"/>
        <v/>
      </c>
      <c r="AE264" s="174" t="str">
        <f t="shared" si="27"/>
        <v/>
      </c>
      <c r="AF264" s="174" t="str">
        <f t="shared" si="27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8">IF(B232&lt;100,"",B232-620)</f>
        <v/>
      </c>
      <c r="C265" s="174" t="str">
        <f t="shared" si="28"/>
        <v/>
      </c>
      <c r="D265" s="174" t="str">
        <f t="shared" si="28"/>
        <v/>
      </c>
      <c r="E265" s="174" t="str">
        <f t="shared" si="28"/>
        <v/>
      </c>
      <c r="F265" s="174" t="str">
        <f t="shared" si="28"/>
        <v/>
      </c>
      <c r="G265" s="174" t="str">
        <f t="shared" si="28"/>
        <v/>
      </c>
      <c r="H265" s="174" t="str">
        <f t="shared" si="28"/>
        <v/>
      </c>
      <c r="I265" s="174" t="str">
        <f t="shared" si="28"/>
        <v/>
      </c>
      <c r="J265" s="174" t="str">
        <f t="shared" si="28"/>
        <v/>
      </c>
      <c r="K265" s="174" t="str">
        <f t="shared" si="28"/>
        <v/>
      </c>
      <c r="L265" s="174" t="str">
        <f t="shared" si="28"/>
        <v/>
      </c>
      <c r="M265" s="174" t="str">
        <f t="shared" si="28"/>
        <v/>
      </c>
      <c r="N265" s="174" t="str">
        <f t="shared" si="28"/>
        <v/>
      </c>
      <c r="O265" s="174" t="str">
        <f t="shared" si="28"/>
        <v/>
      </c>
      <c r="P265" s="174" t="str">
        <f t="shared" si="28"/>
        <v/>
      </c>
      <c r="Q265" s="174" t="str">
        <f t="shared" si="28"/>
        <v/>
      </c>
      <c r="R265" s="174" t="str">
        <f t="shared" si="28"/>
        <v/>
      </c>
      <c r="S265" s="174" t="str">
        <f t="shared" si="28"/>
        <v/>
      </c>
      <c r="T265" s="174" t="str">
        <f t="shared" si="28"/>
        <v/>
      </c>
      <c r="U265" s="174" t="str">
        <f t="shared" si="28"/>
        <v/>
      </c>
      <c r="V265" s="174" t="str">
        <f t="shared" si="28"/>
        <v/>
      </c>
      <c r="W265" s="174" t="str">
        <f t="shared" si="28"/>
        <v/>
      </c>
      <c r="X265" s="174" t="str">
        <f t="shared" si="28"/>
        <v/>
      </c>
      <c r="Y265" s="174" t="str">
        <f t="shared" si="28"/>
        <v/>
      </c>
      <c r="Z265" s="174" t="str">
        <f t="shared" si="28"/>
        <v/>
      </c>
      <c r="AA265" s="174" t="str">
        <f t="shared" si="28"/>
        <v/>
      </c>
      <c r="AB265" s="174" t="str">
        <f t="shared" si="28"/>
        <v/>
      </c>
      <c r="AC265" s="174" t="str">
        <f t="shared" si="28"/>
        <v/>
      </c>
      <c r="AD265" s="174" t="str">
        <f t="shared" si="28"/>
        <v/>
      </c>
      <c r="AE265" s="174" t="str">
        <f t="shared" si="28"/>
        <v/>
      </c>
      <c r="AF265" s="174" t="str">
        <f t="shared" si="28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9">IF(B233&lt;100,"",B233-330)</f>
        <v/>
      </c>
      <c r="C266" s="174" t="str">
        <f t="shared" si="29"/>
        <v/>
      </c>
      <c r="D266" s="174" t="str">
        <f t="shared" si="29"/>
        <v/>
      </c>
      <c r="E266" s="174" t="str">
        <f t="shared" si="29"/>
        <v/>
      </c>
      <c r="F266" s="174" t="str">
        <f t="shared" si="29"/>
        <v/>
      </c>
      <c r="G266" s="174" t="str">
        <f t="shared" si="29"/>
        <v/>
      </c>
      <c r="H266" s="174" t="str">
        <f t="shared" si="29"/>
        <v/>
      </c>
      <c r="I266" s="174" t="str">
        <f t="shared" si="29"/>
        <v/>
      </c>
      <c r="J266" s="174" t="str">
        <f t="shared" si="29"/>
        <v/>
      </c>
      <c r="K266" s="174" t="str">
        <f t="shared" si="29"/>
        <v/>
      </c>
      <c r="L266" s="174" t="str">
        <f t="shared" si="29"/>
        <v/>
      </c>
      <c r="M266" s="174" t="str">
        <f t="shared" si="29"/>
        <v/>
      </c>
      <c r="N266" s="174" t="str">
        <f t="shared" si="29"/>
        <v/>
      </c>
      <c r="O266" s="174" t="str">
        <f t="shared" si="29"/>
        <v/>
      </c>
      <c r="P266" s="174" t="str">
        <f t="shared" si="29"/>
        <v/>
      </c>
      <c r="Q266" s="174" t="str">
        <f t="shared" si="29"/>
        <v/>
      </c>
      <c r="R266" s="174" t="str">
        <f t="shared" si="29"/>
        <v/>
      </c>
      <c r="S266" s="174" t="str">
        <f t="shared" si="29"/>
        <v/>
      </c>
      <c r="T266" s="174" t="str">
        <f t="shared" si="29"/>
        <v/>
      </c>
      <c r="U266" s="174" t="str">
        <f t="shared" si="29"/>
        <v/>
      </c>
      <c r="V266" s="174" t="str">
        <f t="shared" si="29"/>
        <v/>
      </c>
      <c r="W266" s="174" t="str">
        <f t="shared" si="29"/>
        <v/>
      </c>
      <c r="X266" s="174" t="str">
        <f t="shared" si="29"/>
        <v/>
      </c>
      <c r="Y266" s="174" t="str">
        <f t="shared" si="29"/>
        <v/>
      </c>
      <c r="Z266" s="174" t="str">
        <f t="shared" si="29"/>
        <v/>
      </c>
      <c r="AA266" s="174" t="str">
        <f t="shared" si="29"/>
        <v/>
      </c>
      <c r="AB266" s="174" t="str">
        <f t="shared" si="29"/>
        <v/>
      </c>
      <c r="AC266" s="174" t="str">
        <f t="shared" si="29"/>
        <v/>
      </c>
      <c r="AD266" s="174" t="str">
        <f t="shared" si="29"/>
        <v/>
      </c>
      <c r="AE266" s="174" t="str">
        <f t="shared" si="29"/>
        <v/>
      </c>
      <c r="AF266" s="174" t="str">
        <f t="shared" si="29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30">IF(B234&lt;100,"",B234-1500)</f>
        <v/>
      </c>
      <c r="C267" s="174" t="str">
        <f t="shared" si="30"/>
        <v/>
      </c>
      <c r="D267" s="174" t="str">
        <f t="shared" si="30"/>
        <v/>
      </c>
      <c r="E267" s="174" t="str">
        <f t="shared" si="30"/>
        <v/>
      </c>
      <c r="F267" s="174" t="str">
        <f t="shared" si="30"/>
        <v/>
      </c>
      <c r="G267" s="174" t="str">
        <f t="shared" si="30"/>
        <v/>
      </c>
      <c r="H267" s="174" t="str">
        <f t="shared" si="30"/>
        <v/>
      </c>
      <c r="I267" s="174" t="str">
        <f t="shared" si="30"/>
        <v/>
      </c>
      <c r="J267" s="174" t="str">
        <f t="shared" si="30"/>
        <v/>
      </c>
      <c r="K267" s="174" t="str">
        <f t="shared" si="30"/>
        <v/>
      </c>
      <c r="L267" s="174" t="str">
        <f t="shared" si="30"/>
        <v/>
      </c>
      <c r="M267" s="174" t="str">
        <f t="shared" si="30"/>
        <v/>
      </c>
      <c r="N267" s="174" t="str">
        <f t="shared" si="30"/>
        <v/>
      </c>
      <c r="O267" s="174" t="str">
        <f t="shared" si="30"/>
        <v/>
      </c>
      <c r="P267" s="174" t="str">
        <f t="shared" si="30"/>
        <v/>
      </c>
      <c r="Q267" s="174" t="str">
        <f t="shared" si="30"/>
        <v/>
      </c>
      <c r="R267" s="174" t="str">
        <f t="shared" si="30"/>
        <v/>
      </c>
      <c r="S267" s="174" t="str">
        <f t="shared" si="30"/>
        <v/>
      </c>
      <c r="T267" s="174" t="str">
        <f t="shared" si="30"/>
        <v/>
      </c>
      <c r="U267" s="174" t="str">
        <f t="shared" si="30"/>
        <v/>
      </c>
      <c r="V267" s="174" t="str">
        <f t="shared" si="30"/>
        <v/>
      </c>
      <c r="W267" s="174" t="str">
        <f t="shared" si="30"/>
        <v/>
      </c>
      <c r="X267" s="174" t="str">
        <f t="shared" si="30"/>
        <v/>
      </c>
      <c r="Y267" s="174" t="str">
        <f t="shared" si="30"/>
        <v/>
      </c>
      <c r="Z267" s="174" t="str">
        <f t="shared" si="30"/>
        <v/>
      </c>
      <c r="AA267" s="174" t="str">
        <f t="shared" si="30"/>
        <v/>
      </c>
      <c r="AB267" s="174" t="str">
        <f t="shared" si="30"/>
        <v/>
      </c>
      <c r="AC267" s="174" t="str">
        <f t="shared" si="30"/>
        <v/>
      </c>
      <c r="AD267" s="174" t="str">
        <f t="shared" si="30"/>
        <v/>
      </c>
      <c r="AE267" s="174" t="str">
        <f t="shared" si="30"/>
        <v/>
      </c>
      <c r="AF267" s="174" t="str">
        <f t="shared" si="30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5:AF105 D107:AF112 AB11:AF14">
    <cfRule type="expression" dxfId="2766" priority="234">
      <formula>B$9&gt;=20/24</formula>
    </cfRule>
    <cfRule type="expression" dxfId="2765" priority="235">
      <formula>AND(B$9&gt;=14/24,B$9&lt;20/24)</formula>
    </cfRule>
    <cfRule type="expression" dxfId="2764" priority="236">
      <formula>AND(B$9&gt;=8/24,B$9&lt;14/24)</formula>
    </cfRule>
    <cfRule type="expression" dxfId="2763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G61 AB11:AF14">
    <cfRule type="expression" dxfId="2762" priority="232">
      <formula>AB11&gt;$AG11</formula>
    </cfRule>
  </conditionalFormatting>
  <conditionalFormatting sqref="A95:A105 A55:A82 A91:A93 A198:A228 A42:A53 A114:A185 A38:A39 A87:A89 A84:A85 A107:A109 A35:A36 A17:A18 A11:A15 A20:A33">
    <cfRule type="expression" dxfId="2761" priority="231">
      <formula>$AH11=0</formula>
    </cfRule>
  </conditionalFormatting>
  <conditionalFormatting sqref="A110">
    <cfRule type="expression" dxfId="2760" priority="230">
      <formula>$AH110=0</formula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2759" priority="228">
      <formula>$AH41=0</formula>
    </cfRule>
  </conditionalFormatting>
  <conditionalFormatting sqref="A94">
    <cfRule type="expression" dxfId="2758" priority="227">
      <formula>$AH94=0</formula>
    </cfRule>
  </conditionalFormatting>
  <conditionalFormatting sqref="A16">
    <cfRule type="expression" dxfId="2757" priority="226">
      <formula>$AH16=0</formula>
    </cfRule>
  </conditionalFormatting>
  <conditionalFormatting sqref="A192:A197">
    <cfRule type="expression" dxfId="2756" priority="225">
      <formula>$AH192=0</formula>
    </cfRule>
  </conditionalFormatting>
  <conditionalFormatting sqref="A186:A191">
    <cfRule type="expression" dxfId="2755" priority="224">
      <formula>$AH186=0</formula>
    </cfRule>
  </conditionalFormatting>
  <conditionalFormatting sqref="A54">
    <cfRule type="expression" dxfId="2754" priority="223">
      <formula>$AH54=0</formula>
    </cfRule>
  </conditionalFormatting>
  <conditionalFormatting sqref="A90">
    <cfRule type="expression" dxfId="2753" priority="222">
      <formula>$AH90=0</formula>
    </cfRule>
  </conditionalFormatting>
  <conditionalFormatting sqref="AD95:AF95 E95:X95">
    <cfRule type="expression" dxfId="2752" priority="218">
      <formula>E$9&gt;=20/24</formula>
    </cfRule>
    <cfRule type="expression" dxfId="2751" priority="219">
      <formula>AND(E$9&gt;=14/24,E$9&lt;20/24)</formula>
    </cfRule>
    <cfRule type="expression" dxfId="2750" priority="220">
      <formula>AND(E$9&gt;=8/24,E$9&lt;14/24)</formula>
    </cfRule>
    <cfRule type="expression" dxfId="2749" priority="221">
      <formula>E$9&lt;8/24</formula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748" priority="240">
      <formula>C$9&gt;=20/24</formula>
    </cfRule>
    <cfRule type="expression" dxfId="2747" priority="241">
      <formula>AND(C$9&gt;=14/24,C$9&lt;20/24)</formula>
    </cfRule>
    <cfRule type="expression" dxfId="2746" priority="242">
      <formula>AND(C$9&gt;=8/24,C$9&lt;14/24)</formula>
    </cfRule>
    <cfRule type="expression" dxfId="2745" priority="243">
      <formula>C$9&lt;8/24</formula>
    </cfRule>
  </conditionalFormatting>
  <conditionalFormatting sqref="A229">
    <cfRule type="expression" dxfId="2744" priority="244">
      <formula>$AH229=0</formula>
    </cfRule>
  </conditionalFormatting>
  <conditionalFormatting sqref="AG241">
    <cfRule type="expression" dxfId="2743" priority="245">
      <formula>B$9&gt;=20/24</formula>
    </cfRule>
    <cfRule type="expression" dxfId="2742" priority="246">
      <formula>AND(B$9&gt;=14/24,B$9&lt;20/24)</formula>
    </cfRule>
    <cfRule type="expression" dxfId="2741" priority="247">
      <formula>AND(B$9&gt;=8/24,B$9&lt;14/24)</formula>
    </cfRule>
    <cfRule type="expression" dxfId="2740" priority="248">
      <formula>B$9&lt;8/24</formula>
    </cfRule>
  </conditionalFormatting>
  <conditionalFormatting sqref="S8">
    <cfRule type="expression" dxfId="2739" priority="213">
      <formula>U$9&gt;=20/24</formula>
    </cfRule>
    <cfRule type="expression" dxfId="2738" priority="214">
      <formula>AND(U$9&gt;=14/24,U$9&lt;20/24)</formula>
    </cfRule>
    <cfRule type="expression" dxfId="2737" priority="215">
      <formula>AND(U$9&gt;=8/24,U$9&lt;14/24)</formula>
    </cfRule>
    <cfRule type="expression" dxfId="2736" priority="216">
      <formula>U$9&lt;8/24</formula>
    </cfRule>
  </conditionalFormatting>
  <conditionalFormatting sqref="AB8">
    <cfRule type="expression" dxfId="2735" priority="209">
      <formula>AD$9&gt;=20/24</formula>
    </cfRule>
    <cfRule type="expression" dxfId="2734" priority="210">
      <formula>AND(AD$9&gt;=14/24,AD$9&lt;20/24)</formula>
    </cfRule>
    <cfRule type="expression" dxfId="2733" priority="211">
      <formula>AND(AD$9&gt;=8/24,AD$9&lt;14/24)</formula>
    </cfRule>
    <cfRule type="expression" dxfId="2732" priority="212">
      <formula>AD$9&lt;8/24</formula>
    </cfRule>
  </conditionalFormatting>
  <conditionalFormatting sqref="AH241:AX241">
    <cfRule type="expression" dxfId="2731" priority="249">
      <formula>AG$9&gt;=20/24</formula>
    </cfRule>
    <cfRule type="expression" dxfId="2730" priority="250">
      <formula>AND(AG$9&gt;=14/24,AG$9&lt;20/24)</formula>
    </cfRule>
    <cfRule type="expression" dxfId="2729" priority="251">
      <formula>AND(AG$9&gt;=8/24,AG$9&lt;14/24)</formula>
    </cfRule>
    <cfRule type="expression" dxfId="2728" priority="252">
      <formula>AG$9&lt;8/24</formula>
    </cfRule>
  </conditionalFormatting>
  <conditionalFormatting sqref="T241">
    <cfRule type="expression" dxfId="2727" priority="253">
      <formula>AX$9&gt;=20/24</formula>
    </cfRule>
    <cfRule type="expression" dxfId="2726" priority="254">
      <formula>AND(AX$9&gt;=14/24,AX$9&lt;20/24)</formula>
    </cfRule>
    <cfRule type="expression" dxfId="2725" priority="255">
      <formula>AND(AX$9&gt;=8/24,AX$9&lt;14/24)</formula>
    </cfRule>
    <cfRule type="expression" dxfId="2724" priority="256">
      <formula>AX$9&lt;8/24</formula>
    </cfRule>
  </conditionalFormatting>
  <conditionalFormatting sqref="A111:A112">
    <cfRule type="expression" dxfId="2723" priority="208">
      <formula>$AH111=0</formula>
    </cfRule>
  </conditionalFormatting>
  <conditionalFormatting sqref="N50:Q54 Y52:AA53 I67:AF67 AB50:AF53">
    <cfRule type="expression" dxfId="2722" priority="204">
      <formula>I$9&gt;=20/24</formula>
    </cfRule>
    <cfRule type="expression" dxfId="2721" priority="205">
      <formula>AND(I$9&gt;=14/24,I$9&lt;20/24)</formula>
    </cfRule>
    <cfRule type="expression" dxfId="2720" priority="206">
      <formula>AND(I$9&gt;=8/24,I$9&lt;14/24)</formula>
    </cfRule>
    <cfRule type="expression" dxfId="2719" priority="207">
      <formula>I$9&lt;8/24</formula>
    </cfRule>
  </conditionalFormatting>
  <conditionalFormatting sqref="AB49:AF49 N49:Q49">
    <cfRule type="expression" dxfId="2718" priority="200">
      <formula>N$9&gt;=20/24</formula>
    </cfRule>
    <cfRule type="expression" dxfId="2717" priority="201">
      <formula>AND(N$9&gt;=14/24,N$9&lt;20/24)</formula>
    </cfRule>
    <cfRule type="expression" dxfId="2716" priority="202">
      <formula>AND(N$9&gt;=8/24,N$9&lt;14/24)</formula>
    </cfRule>
    <cfRule type="expression" dxfId="2715" priority="203">
      <formula>N$9&lt;8/24</formula>
    </cfRule>
  </conditionalFormatting>
  <conditionalFormatting sqref="N49:Q54 Y52:AA53 AB49:AF53">
    <cfRule type="expression" dxfId="2714" priority="199">
      <formula>N49&gt;$AG49</formula>
    </cfRule>
  </conditionalFormatting>
  <conditionalFormatting sqref="D82:AF82 Y43:AF43 AB63:AF65 X92:AF92 AD96:AF102 M96:X102 I68:X69 Y68:AF70">
    <cfRule type="expression" dxfId="2713" priority="195">
      <formula>D$9&gt;=20/24</formula>
    </cfRule>
    <cfRule type="expression" dxfId="2712" priority="196">
      <formula>AND(D$9&gt;=14/24,D$9&lt;20/24)</formula>
    </cfRule>
    <cfRule type="expression" dxfId="2711" priority="197">
      <formula>AND(D$9&gt;=8/24,D$9&lt;14/24)</formula>
    </cfRule>
    <cfRule type="expression" dxfId="2710" priority="198">
      <formula>D$9&lt;8/24</formula>
    </cfRule>
  </conditionalFormatting>
  <conditionalFormatting sqref="Y43:AF43 AB63:AF65">
    <cfRule type="expression" dxfId="2709" priority="194">
      <formula>Y43&gt;$AG43</formula>
    </cfRule>
  </conditionalFormatting>
  <conditionalFormatting sqref="R49:X54 Y49:AA51">
    <cfRule type="expression" dxfId="2708" priority="190">
      <formula>R$9&gt;=20/24</formula>
    </cfRule>
    <cfRule type="expression" dxfId="2707" priority="191">
      <formula>AND(R$9&gt;=14/24,R$9&lt;20/24)</formula>
    </cfRule>
    <cfRule type="expression" dxfId="2706" priority="192">
      <formula>AND(R$9&gt;=8/24,R$9&lt;14/24)</formula>
    </cfRule>
    <cfRule type="expression" dxfId="2705" priority="193">
      <formula>R$9&lt;8/24</formula>
    </cfRule>
  </conditionalFormatting>
  <conditionalFormatting sqref="R49:X54 Y49:AA51">
    <cfRule type="expression" dxfId="2704" priority="189">
      <formula>R49&gt;$AG49</formula>
    </cfRule>
  </conditionalFormatting>
  <conditionalFormatting sqref="C84:AF84 C93:AF93">
    <cfRule type="expression" dxfId="2703" priority="185">
      <formula>C$9&gt;=20/24</formula>
    </cfRule>
    <cfRule type="expression" dxfId="2702" priority="186">
      <formula>AND(C$9&gt;=14/24,C$9&lt;20/24)</formula>
    </cfRule>
    <cfRule type="expression" dxfId="2701" priority="187">
      <formula>AND(C$9&gt;=8/24,C$9&lt;14/24)</formula>
    </cfRule>
    <cfRule type="expression" dxfId="2700" priority="188">
      <formula>C$9&lt;8/24</formula>
    </cfRule>
  </conditionalFormatting>
  <conditionalFormatting sqref="T43:X43">
    <cfRule type="expression" dxfId="2699" priority="181">
      <formula>T$9&gt;=20/24</formula>
    </cfRule>
    <cfRule type="expression" dxfId="2698" priority="182">
      <formula>AND(T$9&gt;=14/24,T$9&lt;20/24)</formula>
    </cfRule>
    <cfRule type="expression" dxfId="2697" priority="183">
      <formula>AND(T$9&gt;=8/24,T$9&lt;14/24)</formula>
    </cfRule>
    <cfRule type="expression" dxfId="2696" priority="184">
      <formula>T$9&lt;8/24</formula>
    </cfRule>
  </conditionalFormatting>
  <conditionalFormatting sqref="T43:X43">
    <cfRule type="expression" dxfId="2695" priority="180">
      <formula>T43&gt;$AG43</formula>
    </cfRule>
  </conditionalFormatting>
  <conditionalFormatting sqref="AG66 AG83 E96:L102 Q63:AA65">
    <cfRule type="expression" dxfId="2694" priority="167">
      <formula>E$9&gt;=20/24</formula>
    </cfRule>
    <cfRule type="expression" dxfId="2693" priority="168">
      <formula>AND(E$9&gt;=14/24,E$9&lt;20/24)</formula>
    </cfRule>
    <cfRule type="expression" dxfId="2692" priority="169">
      <formula>AND(E$9&gt;=8/24,E$9&lt;14/24)</formula>
    </cfRule>
    <cfRule type="expression" dxfId="2691" priority="170">
      <formula>E$9&lt;8/24</formula>
    </cfRule>
  </conditionalFormatting>
  <conditionalFormatting sqref="AG44 AG62 AG66 Q63:AA65">
    <cfRule type="expression" dxfId="2690" priority="166">
      <formula>Q44&gt;$AG44</formula>
    </cfRule>
  </conditionalFormatting>
  <conditionalFormatting sqref="Y54:AF54">
    <cfRule type="expression" dxfId="2689" priority="162">
      <formula>Y$9&gt;=20/24</formula>
    </cfRule>
    <cfRule type="expression" dxfId="2688" priority="163">
      <formula>AND(Y$9&gt;=14/24,Y$9&lt;20/24)</formula>
    </cfRule>
    <cfRule type="expression" dxfId="2687" priority="164">
      <formula>AND(Y$9&gt;=8/24,Y$9&lt;14/24)</formula>
    </cfRule>
    <cfRule type="expression" dxfId="2686" priority="165">
      <formula>Y$9&lt;8/24</formula>
    </cfRule>
  </conditionalFormatting>
  <conditionalFormatting sqref="Y54:AF54">
    <cfRule type="expression" dxfId="2685" priority="161">
      <formula>Y54&gt;$AG54</formula>
    </cfRule>
  </conditionalFormatting>
  <conditionalFormatting sqref="A40">
    <cfRule type="expression" dxfId="2684" priority="160">
      <formula>$AH40=0</formula>
    </cfRule>
  </conditionalFormatting>
  <conditionalFormatting sqref="X87:AF91">
    <cfRule type="expression" dxfId="2683" priority="156">
      <formula>X$9&gt;=20/24</formula>
    </cfRule>
    <cfRule type="expression" dxfId="2682" priority="157">
      <formula>AND(X$9&gt;=14/24,X$9&lt;20/24)</formula>
    </cfRule>
    <cfRule type="expression" dxfId="2681" priority="158">
      <formula>AND(X$9&gt;=8/24,X$9&lt;14/24)</formula>
    </cfRule>
    <cfRule type="expression" dxfId="2680" priority="159">
      <formula>X$9&lt;8/24</formula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M45:AF47">
    <cfRule type="expression" dxfId="2679" priority="152">
      <formula>M$9&gt;=20/24</formula>
    </cfRule>
    <cfRule type="expression" dxfId="2678" priority="153">
      <formula>AND(M$9&gt;=14/24,M$9&lt;20/24)</formula>
    </cfRule>
    <cfRule type="expression" dxfId="2677" priority="154">
      <formula>AND(M$9&gt;=8/24,M$9&lt;14/24)</formula>
    </cfRule>
    <cfRule type="expression" dxfId="2676" priority="155">
      <formula>M$9&lt;8/24</formula>
    </cfRule>
  </conditionalFormatting>
  <conditionalFormatting sqref="M45:AF47">
    <cfRule type="expression" dxfId="2675" priority="151">
      <formula>M45&gt;$AG45</formula>
    </cfRule>
  </conditionalFormatting>
  <conditionalFormatting sqref="AG48">
    <cfRule type="expression" dxfId="2674" priority="147">
      <formula>AG$9&gt;=20/24</formula>
    </cfRule>
    <cfRule type="expression" dxfId="2673" priority="148">
      <formula>AND(AG$9&gt;=14/24,AG$9&lt;20/24)</formula>
    </cfRule>
    <cfRule type="expression" dxfId="2672" priority="149">
      <formula>AND(AG$9&gt;=8/24,AG$9&lt;14/24)</formula>
    </cfRule>
    <cfRule type="expression" dxfId="2671" priority="150">
      <formula>AG$9&lt;8/24</formula>
    </cfRule>
  </conditionalFormatting>
  <conditionalFormatting sqref="AG48">
    <cfRule type="expression" dxfId="2670" priority="146">
      <formula>AG48&gt;$AG48</formula>
    </cfRule>
  </conditionalFormatting>
  <conditionalFormatting sqref="C103:AF103">
    <cfRule type="expression" dxfId="2669" priority="142">
      <formula>C$9&gt;=20/24</formula>
    </cfRule>
    <cfRule type="expression" dxfId="2668" priority="143">
      <formula>AND(C$9&gt;=14/24,C$9&lt;20/24)</formula>
    </cfRule>
    <cfRule type="expression" dxfId="2667" priority="144">
      <formula>AND(C$9&gt;=8/24,C$9&lt;14/24)</formula>
    </cfRule>
    <cfRule type="expression" dxfId="2666" priority="145">
      <formula>C$9&lt;8/24</formula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2665" priority="140">
      <formula>$AH37=0</formula>
    </cfRule>
  </conditionalFormatting>
  <conditionalFormatting sqref="A86">
    <cfRule type="expression" dxfId="2664" priority="138">
      <formula>$AH86=0</formula>
    </cfRule>
  </conditionalFormatting>
  <conditionalFormatting sqref="A83">
    <cfRule type="expression" dxfId="2663" priority="139">
      <formula>$AH83=0</formula>
    </cfRule>
  </conditionalFormatting>
  <conditionalFormatting sqref="D106:AF106">
    <cfRule type="expression" dxfId="2662" priority="126">
      <formula>D$9&gt;=20/24</formula>
    </cfRule>
    <cfRule type="expression" dxfId="2661" priority="127">
      <formula>AND(D$9&gt;=14/24,D$9&lt;20/24)</formula>
    </cfRule>
    <cfRule type="expression" dxfId="2660" priority="128">
      <formula>AND(D$9&gt;=8/24,D$9&lt;14/24)</formula>
    </cfRule>
    <cfRule type="expression" dxfId="2659" priority="129">
      <formula>D$9&lt;8/24</formula>
    </cfRule>
  </conditionalFormatting>
  <conditionalFormatting sqref="A106">
    <cfRule type="expression" dxfId="2658" priority="125">
      <formula>$AH106=0</formula>
    </cfRule>
  </conditionalFormatting>
  <conditionalFormatting sqref="A19">
    <cfRule type="expression" dxfId="2657" priority="123">
      <formula>$AH19=0</formula>
    </cfRule>
  </conditionalFormatting>
  <conditionalFormatting sqref="AL19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2656" priority="121">
      <formula>$AH34=0</formula>
    </cfRule>
  </conditionalFormatting>
  <conditionalFormatting sqref="AL34">
    <cfRule type="iconSet" priority="122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2655" priority="117">
      <formula>Y$9&gt;=20/24</formula>
    </cfRule>
    <cfRule type="expression" dxfId="2654" priority="118">
      <formula>AND(Y$9&gt;=14/24,Y$9&lt;20/24)</formula>
    </cfRule>
    <cfRule type="expression" dxfId="2653" priority="119">
      <formula>AND(Y$9&gt;=8/24,Y$9&lt;14/24)</formula>
    </cfRule>
    <cfRule type="expression" dxfId="2652" priority="120">
      <formula>Y$9&lt;8/24</formula>
    </cfRule>
  </conditionalFormatting>
  <conditionalFormatting sqref="Y96:AC102">
    <cfRule type="expression" dxfId="2651" priority="113">
      <formula>Y$9&gt;=20/24</formula>
    </cfRule>
    <cfRule type="expression" dxfId="2650" priority="114">
      <formula>AND(Y$9&gt;=14/24,Y$9&lt;20/24)</formula>
    </cfRule>
    <cfRule type="expression" dxfId="2649" priority="115">
      <formula>AND(Y$9&gt;=8/24,Y$9&lt;14/24)</formula>
    </cfRule>
    <cfRule type="expression" dxfId="2648" priority="116">
      <formula>Y$9&lt;8/24</formula>
    </cfRule>
  </conditionalFormatting>
  <conditionalFormatting sqref="B105:C105 B107:C112 B15:AF40">
    <cfRule type="expression" dxfId="2647" priority="109">
      <formula>B$9&gt;=20/24</formula>
    </cfRule>
    <cfRule type="expression" dxfId="2646" priority="110">
      <formula>AND(B$9&gt;=14/24,B$9&lt;20/24)</formula>
    </cfRule>
    <cfRule type="expression" dxfId="2645" priority="111">
      <formula>AND(B$9&gt;=8/24,B$9&lt;14/24)</formula>
    </cfRule>
    <cfRule type="expression" dxfId="2644" priority="112">
      <formula>B$9&lt;8/24</formula>
    </cfRule>
  </conditionalFormatting>
  <conditionalFormatting sqref="B43:S43">
    <cfRule type="expression" dxfId="2643" priority="105">
      <formula>B$9&gt;=20/24</formula>
    </cfRule>
    <cfRule type="expression" dxfId="2642" priority="106">
      <formula>AND(B$9&gt;=14/24,B$9&lt;20/24)</formula>
    </cfRule>
    <cfRule type="expression" dxfId="2641" priority="107">
      <formula>AND(B$9&gt;=8/24,B$9&lt;14/24)</formula>
    </cfRule>
    <cfRule type="expression" dxfId="2640" priority="108">
      <formula>B$9&lt;8/24</formula>
    </cfRule>
  </conditionalFormatting>
  <conditionalFormatting sqref="B43:S43 B15:AF40">
    <cfRule type="expression" dxfId="2639" priority="104">
      <formula>B15&gt;$AG15</formula>
    </cfRule>
  </conditionalFormatting>
  <conditionalFormatting sqref="B95:D95">
    <cfRule type="expression" dxfId="2638" priority="100">
      <formula>B$9&gt;=20/24</formula>
    </cfRule>
    <cfRule type="expression" dxfId="2637" priority="101">
      <formula>AND(B$9&gt;=14/24,B$9&lt;20/24)</formula>
    </cfRule>
    <cfRule type="expression" dxfId="2636" priority="102">
      <formula>AND(B$9&gt;=8/24,B$9&lt;14/24)</formula>
    </cfRule>
    <cfRule type="expression" dxfId="2635" priority="103">
      <formula>B$9&lt;8/24</formula>
    </cfRule>
  </conditionalFormatting>
  <conditionalFormatting sqref="B67:H67 B50:M51">
    <cfRule type="expression" dxfId="2634" priority="96">
      <formula>B$9&gt;=20/24</formula>
    </cfRule>
    <cfRule type="expression" dxfId="2633" priority="97">
      <formula>AND(B$9&gt;=14/24,B$9&lt;20/24)</formula>
    </cfRule>
    <cfRule type="expression" dxfId="2632" priority="98">
      <formula>AND(B$9&gt;=8/24,B$9&lt;14/24)</formula>
    </cfRule>
    <cfRule type="expression" dxfId="2631" priority="99">
      <formula>B$9&lt;8/24</formula>
    </cfRule>
  </conditionalFormatting>
  <conditionalFormatting sqref="B49:M49">
    <cfRule type="expression" dxfId="2630" priority="92">
      <formula>B$9&gt;=20/24</formula>
    </cfRule>
    <cfRule type="expression" dxfId="2629" priority="93">
      <formula>AND(B$9&gt;=14/24,B$9&lt;20/24)</formula>
    </cfRule>
    <cfRule type="expression" dxfId="2628" priority="94">
      <formula>AND(B$9&gt;=8/24,B$9&lt;14/24)</formula>
    </cfRule>
    <cfRule type="expression" dxfId="2627" priority="95">
      <formula>B$9&lt;8/24</formula>
    </cfRule>
  </conditionalFormatting>
  <conditionalFormatting sqref="B49:M51">
    <cfRule type="expression" dxfId="2626" priority="91">
      <formula>B49&gt;$AG49</formula>
    </cfRule>
  </conditionalFormatting>
  <conditionalFormatting sqref="B82:C82 B92:W92 B79:AF81 B96:D102 B63:P65 B68:H72 I70:X72 Y71:AF72">
    <cfRule type="expression" dxfId="2625" priority="87">
      <formula>B$9&gt;=20/24</formula>
    </cfRule>
    <cfRule type="expression" dxfId="2624" priority="88">
      <formula>AND(B$9&gt;=14/24,B$9&lt;20/24)</formula>
    </cfRule>
    <cfRule type="expression" dxfId="2623" priority="89">
      <formula>AND(B$9&gt;=8/24,B$9&lt;14/24)</formula>
    </cfRule>
    <cfRule type="expression" dxfId="2622" priority="90">
      <formula>B$9&lt;8/24</formula>
    </cfRule>
  </conditionalFormatting>
  <conditionalFormatting sqref="B63:P65 B52:M53">
    <cfRule type="expression" dxfId="2621" priority="86">
      <formula>B52&gt;$AG52</formula>
    </cfRule>
  </conditionalFormatting>
  <conditionalFormatting sqref="B54:M54">
    <cfRule type="expression" dxfId="2620" priority="82">
      <formula>B$9&gt;=20/24</formula>
    </cfRule>
    <cfRule type="expression" dxfId="2619" priority="83">
      <formula>AND(B$9&gt;=14/24,B$9&lt;20/24)</formula>
    </cfRule>
    <cfRule type="expression" dxfId="2618" priority="84">
      <formula>AND(B$9&gt;=8/24,B$9&lt;14/24)</formula>
    </cfRule>
    <cfRule type="expression" dxfId="2617" priority="85">
      <formula>B$9&lt;8/24</formula>
    </cfRule>
  </conditionalFormatting>
  <conditionalFormatting sqref="B54:M54">
    <cfRule type="expression" dxfId="2616" priority="81">
      <formula>B54&gt;$AG54</formula>
    </cfRule>
  </conditionalFormatting>
  <conditionalFormatting sqref="B84 B93">
    <cfRule type="expression" dxfId="2615" priority="77">
      <formula>B$9&gt;=20/24</formula>
    </cfRule>
    <cfRule type="expression" dxfId="2614" priority="78">
      <formula>AND(B$9&gt;=14/24,B$9&lt;20/24)</formula>
    </cfRule>
    <cfRule type="expression" dxfId="2613" priority="79">
      <formula>AND(B$9&gt;=8/24,B$9&lt;14/24)</formula>
    </cfRule>
    <cfRule type="expression" dxfId="2612" priority="80">
      <formula>B$9&lt;8/24</formula>
    </cfRule>
  </conditionalFormatting>
  <conditionalFormatting sqref="B42:AF42">
    <cfRule type="expression" dxfId="2611" priority="73">
      <formula>B$9&gt;=20/24</formula>
    </cfRule>
    <cfRule type="expression" dxfId="2610" priority="74">
      <formula>AND(B$9&gt;=14/24,B$9&lt;20/24)</formula>
    </cfRule>
    <cfRule type="expression" dxfId="2609" priority="75">
      <formula>AND(B$9&gt;=8/24,B$9&lt;14/24)</formula>
    </cfRule>
    <cfRule type="expression" dxfId="2608" priority="76">
      <formula>B$9&lt;8/24</formula>
    </cfRule>
  </conditionalFormatting>
  <conditionalFormatting sqref="B42:AF42">
    <cfRule type="expression" dxfId="2607" priority="72">
      <formula>B42&gt;$AG42</formula>
    </cfRule>
  </conditionalFormatting>
  <conditionalFormatting sqref="B83:AF83 B85:AF85 B94:AF94 B66:AF66">
    <cfRule type="expression" dxfId="2606" priority="68">
      <formula>B$9&gt;=20/24</formula>
    </cfRule>
    <cfRule type="expression" dxfId="2605" priority="69">
      <formula>AND(B$9&gt;=14/24,B$9&lt;20/24)</formula>
    </cfRule>
    <cfRule type="expression" dxfId="2604" priority="70">
      <formula>AND(B$9&gt;=8/24,B$9&lt;14/24)</formula>
    </cfRule>
    <cfRule type="expression" dxfId="2603" priority="71">
      <formula>B$9&lt;8/24</formula>
    </cfRule>
  </conditionalFormatting>
  <conditionalFormatting sqref="B61:AF62 B44:AF44 B66:AF66">
    <cfRule type="expression" dxfId="2602" priority="67">
      <formula>B44&gt;$AG44</formula>
    </cfRule>
  </conditionalFormatting>
  <conditionalFormatting sqref="B78:AF78">
    <cfRule type="expression" dxfId="2601" priority="63">
      <formula>B$9&gt;=20/24</formula>
    </cfRule>
    <cfRule type="expression" dxfId="2600" priority="64">
      <formula>AND(B$9&gt;=14/24,B$9&lt;20/24)</formula>
    </cfRule>
    <cfRule type="expression" dxfId="2599" priority="65">
      <formula>AND(B$9&gt;=8/24,B$9&lt;14/24)</formula>
    </cfRule>
    <cfRule type="expression" dxfId="2598" priority="66">
      <formula>B$9&lt;8/24</formula>
    </cfRule>
  </conditionalFormatting>
  <conditionalFormatting sqref="B87:W91">
    <cfRule type="expression" dxfId="2597" priority="59">
      <formula>B$9&gt;=20/24</formula>
    </cfRule>
    <cfRule type="expression" dxfId="2596" priority="60">
      <formula>AND(B$9&gt;=14/24,B$9&lt;20/24)</formula>
    </cfRule>
    <cfRule type="expression" dxfId="2595" priority="61">
      <formula>AND(B$9&gt;=8/24,B$9&lt;14/24)</formula>
    </cfRule>
    <cfRule type="expression" dxfId="2594" priority="62">
      <formula>B$9&lt;8/24</formula>
    </cfRule>
  </conditionalFormatting>
  <conditionalFormatting sqref="B45:L47">
    <cfRule type="expression" dxfId="2593" priority="55">
      <formula>B$9&gt;=20/24</formula>
    </cfRule>
    <cfRule type="expression" dxfId="2592" priority="56">
      <formula>AND(B$9&gt;=14/24,B$9&lt;20/24)</formula>
    </cfRule>
    <cfRule type="expression" dxfId="2591" priority="57">
      <formula>AND(B$9&gt;=8/24,B$9&lt;14/24)</formula>
    </cfRule>
    <cfRule type="expression" dxfId="2590" priority="58">
      <formula>B$9&lt;8/24</formula>
    </cfRule>
  </conditionalFormatting>
  <conditionalFormatting sqref="B45:L47">
    <cfRule type="expression" dxfId="2589" priority="54">
      <formula>B45&gt;$AG45</formula>
    </cfRule>
  </conditionalFormatting>
  <conditionalFormatting sqref="B48:AF48">
    <cfRule type="expression" dxfId="2588" priority="50">
      <formula>B$9&gt;=20/24</formula>
    </cfRule>
    <cfRule type="expression" dxfId="2587" priority="51">
      <formula>AND(B$9&gt;=14/24,B$9&lt;20/24)</formula>
    </cfRule>
    <cfRule type="expression" dxfId="2586" priority="52">
      <formula>AND(B$9&gt;=8/24,B$9&lt;14/24)</formula>
    </cfRule>
    <cfRule type="expression" dxfId="2585" priority="53">
      <formula>B$9&lt;8/24</formula>
    </cfRule>
  </conditionalFormatting>
  <conditionalFormatting sqref="B48:AF48">
    <cfRule type="expression" dxfId="2584" priority="49">
      <formula>B48&gt;$AG48</formula>
    </cfRule>
  </conditionalFormatting>
  <conditionalFormatting sqref="B103">
    <cfRule type="expression" dxfId="2583" priority="45">
      <formula>B$9&gt;=20/24</formula>
    </cfRule>
    <cfRule type="expression" dxfId="2582" priority="46">
      <formula>AND(B$9&gt;=14/24,B$9&lt;20/24)</formula>
    </cfRule>
    <cfRule type="expression" dxfId="2581" priority="47">
      <formula>AND(B$9&gt;=8/24,B$9&lt;14/24)</formula>
    </cfRule>
    <cfRule type="expression" dxfId="2580" priority="48">
      <formula>B$9&lt;8/24</formula>
    </cfRule>
  </conditionalFormatting>
  <conditionalFormatting sqref="B106:C106">
    <cfRule type="expression" dxfId="2579" priority="33">
      <formula>B$9&gt;=20/24</formula>
    </cfRule>
    <cfRule type="expression" dxfId="2578" priority="34">
      <formula>AND(B$9&gt;=14/24,B$9&lt;20/24)</formula>
    </cfRule>
    <cfRule type="expression" dxfId="2577" priority="35">
      <formula>AND(B$9&gt;=8/24,B$9&lt;14/24)</formula>
    </cfRule>
    <cfRule type="expression" dxfId="2576" priority="36">
      <formula>B$9&lt;8/24</formula>
    </cfRule>
  </conditionalFormatting>
  <conditionalFormatting sqref="B55:AF60">
    <cfRule type="expression" dxfId="2575" priority="29">
      <formula>B$9&gt;=20/24</formula>
    </cfRule>
    <cfRule type="expression" dxfId="2574" priority="30">
      <formula>AND(B$9&gt;=14/24,B$9&lt;20/24)</formula>
    </cfRule>
    <cfRule type="expression" dxfId="2573" priority="31">
      <formula>AND(B$9&gt;=8/24,B$9&lt;14/24)</formula>
    </cfRule>
    <cfRule type="expression" dxfId="2572" priority="32">
      <formula>B$9&lt;8/24</formula>
    </cfRule>
  </conditionalFormatting>
  <conditionalFormatting sqref="B55:AF60">
    <cfRule type="expression" dxfId="2571" priority="28">
      <formula>B55&gt;$AG55</formula>
    </cfRule>
  </conditionalFormatting>
  <conditionalFormatting sqref="B12:AA14 B41:AF41">
    <cfRule type="expression" dxfId="2570" priority="27">
      <formula>B12&gt;$AG12</formula>
    </cfRule>
  </conditionalFormatting>
  <conditionalFormatting sqref="B11:AA11">
    <cfRule type="expression" dxfId="2569" priority="23">
      <formula>B$9&gt;=20/24</formula>
    </cfRule>
    <cfRule type="expression" dxfId="2568" priority="24">
      <formula>AND(B$9&gt;=14/24,B$9&lt;20/24)</formula>
    </cfRule>
    <cfRule type="expression" dxfId="2567" priority="25">
      <formula>AND(B$9&gt;=8/24,B$9&lt;14/24)</formula>
    </cfRule>
    <cfRule type="expression" dxfId="2566" priority="26">
      <formula>B$9&lt;8/24</formula>
    </cfRule>
  </conditionalFormatting>
  <conditionalFormatting sqref="B11:AA11">
    <cfRule type="expression" dxfId="2565" priority="22">
      <formula>B11&gt;$AG11</formula>
    </cfRule>
  </conditionalFormatting>
  <conditionalFormatting sqref="B12:AA14">
    <cfRule type="expression" dxfId="2564" priority="18">
      <formula>B$9&gt;=20/24</formula>
    </cfRule>
    <cfRule type="expression" dxfId="2563" priority="19">
      <formula>AND(B$9&gt;=14/24,B$9&lt;20/24)</formula>
    </cfRule>
    <cfRule type="expression" dxfId="2562" priority="20">
      <formula>AND(B$9&gt;=8/24,B$9&lt;14/24)</formula>
    </cfRule>
    <cfRule type="expression" dxfId="2561" priority="21">
      <formula>B$9&lt;8/24</formula>
    </cfRule>
  </conditionalFormatting>
  <conditionalFormatting sqref="B41:AF41">
    <cfRule type="expression" dxfId="2560" priority="14">
      <formula>B$9&gt;=20/24</formula>
    </cfRule>
    <cfRule type="expression" dxfId="2559" priority="15">
      <formula>AND(B$9&gt;=14/24,B$9&lt;20/24)</formula>
    </cfRule>
    <cfRule type="expression" dxfId="2558" priority="16">
      <formula>AND(B$9&gt;=8/24,B$9&lt;14/24)</formula>
    </cfRule>
    <cfRule type="expression" dxfId="2557" priority="17">
      <formula>B$9&lt;8/24</formula>
    </cfRule>
  </conditionalFormatting>
  <conditionalFormatting sqref="B73:AF77">
    <cfRule type="expression" dxfId="2556" priority="10">
      <formula>B$9&gt;=20/24</formula>
    </cfRule>
    <cfRule type="expression" dxfId="2555" priority="11">
      <formula>AND(B$9&gt;=14/24,B$9&lt;20/24)</formula>
    </cfRule>
    <cfRule type="expression" dxfId="2554" priority="12">
      <formula>AND(B$9&gt;=8/24,B$9&lt;14/24)</formula>
    </cfRule>
    <cfRule type="expression" dxfId="2553" priority="13">
      <formula>B$9&lt;8/24</formula>
    </cfRule>
  </conditionalFormatting>
  <conditionalFormatting sqref="AL74:AN74 AL80:AN80 AN75:AN76">
    <cfRule type="expression" dxfId="2552" priority="6">
      <formula>AL$9&gt;=20/24</formula>
    </cfRule>
    <cfRule type="expression" dxfId="2551" priority="7">
      <formula>AND(AL$9&gt;=14/24,AL$9&lt;20/24)</formula>
    </cfRule>
    <cfRule type="expression" dxfId="2550" priority="8">
      <formula>AND(AL$9&gt;=8/24,AL$9&lt;14/24)</formula>
    </cfRule>
    <cfRule type="expression" dxfId="2549" priority="9">
      <formula>AL$9&lt;8/24</formula>
    </cfRule>
  </conditionalFormatting>
  <conditionalFormatting sqref="AN77:AN78">
    <cfRule type="expression" dxfId="2548" priority="2">
      <formula>AN$9&gt;=20/24</formula>
    </cfRule>
    <cfRule type="expression" dxfId="2547" priority="3">
      <formula>AND(AN$9&gt;=14/24,AN$9&lt;20/24)</formula>
    </cfRule>
    <cfRule type="expression" dxfId="2546" priority="4">
      <formula>AND(AN$9&gt;=8/24,AN$9&lt;14/24)</formula>
    </cfRule>
    <cfRule type="expression" dxfId="2545" priority="5">
      <formula>AN$9&lt;8/24</formula>
    </cfRule>
  </conditionalFormatting>
  <conditionalFormatting sqref="AL75:AM79">
    <cfRule type="expression" dxfId="2544" priority="258">
      <formula>AJ$9&gt;=20/24</formula>
    </cfRule>
    <cfRule type="expression" dxfId="2543" priority="259">
      <formula>AND(AJ$9&gt;=14/24,AJ$9&lt;20/24)</formula>
    </cfRule>
    <cfRule type="expression" dxfId="2542" priority="260">
      <formula>AND(AJ$9&gt;=8/24,AJ$9&lt;14/24)</formula>
    </cfRule>
    <cfRule type="expression" dxfId="2541" priority="261">
      <formula>AJ$9&lt;8/24</formula>
    </cfRule>
  </conditionalFormatting>
  <conditionalFormatting sqref="A113">
    <cfRule type="expression" dxfId="2540" priority="1">
      <formula>$AH113=0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4" id="{AED50009-74DB-46DF-934C-3479CC91E268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40604FC6-8B29-4116-A520-AC3D953BCD4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23936E46-9AE1-4605-B1DC-BF6F1D08B3D9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375D9656-5292-4151-867B-A8348B8281D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30" id="{1F6898B9-600E-448C-A048-D9B9A9BD8274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C989F57D-2823-4787-9E51-2F22F656148D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5F483CB9-9C2E-4049-9864-770B343E3D4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B75420F4-07AF-4165-8CB2-7739A7262C1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41" id="{EC1059EC-91B9-4AD4-8520-7F0A99EE303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2" id="{D80139F4-B6E1-4F80-ADF0-5D6FDBCFE6B4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3" id="{5C8BF5A8-9F3C-491F-B6ED-5EDEB29C8D43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4" id="{3F1712C3-CAFE-4CC5-99A1-3229C2B4191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7" id="{D4D6871B-4C25-4AFC-A19D-115EDCB83AB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8" id="{A886CDB3-8FD0-4053-865B-3C5F92D63E73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9" id="{440E0111-3C5A-4F43-8267-B697DB2A95CF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id="{C4964B2F-8BEF-4E19-8FE8-C194FB9F115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J274"/>
  <sheetViews>
    <sheetView workbookViewId="0">
      <pane ySplit="10" topLeftCell="A26" activePane="bottomLeft" state="frozen"/>
      <selection activeCell="U80" sqref="U80"/>
      <selection pane="bottomLeft" activeCell="G63" sqref="G6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/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str">
        <f ca="1">"2079/"&amp;"10/"&amp;INT(MID(CELL("filename",D6),FIND("]",CELL("filename",D6))+1,200))</f>
        <v>2079/10/27</v>
      </c>
      <c r="C4" s="771"/>
      <c r="D4" s="771"/>
      <c r="E4" s="772" t="str">
        <f ca="1">"2079/"&amp;"10/"&amp;INT(MID(CELL("filename",G6),FIND("]",CELL("filename",G6))+1,200))</f>
        <v>2079/10/27</v>
      </c>
      <c r="F4" s="772"/>
      <c r="G4" s="772"/>
      <c r="H4" s="772" t="str">
        <f ca="1">TEXT(E4,"dddd")</f>
        <v>Friday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499.09999999999997</v>
      </c>
      <c r="C5" s="30">
        <f t="shared" si="0"/>
        <v>493.9</v>
      </c>
      <c r="D5" s="30">
        <f t="shared" si="0"/>
        <v>477.7</v>
      </c>
      <c r="E5" s="30">
        <f t="shared" si="0"/>
        <v>490.8</v>
      </c>
      <c r="F5" s="30">
        <f t="shared" si="0"/>
        <v>495.1</v>
      </c>
      <c r="G5" s="30">
        <f t="shared" si="0"/>
        <v>493</v>
      </c>
      <c r="H5" s="30">
        <f t="shared" si="0"/>
        <v>495.7</v>
      </c>
      <c r="I5" s="30">
        <f t="shared" si="0"/>
        <v>461.90000000000003</v>
      </c>
      <c r="J5" s="30">
        <f t="shared" si="0"/>
        <v>423.1</v>
      </c>
      <c r="K5" s="30">
        <f t="shared" si="0"/>
        <v>460.7</v>
      </c>
      <c r="L5" s="30">
        <f t="shared" si="0"/>
        <v>454.80000000000007</v>
      </c>
      <c r="M5" s="30">
        <f t="shared" si="0"/>
        <v>469</v>
      </c>
      <c r="N5" s="30">
        <f t="shared" si="0"/>
        <v>469.09999999999997</v>
      </c>
      <c r="O5" s="30">
        <f t="shared" si="0"/>
        <v>486.8</v>
      </c>
      <c r="P5" s="30">
        <f t="shared" si="0"/>
        <v>486.9</v>
      </c>
      <c r="Q5" s="30">
        <f t="shared" si="0"/>
        <v>470.2</v>
      </c>
      <c r="R5" s="30">
        <f t="shared" si="0"/>
        <v>497.8</v>
      </c>
      <c r="S5" s="30">
        <f t="shared" si="0"/>
        <v>503.5</v>
      </c>
      <c r="T5" s="30">
        <f t="shared" si="0"/>
        <v>487.2</v>
      </c>
      <c r="U5" s="30">
        <f t="shared" si="0"/>
        <v>506.5</v>
      </c>
      <c r="V5" s="30">
        <f t="shared" si="0"/>
        <v>499.9</v>
      </c>
      <c r="W5" s="30">
        <f t="shared" si="0"/>
        <v>444</v>
      </c>
      <c r="X5" s="30">
        <f t="shared" si="0"/>
        <v>321.2</v>
      </c>
      <c r="Y5" s="30">
        <f t="shared" si="0"/>
        <v>225</v>
      </c>
      <c r="Z5" s="30">
        <f t="shared" si="0"/>
        <v>219.9</v>
      </c>
      <c r="AA5" s="30">
        <f t="shared" si="0"/>
        <v>458</v>
      </c>
      <c r="AB5" s="30">
        <f t="shared" si="0"/>
        <v>455.80000000000007</v>
      </c>
      <c r="AC5" s="30">
        <f t="shared" si="0"/>
        <v>461.2</v>
      </c>
      <c r="AD5" s="30">
        <f t="shared" si="0"/>
        <v>473.90000000000003</v>
      </c>
      <c r="AE5" s="30">
        <f t="shared" si="0"/>
        <v>451.69999999999993</v>
      </c>
      <c r="AF5" s="30">
        <f>B78</f>
        <v>485.5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1457MW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Load=1013</v>
      </c>
      <c r="B7" s="35">
        <f t="shared" ref="B7:AF7" si="1">B85</f>
        <v>1059.3399999999999</v>
      </c>
      <c r="C7" s="35">
        <f t="shared" si="1"/>
        <v>1055.54</v>
      </c>
      <c r="D7" s="35">
        <f t="shared" si="1"/>
        <v>1037.24</v>
      </c>
      <c r="E7" s="35">
        <f t="shared" si="1"/>
        <v>1013.04</v>
      </c>
      <c r="F7" s="35">
        <f t="shared" si="1"/>
        <v>1055.74</v>
      </c>
      <c r="G7" s="35">
        <f t="shared" si="1"/>
        <v>1109.6399999999999</v>
      </c>
      <c r="H7" s="35">
        <f t="shared" si="1"/>
        <v>1181.94</v>
      </c>
      <c r="I7" s="35">
        <f t="shared" si="1"/>
        <v>1214.1399999999999</v>
      </c>
      <c r="J7" s="35">
        <f t="shared" si="1"/>
        <v>1275.8399999999999</v>
      </c>
      <c r="K7" s="35">
        <f t="shared" si="1"/>
        <v>1244.8400000000001</v>
      </c>
      <c r="L7" s="35">
        <f t="shared" si="1"/>
        <v>1294.3399999999999</v>
      </c>
      <c r="M7" s="35">
        <f t="shared" si="1"/>
        <v>1457.3400000000001</v>
      </c>
      <c r="N7" s="35">
        <f>N85</f>
        <v>1366.54</v>
      </c>
      <c r="O7" s="35">
        <f t="shared" si="1"/>
        <v>1386.6399999999999</v>
      </c>
      <c r="P7" s="35">
        <f t="shared" si="1"/>
        <v>1310.4399999999998</v>
      </c>
      <c r="Q7" s="35">
        <f t="shared" si="1"/>
        <v>1311.04</v>
      </c>
      <c r="R7" s="35">
        <f t="shared" si="1"/>
        <v>1318.54</v>
      </c>
      <c r="S7" s="35">
        <f t="shared" si="1"/>
        <v>1328.24</v>
      </c>
      <c r="T7" s="35">
        <f t="shared" si="1"/>
        <v>1317.54</v>
      </c>
      <c r="U7" s="35">
        <f t="shared" si="1"/>
        <v>1328.64</v>
      </c>
      <c r="V7" s="35">
        <f t="shared" si="1"/>
        <v>1301.4399999999998</v>
      </c>
      <c r="W7" s="35">
        <f t="shared" si="1"/>
        <v>1392.6399999999999</v>
      </c>
      <c r="X7" s="35">
        <f t="shared" si="1"/>
        <v>1407.34</v>
      </c>
      <c r="Y7" s="35">
        <f t="shared" si="1"/>
        <v>1569.3</v>
      </c>
      <c r="Z7" s="35">
        <f t="shared" si="1"/>
        <v>1546.54</v>
      </c>
      <c r="AA7" s="35">
        <f t="shared" si="1"/>
        <v>1495.7400000000002</v>
      </c>
      <c r="AB7" s="35">
        <f t="shared" si="1"/>
        <v>1396.74</v>
      </c>
      <c r="AC7" s="35">
        <f t="shared" si="1"/>
        <v>1324.6399999999999</v>
      </c>
      <c r="AD7" s="35">
        <f t="shared" si="1"/>
        <v>1294.94</v>
      </c>
      <c r="AE7" s="35">
        <f t="shared" si="1"/>
        <v>1161.04</v>
      </c>
      <c r="AF7" s="35">
        <f t="shared" si="1"/>
        <v>1060.8399999999997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17.2</v>
      </c>
      <c r="C11" s="45">
        <v>17.100000000000001</v>
      </c>
      <c r="D11" s="45">
        <v>16</v>
      </c>
      <c r="E11" s="45">
        <v>16</v>
      </c>
      <c r="F11" s="45">
        <v>16.899999999999999</v>
      </c>
      <c r="G11" s="45">
        <v>16.899999999999999</v>
      </c>
      <c r="H11" s="45">
        <v>18.399999999999999</v>
      </c>
      <c r="I11" s="45">
        <v>18.399999999999999</v>
      </c>
      <c r="J11" s="45">
        <v>18.399999999999999</v>
      </c>
      <c r="K11" s="45">
        <v>18.399999999999999</v>
      </c>
      <c r="L11" s="45">
        <v>18.399999999999999</v>
      </c>
      <c r="M11" s="45">
        <v>18.399999999999999</v>
      </c>
      <c r="N11" s="45">
        <v>18.399999999999999</v>
      </c>
      <c r="O11" s="45">
        <v>18.399999999999999</v>
      </c>
      <c r="P11" s="45">
        <v>18.399999999999999</v>
      </c>
      <c r="Q11" s="45">
        <v>15.5</v>
      </c>
      <c r="R11" s="45">
        <v>13.8</v>
      </c>
      <c r="S11" s="45">
        <v>13.8</v>
      </c>
      <c r="T11" s="45">
        <v>13.8</v>
      </c>
      <c r="U11" s="45">
        <v>13.8</v>
      </c>
      <c r="V11" s="45">
        <v>17.5</v>
      </c>
      <c r="W11" s="45">
        <v>17.5</v>
      </c>
      <c r="X11" s="45">
        <v>17.5</v>
      </c>
      <c r="Y11" s="45">
        <v>17.5</v>
      </c>
      <c r="Z11" s="45">
        <v>17.5</v>
      </c>
      <c r="AA11" s="45">
        <v>17.5</v>
      </c>
      <c r="AB11" s="45">
        <v>17.5</v>
      </c>
      <c r="AC11" s="45">
        <v>16</v>
      </c>
      <c r="AD11" s="45">
        <v>16</v>
      </c>
      <c r="AE11" s="45">
        <v>16.7</v>
      </c>
      <c r="AF11" s="45">
        <v>16.7</v>
      </c>
      <c r="AG11" s="46">
        <v>52.4</v>
      </c>
      <c r="AH11" s="47">
        <f t="shared" ref="AH11:AH74" si="2">MAX(B11:AF11)</f>
        <v>18.399999999999999</v>
      </c>
      <c r="AI11" s="48">
        <f t="shared" ref="AI11:AI74" si="3">MIN(B11:AF11)</f>
        <v>13.8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30.6</v>
      </c>
      <c r="C12" s="45">
        <v>30.7</v>
      </c>
      <c r="D12" s="45">
        <v>30.6</v>
      </c>
      <c r="E12" s="45">
        <v>30.6</v>
      </c>
      <c r="F12" s="45">
        <v>30.6</v>
      </c>
      <c r="G12" s="45">
        <v>33.1</v>
      </c>
      <c r="H12" s="45">
        <v>32.799999999999997</v>
      </c>
      <c r="I12" s="45">
        <v>32.799999999999997</v>
      </c>
      <c r="J12" s="45">
        <v>32.799999999999997</v>
      </c>
      <c r="K12" s="45">
        <v>32.799999999999997</v>
      </c>
      <c r="L12" s="45">
        <v>32.799999999999997</v>
      </c>
      <c r="M12" s="45">
        <v>32.799999999999997</v>
      </c>
      <c r="N12" s="45">
        <v>32.799999999999997</v>
      </c>
      <c r="O12" s="45">
        <v>32.799999999999997</v>
      </c>
      <c r="P12" s="45">
        <v>32.799999999999997</v>
      </c>
      <c r="Q12" s="45">
        <v>33</v>
      </c>
      <c r="R12" s="45">
        <v>31.4</v>
      </c>
      <c r="S12" s="45">
        <v>31.4</v>
      </c>
      <c r="T12" s="45">
        <v>31.4</v>
      </c>
      <c r="U12" s="45">
        <v>31.4</v>
      </c>
      <c r="V12" s="45">
        <v>31.4</v>
      </c>
      <c r="W12" s="45">
        <v>31.4</v>
      </c>
      <c r="X12" s="45">
        <v>31.4</v>
      </c>
      <c r="Y12" s="45">
        <v>31.4</v>
      </c>
      <c r="Z12" s="45">
        <v>31.4</v>
      </c>
      <c r="AA12" s="45">
        <v>31.4</v>
      </c>
      <c r="AB12" s="45">
        <v>31.4</v>
      </c>
      <c r="AC12" s="45">
        <v>30.3</v>
      </c>
      <c r="AD12" s="45">
        <v>30.5</v>
      </c>
      <c r="AE12" s="45">
        <v>30.4</v>
      </c>
      <c r="AF12" s="45">
        <v>31.1</v>
      </c>
      <c r="AG12" s="50">
        <v>50</v>
      </c>
      <c r="AH12" s="47">
        <f t="shared" si="2"/>
        <v>33.1</v>
      </c>
      <c r="AI12" s="48">
        <f t="shared" si="3"/>
        <v>30.3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19.2</v>
      </c>
      <c r="C13" s="45">
        <v>19.2</v>
      </c>
      <c r="D13" s="45">
        <v>15.5</v>
      </c>
      <c r="E13" s="45">
        <v>15.5</v>
      </c>
      <c r="F13" s="45">
        <v>15.5</v>
      </c>
      <c r="G13" s="45">
        <v>15.5</v>
      </c>
      <c r="H13" s="45">
        <v>19</v>
      </c>
      <c r="I13" s="45">
        <v>19</v>
      </c>
      <c r="J13" s="45">
        <v>19</v>
      </c>
      <c r="K13" s="45">
        <v>19</v>
      </c>
      <c r="L13" s="45">
        <v>19</v>
      </c>
      <c r="M13" s="45">
        <v>19</v>
      </c>
      <c r="N13" s="45">
        <v>19</v>
      </c>
      <c r="O13" s="45">
        <v>19</v>
      </c>
      <c r="P13" s="45">
        <v>19</v>
      </c>
      <c r="Q13" s="45">
        <v>15.7</v>
      </c>
      <c r="R13" s="45">
        <v>16.399999999999999</v>
      </c>
      <c r="S13" s="45">
        <v>16.399999999999999</v>
      </c>
      <c r="T13" s="45">
        <v>16.399999999999999</v>
      </c>
      <c r="U13" s="45">
        <v>16.399999999999999</v>
      </c>
      <c r="V13" s="45">
        <v>16.399999999999999</v>
      </c>
      <c r="W13" s="45">
        <v>16.399999999999999</v>
      </c>
      <c r="X13" s="45">
        <v>16.399999999999999</v>
      </c>
      <c r="Y13" s="45">
        <v>16.399999999999999</v>
      </c>
      <c r="Z13" s="45">
        <v>16.399999999999999</v>
      </c>
      <c r="AA13" s="45">
        <v>16.399999999999999</v>
      </c>
      <c r="AB13" s="45">
        <v>19.8</v>
      </c>
      <c r="AC13" s="45">
        <v>19.8</v>
      </c>
      <c r="AD13" s="45">
        <v>19.8</v>
      </c>
      <c r="AE13" s="45">
        <v>19.8</v>
      </c>
      <c r="AF13" s="45">
        <v>19.100000000000001</v>
      </c>
      <c r="AG13" s="50">
        <v>45</v>
      </c>
      <c r="AH13" s="47">
        <f t="shared" si="2"/>
        <v>19.8</v>
      </c>
      <c r="AI13" s="48">
        <f t="shared" si="3"/>
        <v>15.5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0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50">
        <v>42</v>
      </c>
      <c r="AH14" s="47">
        <f t="shared" si="2"/>
        <v>0</v>
      </c>
      <c r="AI14" s="48">
        <f t="shared" si="3"/>
        <v>0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13</v>
      </c>
      <c r="C15" s="45">
        <v>13</v>
      </c>
      <c r="D15" s="45">
        <v>13</v>
      </c>
      <c r="E15" s="45">
        <v>13</v>
      </c>
      <c r="F15" s="45">
        <v>13</v>
      </c>
      <c r="G15" s="45">
        <v>13</v>
      </c>
      <c r="H15" s="45">
        <v>13</v>
      </c>
      <c r="I15" s="45">
        <v>13</v>
      </c>
      <c r="J15" s="45">
        <v>13</v>
      </c>
      <c r="K15" s="45">
        <v>13</v>
      </c>
      <c r="L15" s="45">
        <v>13</v>
      </c>
      <c r="M15" s="45">
        <v>13</v>
      </c>
      <c r="N15" s="45">
        <v>13</v>
      </c>
      <c r="O15" s="45">
        <v>13</v>
      </c>
      <c r="P15" s="45">
        <v>13</v>
      </c>
      <c r="Q15" s="45">
        <v>13</v>
      </c>
      <c r="R15" s="45">
        <v>13</v>
      </c>
      <c r="S15" s="45">
        <v>13</v>
      </c>
      <c r="T15" s="45">
        <v>13</v>
      </c>
      <c r="U15" s="45">
        <v>13</v>
      </c>
      <c r="V15" s="45">
        <v>13</v>
      </c>
      <c r="W15" s="45">
        <v>13</v>
      </c>
      <c r="X15" s="45">
        <v>13</v>
      </c>
      <c r="Y15" s="45">
        <v>13</v>
      </c>
      <c r="Z15" s="45">
        <v>13</v>
      </c>
      <c r="AA15" s="45">
        <v>13</v>
      </c>
      <c r="AB15" s="45">
        <v>13</v>
      </c>
      <c r="AC15" s="45">
        <v>13</v>
      </c>
      <c r="AD15" s="45">
        <v>13</v>
      </c>
      <c r="AE15" s="45">
        <v>13</v>
      </c>
      <c r="AF15" s="45">
        <v>13</v>
      </c>
      <c r="AG15" s="50">
        <v>36</v>
      </c>
      <c r="AH15" s="47">
        <f t="shared" si="2"/>
        <v>13</v>
      </c>
      <c r="AI15" s="48">
        <f t="shared" si="3"/>
        <v>13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8</v>
      </c>
      <c r="C16" s="45">
        <v>8</v>
      </c>
      <c r="D16" s="45">
        <v>8.3000000000000007</v>
      </c>
      <c r="E16" s="45">
        <v>8.3000000000000007</v>
      </c>
      <c r="F16" s="45">
        <v>8.3000000000000007</v>
      </c>
      <c r="G16" s="45">
        <v>8.3000000000000007</v>
      </c>
      <c r="H16" s="45">
        <v>8.3000000000000007</v>
      </c>
      <c r="I16" s="45">
        <v>8.3000000000000007</v>
      </c>
      <c r="J16" s="45">
        <v>8.3000000000000007</v>
      </c>
      <c r="K16" s="45">
        <v>8.3000000000000007</v>
      </c>
      <c r="L16" s="45">
        <v>8.3000000000000007</v>
      </c>
      <c r="M16" s="45">
        <v>8.3000000000000007</v>
      </c>
      <c r="N16" s="45">
        <v>8.3000000000000007</v>
      </c>
      <c r="O16" s="45">
        <v>8.3000000000000007</v>
      </c>
      <c r="P16" s="45">
        <v>8.3000000000000007</v>
      </c>
      <c r="Q16" s="45">
        <v>8.3000000000000007</v>
      </c>
      <c r="R16" s="45">
        <v>8.3000000000000007</v>
      </c>
      <c r="S16" s="45">
        <v>8.3000000000000007</v>
      </c>
      <c r="T16" s="45">
        <v>8.3000000000000007</v>
      </c>
      <c r="U16" s="45">
        <v>8.3000000000000007</v>
      </c>
      <c r="V16" s="45">
        <v>8.3000000000000007</v>
      </c>
      <c r="W16" s="45">
        <v>8.3000000000000007</v>
      </c>
      <c r="X16" s="45">
        <v>8.3000000000000007</v>
      </c>
      <c r="Y16" s="45">
        <v>8.3000000000000007</v>
      </c>
      <c r="Z16" s="45">
        <v>8.3000000000000007</v>
      </c>
      <c r="AA16" s="45">
        <v>8.3000000000000007</v>
      </c>
      <c r="AB16" s="45">
        <v>8.3000000000000007</v>
      </c>
      <c r="AC16" s="45">
        <v>8.3000000000000007</v>
      </c>
      <c r="AD16" s="45">
        <v>8.1999999999999993</v>
      </c>
      <c r="AE16" s="45">
        <v>8.4</v>
      </c>
      <c r="AF16" s="45">
        <v>8.4</v>
      </c>
      <c r="AG16" s="51">
        <v>30</v>
      </c>
      <c r="AH16" s="47">
        <f t="shared" si="2"/>
        <v>8.4</v>
      </c>
      <c r="AI16" s="48">
        <f t="shared" si="3"/>
        <v>8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7.6</v>
      </c>
      <c r="C17" s="45">
        <v>7.6</v>
      </c>
      <c r="D17" s="45">
        <v>7.6</v>
      </c>
      <c r="E17" s="45">
        <v>7.6</v>
      </c>
      <c r="F17" s="45">
        <v>7.6</v>
      </c>
      <c r="G17" s="45">
        <v>7.6</v>
      </c>
      <c r="H17" s="45">
        <v>7.6</v>
      </c>
      <c r="I17" s="45">
        <v>7.6</v>
      </c>
      <c r="J17" s="45">
        <v>7.6</v>
      </c>
      <c r="K17" s="45">
        <v>7.6</v>
      </c>
      <c r="L17" s="45">
        <v>7.6</v>
      </c>
      <c r="M17" s="45">
        <v>7.6</v>
      </c>
      <c r="N17" s="45">
        <v>7.6</v>
      </c>
      <c r="O17" s="45">
        <v>7.6</v>
      </c>
      <c r="P17" s="45">
        <v>7.6</v>
      </c>
      <c r="Q17" s="45">
        <v>7.6</v>
      </c>
      <c r="R17" s="45">
        <v>7.6</v>
      </c>
      <c r="S17" s="45">
        <v>7.6</v>
      </c>
      <c r="T17" s="45">
        <v>7.6</v>
      </c>
      <c r="U17" s="45">
        <v>7.6</v>
      </c>
      <c r="V17" s="45">
        <v>7.6</v>
      </c>
      <c r="W17" s="45">
        <v>7.6</v>
      </c>
      <c r="X17" s="45">
        <v>7.6</v>
      </c>
      <c r="Y17" s="45">
        <v>7.6</v>
      </c>
      <c r="Z17" s="45">
        <v>7.6</v>
      </c>
      <c r="AA17" s="45">
        <v>7.6</v>
      </c>
      <c r="AB17" s="45">
        <v>7.6</v>
      </c>
      <c r="AC17" s="45">
        <v>7.6</v>
      </c>
      <c r="AD17" s="45">
        <v>7.6</v>
      </c>
      <c r="AE17" s="45">
        <v>7.6</v>
      </c>
      <c r="AF17" s="45">
        <v>7.6</v>
      </c>
      <c r="AG17" s="50">
        <v>24.2</v>
      </c>
      <c r="AH17" s="47">
        <f t="shared" si="2"/>
        <v>7.6</v>
      </c>
      <c r="AI17" s="48">
        <f t="shared" si="3"/>
        <v>7.6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50">
        <v>28</v>
      </c>
      <c r="AH18" s="47">
        <f t="shared" si="2"/>
        <v>8</v>
      </c>
      <c r="AI18" s="48">
        <f t="shared" si="3"/>
        <v>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9.1999999999999993</v>
      </c>
      <c r="C20" s="45">
        <v>9.1999999999999993</v>
      </c>
      <c r="D20" s="45">
        <v>9.1999999999999993</v>
      </c>
      <c r="E20" s="45">
        <v>9.1999999999999993</v>
      </c>
      <c r="F20" s="45">
        <v>9.1999999999999993</v>
      </c>
      <c r="G20" s="45">
        <v>9.1999999999999993</v>
      </c>
      <c r="H20" s="45">
        <v>9.1999999999999993</v>
      </c>
      <c r="I20" s="45">
        <v>9.1999999999999993</v>
      </c>
      <c r="J20" s="45">
        <v>9.1999999999999993</v>
      </c>
      <c r="K20" s="45">
        <v>9.1999999999999993</v>
      </c>
      <c r="L20" s="45">
        <v>9.1999999999999993</v>
      </c>
      <c r="M20" s="45">
        <v>9.1999999999999993</v>
      </c>
      <c r="N20" s="45">
        <v>9.1999999999999993</v>
      </c>
      <c r="O20" s="45">
        <v>9.1999999999999993</v>
      </c>
      <c r="P20" s="45">
        <v>9.1999999999999993</v>
      </c>
      <c r="Q20" s="45">
        <v>9.1999999999999993</v>
      </c>
      <c r="R20" s="45">
        <v>9.1999999999999993</v>
      </c>
      <c r="S20" s="45">
        <v>9.1999999999999993</v>
      </c>
      <c r="T20" s="45">
        <v>9.1999999999999993</v>
      </c>
      <c r="U20" s="45">
        <v>9.1999999999999993</v>
      </c>
      <c r="V20" s="45">
        <v>9.1999999999999993</v>
      </c>
      <c r="W20" s="45">
        <v>9.1999999999999993</v>
      </c>
      <c r="X20" s="45">
        <v>9.1999999999999993</v>
      </c>
      <c r="Y20" s="45">
        <v>9.1999999999999993</v>
      </c>
      <c r="Z20" s="45">
        <v>9.1999999999999993</v>
      </c>
      <c r="AA20" s="45">
        <v>9.1999999999999993</v>
      </c>
      <c r="AB20" s="45">
        <v>9.1999999999999993</v>
      </c>
      <c r="AC20" s="45">
        <v>9.1999999999999993</v>
      </c>
      <c r="AD20" s="45">
        <v>9.3000000000000007</v>
      </c>
      <c r="AE20" s="45">
        <v>9.3000000000000007</v>
      </c>
      <c r="AF20" s="45">
        <v>9.3000000000000007</v>
      </c>
      <c r="AG20" s="50">
        <v>25</v>
      </c>
      <c r="AH20" s="47">
        <f t="shared" si="2"/>
        <v>9.3000000000000007</v>
      </c>
      <c r="AI20" s="48">
        <f t="shared" si="3"/>
        <v>9.1999999999999993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0">
        <v>25</v>
      </c>
      <c r="AH22" s="47">
        <f t="shared" si="2"/>
        <v>11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13</v>
      </c>
      <c r="C23" s="45">
        <v>13</v>
      </c>
      <c r="D23" s="45">
        <v>13</v>
      </c>
      <c r="E23" s="45">
        <v>13</v>
      </c>
      <c r="F23" s="45">
        <v>13</v>
      </c>
      <c r="G23" s="45">
        <v>13</v>
      </c>
      <c r="H23" s="45">
        <v>13</v>
      </c>
      <c r="I23" s="45">
        <v>13</v>
      </c>
      <c r="J23" s="45">
        <v>13</v>
      </c>
      <c r="K23" s="45">
        <v>13</v>
      </c>
      <c r="L23" s="45">
        <v>13</v>
      </c>
      <c r="M23" s="45">
        <v>13</v>
      </c>
      <c r="N23" s="45">
        <v>13</v>
      </c>
      <c r="O23" s="45">
        <v>13</v>
      </c>
      <c r="P23" s="45">
        <v>13</v>
      </c>
      <c r="Q23" s="45">
        <v>13</v>
      </c>
      <c r="R23" s="45">
        <v>13</v>
      </c>
      <c r="S23" s="45">
        <v>13</v>
      </c>
      <c r="T23" s="45">
        <v>13</v>
      </c>
      <c r="U23" s="45">
        <v>13</v>
      </c>
      <c r="V23" s="45">
        <v>13</v>
      </c>
      <c r="W23" s="45">
        <v>13</v>
      </c>
      <c r="X23" s="45">
        <v>13</v>
      </c>
      <c r="Y23" s="45">
        <v>7.8</v>
      </c>
      <c r="Z23" s="45">
        <v>7.8</v>
      </c>
      <c r="AA23" s="45">
        <v>7.8</v>
      </c>
      <c r="AB23" s="45">
        <v>7.8</v>
      </c>
      <c r="AC23" s="45">
        <v>7.8</v>
      </c>
      <c r="AD23" s="45">
        <v>7.8</v>
      </c>
      <c r="AE23" s="45">
        <v>7.8</v>
      </c>
      <c r="AF23" s="45">
        <v>7.8</v>
      </c>
      <c r="AG23" s="50">
        <v>25</v>
      </c>
      <c r="AH23" s="47">
        <f t="shared" si="2"/>
        <v>13</v>
      </c>
      <c r="AI23" s="48">
        <f t="shared" si="3"/>
        <v>7.8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7.6</v>
      </c>
      <c r="C24" s="45">
        <v>7.6</v>
      </c>
      <c r="D24" s="45">
        <v>7.6</v>
      </c>
      <c r="E24" s="45">
        <v>7.6</v>
      </c>
      <c r="F24" s="45">
        <v>7.6</v>
      </c>
      <c r="G24" s="45">
        <v>7.6</v>
      </c>
      <c r="H24" s="45">
        <v>7.6</v>
      </c>
      <c r="I24" s="45">
        <v>7.6</v>
      </c>
      <c r="J24" s="45">
        <v>7.6</v>
      </c>
      <c r="K24" s="45">
        <v>7.6</v>
      </c>
      <c r="L24" s="45">
        <v>7.6</v>
      </c>
      <c r="M24" s="45">
        <v>7.6</v>
      </c>
      <c r="N24" s="45">
        <v>7.6</v>
      </c>
      <c r="O24" s="45">
        <v>7.6</v>
      </c>
      <c r="P24" s="45">
        <v>7.6</v>
      </c>
      <c r="Q24" s="45">
        <v>7.6</v>
      </c>
      <c r="R24" s="45">
        <v>7.6</v>
      </c>
      <c r="S24" s="45">
        <v>7.6</v>
      </c>
      <c r="T24" s="45">
        <v>7.6</v>
      </c>
      <c r="U24" s="45">
        <v>7.6</v>
      </c>
      <c r="V24" s="45">
        <v>7.6</v>
      </c>
      <c r="W24" s="45">
        <v>7.6</v>
      </c>
      <c r="X24" s="45">
        <v>7.6</v>
      </c>
      <c r="Y24" s="45">
        <v>7.6</v>
      </c>
      <c r="Z24" s="45">
        <v>7.6</v>
      </c>
      <c r="AA24" s="45">
        <v>7.6</v>
      </c>
      <c r="AB24" s="45">
        <v>7.6</v>
      </c>
      <c r="AC24" s="45">
        <v>7.6</v>
      </c>
      <c r="AD24" s="45">
        <v>7.6</v>
      </c>
      <c r="AE24" s="45">
        <v>7.6</v>
      </c>
      <c r="AF24" s="45">
        <v>7.6</v>
      </c>
      <c r="AG24" s="50">
        <v>23.5</v>
      </c>
      <c r="AH24" s="47">
        <f t="shared" si="2"/>
        <v>7.6</v>
      </c>
      <c r="AI24" s="48">
        <f t="shared" si="3"/>
        <v>7.6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8</v>
      </c>
      <c r="C28" s="45">
        <v>8</v>
      </c>
      <c r="D28" s="45">
        <v>8</v>
      </c>
      <c r="E28" s="45">
        <v>8</v>
      </c>
      <c r="F28" s="45">
        <v>8</v>
      </c>
      <c r="G28" s="45">
        <v>8</v>
      </c>
      <c r="H28" s="45">
        <v>8</v>
      </c>
      <c r="I28" s="45">
        <v>8</v>
      </c>
      <c r="J28" s="45">
        <v>8</v>
      </c>
      <c r="K28" s="45">
        <v>8</v>
      </c>
      <c r="L28" s="45">
        <v>8</v>
      </c>
      <c r="M28" s="45">
        <v>8</v>
      </c>
      <c r="N28" s="45">
        <v>8</v>
      </c>
      <c r="O28" s="45">
        <v>8</v>
      </c>
      <c r="P28" s="45">
        <v>8</v>
      </c>
      <c r="Q28" s="45">
        <v>8</v>
      </c>
      <c r="R28" s="45">
        <v>8</v>
      </c>
      <c r="S28" s="45">
        <v>8</v>
      </c>
      <c r="T28" s="45">
        <v>8</v>
      </c>
      <c r="U28" s="45">
        <v>8</v>
      </c>
      <c r="V28" s="45">
        <v>8</v>
      </c>
      <c r="W28" s="45">
        <v>8</v>
      </c>
      <c r="X28" s="45">
        <v>8</v>
      </c>
      <c r="Y28" s="45">
        <v>8</v>
      </c>
      <c r="Z28" s="45">
        <v>8</v>
      </c>
      <c r="AA28" s="45">
        <v>8</v>
      </c>
      <c r="AB28" s="45">
        <v>8</v>
      </c>
      <c r="AC28" s="45">
        <v>8</v>
      </c>
      <c r="AD28" s="45">
        <v>8</v>
      </c>
      <c r="AE28" s="45">
        <v>8</v>
      </c>
      <c r="AF28" s="45">
        <v>8</v>
      </c>
      <c r="AG28" s="50">
        <v>22</v>
      </c>
      <c r="AH28" s="47">
        <f t="shared" si="2"/>
        <v>8</v>
      </c>
      <c r="AI28" s="48">
        <f t="shared" si="3"/>
        <v>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>
        <v>10</v>
      </c>
      <c r="L35" s="45">
        <v>10</v>
      </c>
      <c r="M35" s="45">
        <v>10</v>
      </c>
      <c r="N35" s="45">
        <v>10</v>
      </c>
      <c r="O35" s="45">
        <v>10</v>
      </c>
      <c r="P35" s="45">
        <v>10</v>
      </c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45">
        <v>10</v>
      </c>
      <c r="Z35" s="45">
        <v>10</v>
      </c>
      <c r="AA35" s="45">
        <v>10</v>
      </c>
      <c r="AB35" s="45">
        <v>10</v>
      </c>
      <c r="AC35" s="45">
        <v>10</v>
      </c>
      <c r="AD35" s="45">
        <v>10</v>
      </c>
      <c r="AE35" s="45">
        <v>10</v>
      </c>
      <c r="AF35" s="45">
        <v>10</v>
      </c>
      <c r="AG35" s="50">
        <v>12</v>
      </c>
      <c r="AH35" s="47">
        <f t="shared" si="2"/>
        <v>10</v>
      </c>
      <c r="AI35" s="48">
        <f t="shared" si="3"/>
        <v>10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100</v>
      </c>
      <c r="C42" s="56">
        <v>100</v>
      </c>
      <c r="D42" s="56">
        <v>100</v>
      </c>
      <c r="E42" s="56">
        <v>100</v>
      </c>
      <c r="F42" s="56">
        <v>100</v>
      </c>
      <c r="G42" s="56">
        <v>100</v>
      </c>
      <c r="H42" s="56">
        <v>100</v>
      </c>
      <c r="I42" s="56">
        <v>100</v>
      </c>
      <c r="J42" s="56">
        <v>100</v>
      </c>
      <c r="K42" s="56">
        <v>100</v>
      </c>
      <c r="L42" s="56">
        <v>100</v>
      </c>
      <c r="M42" s="56">
        <v>100</v>
      </c>
      <c r="N42" s="56">
        <v>100</v>
      </c>
      <c r="O42" s="56">
        <v>100</v>
      </c>
      <c r="P42" s="56">
        <v>100</v>
      </c>
      <c r="Q42" s="56">
        <v>100</v>
      </c>
      <c r="R42" s="56">
        <v>100</v>
      </c>
      <c r="S42" s="56">
        <v>100</v>
      </c>
      <c r="T42" s="56">
        <v>100</v>
      </c>
      <c r="U42" s="56">
        <v>100</v>
      </c>
      <c r="V42" s="56">
        <v>100</v>
      </c>
      <c r="W42" s="56">
        <v>100</v>
      </c>
      <c r="X42" s="56">
        <v>100</v>
      </c>
      <c r="Y42" s="56">
        <v>100</v>
      </c>
      <c r="Z42" s="56">
        <v>100</v>
      </c>
      <c r="AA42" s="56">
        <v>100</v>
      </c>
      <c r="AB42" s="56">
        <v>100</v>
      </c>
      <c r="AC42" s="56">
        <v>100</v>
      </c>
      <c r="AD42" s="56">
        <v>100</v>
      </c>
      <c r="AE42" s="56">
        <v>100</v>
      </c>
      <c r="AF42" s="56">
        <v>100</v>
      </c>
      <c r="AG42" s="54">
        <v>85</v>
      </c>
      <c r="AH42" s="47">
        <f t="shared" si="2"/>
        <v>100</v>
      </c>
      <c r="AI42" s="48">
        <f t="shared" si="3"/>
        <v>100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" si="4">SUM(B11:B42)</f>
        <v>367.1</v>
      </c>
      <c r="C44" s="60">
        <f t="shared" ref="C44:AG44" si="5">SUM(C11:C42)</f>
        <v>367.1</v>
      </c>
      <c r="D44" s="60">
        <f t="shared" si="5"/>
        <v>362.5</v>
      </c>
      <c r="E44" s="60">
        <f t="shared" si="5"/>
        <v>362.5</v>
      </c>
      <c r="F44" s="60">
        <f t="shared" si="5"/>
        <v>363.4</v>
      </c>
      <c r="G44" s="60">
        <f t="shared" si="5"/>
        <v>365.9</v>
      </c>
      <c r="H44" s="60">
        <f t="shared" si="5"/>
        <v>370.59999999999997</v>
      </c>
      <c r="I44" s="60">
        <f t="shared" si="5"/>
        <v>370.59999999999997</v>
      </c>
      <c r="J44" s="60">
        <f t="shared" si="5"/>
        <v>370.59999999999997</v>
      </c>
      <c r="K44" s="60">
        <f t="shared" si="5"/>
        <v>370.59999999999997</v>
      </c>
      <c r="L44" s="60">
        <f t="shared" si="5"/>
        <v>370.59999999999997</v>
      </c>
      <c r="M44" s="60">
        <f t="shared" si="5"/>
        <v>370.59999999999997</v>
      </c>
      <c r="N44" s="60">
        <f t="shared" si="5"/>
        <v>370.59999999999997</v>
      </c>
      <c r="O44" s="60">
        <f t="shared" si="5"/>
        <v>370.59999999999997</v>
      </c>
      <c r="P44" s="60">
        <f t="shared" si="5"/>
        <v>370.59999999999997</v>
      </c>
      <c r="Q44" s="60">
        <f t="shared" si="5"/>
        <v>364.6</v>
      </c>
      <c r="R44" s="60">
        <f t="shared" si="5"/>
        <v>362</v>
      </c>
      <c r="S44" s="60">
        <f t="shared" si="5"/>
        <v>362</v>
      </c>
      <c r="T44" s="60">
        <f t="shared" si="5"/>
        <v>362</v>
      </c>
      <c r="U44" s="60">
        <f t="shared" si="5"/>
        <v>362</v>
      </c>
      <c r="V44" s="60">
        <f t="shared" si="5"/>
        <v>365.69999999999993</v>
      </c>
      <c r="W44" s="60">
        <f t="shared" si="5"/>
        <v>365.69999999999993</v>
      </c>
      <c r="X44" s="60">
        <f t="shared" si="5"/>
        <v>365.69999999999993</v>
      </c>
      <c r="Y44" s="60">
        <v>360.5</v>
      </c>
      <c r="Z44" s="60">
        <f t="shared" si="5"/>
        <v>360.5</v>
      </c>
      <c r="AA44" s="60">
        <f t="shared" si="5"/>
        <v>360.5</v>
      </c>
      <c r="AB44" s="60">
        <f t="shared" si="5"/>
        <v>363.9</v>
      </c>
      <c r="AC44" s="60">
        <f t="shared" si="5"/>
        <v>361.29999999999995</v>
      </c>
      <c r="AD44" s="60">
        <f t="shared" ref="AD44" si="6">SUM(AD11:AD42)</f>
        <v>361.5</v>
      </c>
      <c r="AE44" s="60">
        <f t="shared" si="5"/>
        <v>362.29999999999995</v>
      </c>
      <c r="AF44" s="60">
        <f t="shared" ref="AF44" si="7">SUM(AF11:AF42)</f>
        <v>362.29999999999995</v>
      </c>
      <c r="AG44" s="61">
        <f t="shared" si="5"/>
        <v>814.78000000000009</v>
      </c>
      <c r="AH44" s="47">
        <f t="shared" si="2"/>
        <v>370.59999999999997</v>
      </c>
      <c r="AI44" s="48">
        <f t="shared" si="3"/>
        <v>360.5</v>
      </c>
      <c r="AK44" s="49"/>
    </row>
    <row r="45" spans="1:88" x14ac:dyDescent="0.25">
      <c r="A45" s="62" t="s">
        <v>53</v>
      </c>
      <c r="B45" s="45">
        <v>20</v>
      </c>
      <c r="C45" s="45">
        <v>25</v>
      </c>
      <c r="D45" s="45">
        <v>20</v>
      </c>
      <c r="E45" s="45">
        <v>15</v>
      </c>
      <c r="F45" s="45">
        <v>35</v>
      </c>
      <c r="G45" s="45">
        <v>55</v>
      </c>
      <c r="H45" s="45">
        <v>60</v>
      </c>
      <c r="I45" s="45">
        <v>76</v>
      </c>
      <c r="J45" s="45">
        <v>75</v>
      </c>
      <c r="K45" s="45">
        <v>100</v>
      </c>
      <c r="L45" s="45">
        <v>70</v>
      </c>
      <c r="M45" s="63">
        <v>130</v>
      </c>
      <c r="N45" s="63">
        <v>100</v>
      </c>
      <c r="O45" s="45">
        <v>140</v>
      </c>
      <c r="P45" s="45">
        <v>90</v>
      </c>
      <c r="Q45" s="45">
        <v>90</v>
      </c>
      <c r="R45" s="45">
        <v>110</v>
      </c>
      <c r="S45" s="45">
        <v>90</v>
      </c>
      <c r="T45" s="45">
        <v>72.400000000000006</v>
      </c>
      <c r="U45" s="45">
        <v>100</v>
      </c>
      <c r="V45" s="45">
        <v>50</v>
      </c>
      <c r="W45" s="45">
        <v>22</v>
      </c>
      <c r="X45" s="45">
        <v>30</v>
      </c>
      <c r="Y45" s="45">
        <v>230</v>
      </c>
      <c r="Z45" s="45">
        <v>365</v>
      </c>
      <c r="AA45" s="45">
        <v>336</v>
      </c>
      <c r="AB45" s="45">
        <v>110</v>
      </c>
      <c r="AC45" s="45">
        <v>100</v>
      </c>
      <c r="AD45" s="45">
        <v>80</v>
      </c>
      <c r="AE45" s="45">
        <v>50</v>
      </c>
      <c r="AF45" s="45">
        <v>30</v>
      </c>
      <c r="AG45" s="51">
        <v>456</v>
      </c>
      <c r="AH45" s="47">
        <f t="shared" si="2"/>
        <v>365</v>
      </c>
      <c r="AI45" s="48">
        <f t="shared" si="3"/>
        <v>15</v>
      </c>
      <c r="AK45" s="49"/>
    </row>
    <row r="46" spans="1:88" x14ac:dyDescent="0.25">
      <c r="A46" s="64" t="s">
        <v>54</v>
      </c>
      <c r="B46" s="65">
        <v>28</v>
      </c>
      <c r="C46" s="65">
        <v>28</v>
      </c>
      <c r="D46" s="65">
        <v>28</v>
      </c>
      <c r="E46" s="65">
        <v>28</v>
      </c>
      <c r="F46" s="65">
        <v>28</v>
      </c>
      <c r="G46" s="65">
        <v>28</v>
      </c>
      <c r="H46" s="65">
        <v>28</v>
      </c>
      <c r="I46" s="65">
        <v>28</v>
      </c>
      <c r="J46" s="65">
        <v>28</v>
      </c>
      <c r="K46" s="65">
        <v>28</v>
      </c>
      <c r="L46" s="65">
        <v>28</v>
      </c>
      <c r="M46" s="65">
        <v>28</v>
      </c>
      <c r="N46" s="65">
        <v>28</v>
      </c>
      <c r="O46" s="65">
        <v>28</v>
      </c>
      <c r="P46" s="65">
        <v>28</v>
      </c>
      <c r="Q46" s="65">
        <v>28</v>
      </c>
      <c r="R46" s="65">
        <v>28</v>
      </c>
      <c r="S46" s="65">
        <v>28</v>
      </c>
      <c r="T46" s="65">
        <v>28</v>
      </c>
      <c r="U46" s="65">
        <v>28</v>
      </c>
      <c r="V46" s="65">
        <v>28</v>
      </c>
      <c r="W46" s="65">
        <v>28</v>
      </c>
      <c r="X46" s="65">
        <v>28</v>
      </c>
      <c r="Y46" s="65">
        <v>28</v>
      </c>
      <c r="Z46" s="65">
        <v>28</v>
      </c>
      <c r="AA46" s="65">
        <v>28</v>
      </c>
      <c r="AB46" s="65">
        <v>28</v>
      </c>
      <c r="AC46" s="65">
        <v>28</v>
      </c>
      <c r="AD46" s="65">
        <v>28</v>
      </c>
      <c r="AE46" s="65">
        <v>28</v>
      </c>
      <c r="AF46" s="65">
        <v>28</v>
      </c>
      <c r="AG46" s="54">
        <v>60</v>
      </c>
      <c r="AH46" s="47">
        <f t="shared" si="2"/>
        <v>28</v>
      </c>
      <c r="AI46" s="48">
        <f t="shared" si="3"/>
        <v>28</v>
      </c>
      <c r="AK46" s="49"/>
    </row>
    <row r="47" spans="1:88" ht="15.75" thickBot="1" x14ac:dyDescent="0.3">
      <c r="A47" s="66" t="s">
        <v>55</v>
      </c>
      <c r="B47" s="67">
        <v>9.1999999999999993</v>
      </c>
      <c r="C47" s="67">
        <v>9.1999999999999993</v>
      </c>
      <c r="D47" s="67">
        <v>9.1999999999999993</v>
      </c>
      <c r="E47" s="67">
        <v>9.1999999999999993</v>
      </c>
      <c r="F47" s="67">
        <v>9.1999999999999993</v>
      </c>
      <c r="G47" s="67">
        <v>9.1999999999999993</v>
      </c>
      <c r="H47" s="67">
        <v>9.1999999999999993</v>
      </c>
      <c r="I47" s="67">
        <v>9.1999999999999993</v>
      </c>
      <c r="J47" s="67">
        <v>10.5</v>
      </c>
      <c r="K47" s="67">
        <v>10.6</v>
      </c>
      <c r="L47" s="67">
        <v>10.6</v>
      </c>
      <c r="M47" s="67">
        <v>10.7</v>
      </c>
      <c r="N47" s="67">
        <v>10.7</v>
      </c>
      <c r="O47" s="67">
        <v>10.7</v>
      </c>
      <c r="P47" s="67">
        <v>10.7</v>
      </c>
      <c r="Q47" s="67">
        <v>10.6</v>
      </c>
      <c r="R47" s="67">
        <v>10.6</v>
      </c>
      <c r="S47" s="67">
        <v>10.6</v>
      </c>
      <c r="T47" s="67">
        <v>10.6</v>
      </c>
      <c r="U47" s="67">
        <v>10.6</v>
      </c>
      <c r="V47" s="67">
        <v>10.6</v>
      </c>
      <c r="W47" s="67">
        <v>10.6</v>
      </c>
      <c r="X47" s="67">
        <v>10</v>
      </c>
      <c r="Y47" s="67">
        <v>16</v>
      </c>
      <c r="Z47" s="67">
        <v>16</v>
      </c>
      <c r="AA47" s="67">
        <v>16</v>
      </c>
      <c r="AB47" s="67">
        <v>16</v>
      </c>
      <c r="AC47" s="67">
        <v>16.100000000000001</v>
      </c>
      <c r="AD47" s="67">
        <v>10.199999999999999</v>
      </c>
      <c r="AE47" s="67">
        <v>9.6999999999999993</v>
      </c>
      <c r="AF47" s="67">
        <v>9.6999999999999993</v>
      </c>
      <c r="AG47" s="68">
        <v>22.1</v>
      </c>
      <c r="AH47" s="47">
        <f t="shared" si="2"/>
        <v>16.100000000000001</v>
      </c>
      <c r="AI47" s="48">
        <f t="shared" si="3"/>
        <v>9.1999999999999993</v>
      </c>
      <c r="AK47" s="49"/>
    </row>
    <row r="48" spans="1:88" ht="15.75" thickBot="1" x14ac:dyDescent="0.3">
      <c r="A48" s="69" t="s">
        <v>56</v>
      </c>
      <c r="B48" s="60">
        <f t="shared" ref="B48" si="8">SUM(B45:B47)</f>
        <v>57.2</v>
      </c>
      <c r="C48" s="60">
        <f t="shared" ref="C48:AG48" si="9">SUM(C45:C47)</f>
        <v>62.2</v>
      </c>
      <c r="D48" s="60">
        <f t="shared" si="9"/>
        <v>57.2</v>
      </c>
      <c r="E48" s="60">
        <f t="shared" si="9"/>
        <v>52.2</v>
      </c>
      <c r="F48" s="60">
        <f t="shared" si="9"/>
        <v>72.2</v>
      </c>
      <c r="G48" s="60">
        <f t="shared" si="9"/>
        <v>92.2</v>
      </c>
      <c r="H48" s="60">
        <f t="shared" si="9"/>
        <v>97.2</v>
      </c>
      <c r="I48" s="60">
        <f t="shared" si="9"/>
        <v>113.2</v>
      </c>
      <c r="J48" s="60">
        <f t="shared" si="9"/>
        <v>113.5</v>
      </c>
      <c r="K48" s="60">
        <f t="shared" si="9"/>
        <v>138.6</v>
      </c>
      <c r="L48" s="60">
        <f t="shared" si="9"/>
        <v>108.6</v>
      </c>
      <c r="M48" s="60">
        <f t="shared" si="9"/>
        <v>168.7</v>
      </c>
      <c r="N48" s="60">
        <f t="shared" si="9"/>
        <v>138.69999999999999</v>
      </c>
      <c r="O48" s="60">
        <f t="shared" si="9"/>
        <v>178.7</v>
      </c>
      <c r="P48" s="60">
        <f t="shared" si="9"/>
        <v>128.69999999999999</v>
      </c>
      <c r="Q48" s="60">
        <f t="shared" si="9"/>
        <v>128.6</v>
      </c>
      <c r="R48" s="60">
        <f t="shared" si="9"/>
        <v>148.6</v>
      </c>
      <c r="S48" s="60">
        <f t="shared" si="9"/>
        <v>128.6</v>
      </c>
      <c r="T48" s="60">
        <f t="shared" si="9"/>
        <v>111</v>
      </c>
      <c r="U48" s="60">
        <f t="shared" si="9"/>
        <v>138.6</v>
      </c>
      <c r="V48" s="60">
        <f t="shared" si="9"/>
        <v>88.6</v>
      </c>
      <c r="W48" s="60">
        <f t="shared" si="9"/>
        <v>60.6</v>
      </c>
      <c r="X48" s="60">
        <f t="shared" si="9"/>
        <v>68</v>
      </c>
      <c r="Y48" s="60">
        <v>268</v>
      </c>
      <c r="Z48" s="60">
        <f t="shared" si="9"/>
        <v>409</v>
      </c>
      <c r="AA48" s="60">
        <f t="shared" si="9"/>
        <v>380</v>
      </c>
      <c r="AB48" s="60">
        <f t="shared" si="9"/>
        <v>154</v>
      </c>
      <c r="AC48" s="60">
        <f t="shared" si="9"/>
        <v>144.1</v>
      </c>
      <c r="AD48" s="60">
        <f t="shared" ref="AD48" si="10">SUM(AD45:AD47)</f>
        <v>118.2</v>
      </c>
      <c r="AE48" s="60">
        <f t="shared" si="9"/>
        <v>87.7</v>
      </c>
      <c r="AF48" s="60">
        <f t="shared" si="9"/>
        <v>67.7</v>
      </c>
      <c r="AG48" s="61">
        <f t="shared" si="9"/>
        <v>538.1</v>
      </c>
      <c r="AH48" s="47">
        <f t="shared" si="2"/>
        <v>409</v>
      </c>
      <c r="AI48" s="48">
        <f t="shared" si="3"/>
        <v>52.2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30.6</v>
      </c>
      <c r="I49" s="45">
        <v>30.7</v>
      </c>
      <c r="J49" s="45">
        <v>92</v>
      </c>
      <c r="K49" s="45">
        <v>91.5</v>
      </c>
      <c r="L49" s="45">
        <v>123.1</v>
      </c>
      <c r="M49" s="45">
        <v>92.7</v>
      </c>
      <c r="N49" s="45">
        <v>84.2</v>
      </c>
      <c r="O49" s="45">
        <v>84.2</v>
      </c>
      <c r="P49" s="45">
        <v>57</v>
      </c>
      <c r="Q49" s="45">
        <v>75</v>
      </c>
      <c r="R49" s="45">
        <v>75.099999999999994</v>
      </c>
      <c r="S49" s="45">
        <v>75.099999999999994</v>
      </c>
      <c r="T49" s="45">
        <v>78.099999999999994</v>
      </c>
      <c r="U49" s="45">
        <v>78.099999999999994</v>
      </c>
      <c r="V49" s="45">
        <v>69</v>
      </c>
      <c r="W49" s="45">
        <v>66</v>
      </c>
      <c r="X49" s="45">
        <v>98</v>
      </c>
      <c r="Y49" s="45">
        <v>130</v>
      </c>
      <c r="Z49" s="45">
        <v>100</v>
      </c>
      <c r="AA49" s="45">
        <v>71.599999999999994</v>
      </c>
      <c r="AB49" s="45">
        <v>61.2</v>
      </c>
      <c r="AC49" s="45">
        <v>61.3</v>
      </c>
      <c r="AD49" s="45">
        <v>61.2</v>
      </c>
      <c r="AE49" s="45">
        <v>64.900000000000006</v>
      </c>
      <c r="AF49" s="45">
        <v>30.5</v>
      </c>
      <c r="AG49" s="51">
        <v>144</v>
      </c>
      <c r="AH49" s="47">
        <f t="shared" si="2"/>
        <v>130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35.299999999999997</v>
      </c>
      <c r="C50" s="65">
        <v>22.8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34.5</v>
      </c>
      <c r="J50" s="65">
        <v>48.6</v>
      </c>
      <c r="K50" s="65">
        <v>49.9</v>
      </c>
      <c r="L50" s="65">
        <v>69.8</v>
      </c>
      <c r="M50" s="65">
        <v>58.8</v>
      </c>
      <c r="N50" s="65">
        <v>49.7</v>
      </c>
      <c r="O50" s="65">
        <v>49.7</v>
      </c>
      <c r="P50" s="65">
        <v>21.7</v>
      </c>
      <c r="Q50" s="65">
        <v>22</v>
      </c>
      <c r="R50" s="45">
        <v>29.9</v>
      </c>
      <c r="S50" s="45">
        <v>29.9</v>
      </c>
      <c r="T50" s="45">
        <v>26.1</v>
      </c>
      <c r="U50" s="45">
        <v>26.2</v>
      </c>
      <c r="V50" s="45">
        <v>26</v>
      </c>
      <c r="W50" s="45">
        <v>26</v>
      </c>
      <c r="X50" s="45">
        <v>25</v>
      </c>
      <c r="Y50" s="45">
        <v>58</v>
      </c>
      <c r="Z50" s="45">
        <v>50.2</v>
      </c>
      <c r="AA50" s="45">
        <v>50.3</v>
      </c>
      <c r="AB50" s="65">
        <v>44.7</v>
      </c>
      <c r="AC50" s="65">
        <v>20</v>
      </c>
      <c r="AD50" s="65">
        <v>24</v>
      </c>
      <c r="AE50" s="65">
        <v>34.299999999999997</v>
      </c>
      <c r="AF50" s="65">
        <v>25.5</v>
      </c>
      <c r="AG50" s="54">
        <v>70</v>
      </c>
      <c r="AH50" s="47">
        <f t="shared" si="2"/>
        <v>69.8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22.5</v>
      </c>
      <c r="C51" s="65">
        <v>16.2</v>
      </c>
      <c r="D51" s="65">
        <v>34.700000000000003</v>
      </c>
      <c r="E51" s="65">
        <v>34.799999999999997</v>
      </c>
      <c r="F51" s="65">
        <v>41.4</v>
      </c>
      <c r="G51" s="65">
        <v>41.2</v>
      </c>
      <c r="H51" s="65">
        <v>40.4</v>
      </c>
      <c r="I51" s="65">
        <v>33.9</v>
      </c>
      <c r="J51" s="65">
        <v>48</v>
      </c>
      <c r="K51" s="65">
        <v>46.9</v>
      </c>
      <c r="L51" s="65">
        <v>46.6</v>
      </c>
      <c r="M51" s="65">
        <v>46.8</v>
      </c>
      <c r="N51" s="65">
        <v>15.7</v>
      </c>
      <c r="O51" s="65">
        <v>15.7</v>
      </c>
      <c r="P51" s="65">
        <v>15.7</v>
      </c>
      <c r="Q51" s="65">
        <v>15.6</v>
      </c>
      <c r="R51" s="45">
        <v>16.3</v>
      </c>
      <c r="S51" s="45">
        <v>16.3</v>
      </c>
      <c r="T51" s="45">
        <v>34</v>
      </c>
      <c r="U51" s="45">
        <v>33.700000000000003</v>
      </c>
      <c r="V51" s="45">
        <v>46</v>
      </c>
      <c r="W51" s="45">
        <v>32</v>
      </c>
      <c r="X51" s="45">
        <v>52</v>
      </c>
      <c r="Y51" s="45">
        <v>67</v>
      </c>
      <c r="Z51" s="45">
        <v>47</v>
      </c>
      <c r="AA51" s="45">
        <v>67</v>
      </c>
      <c r="AB51" s="65">
        <v>32.4</v>
      </c>
      <c r="AC51" s="65">
        <v>33.799999999999997</v>
      </c>
      <c r="AD51" s="65">
        <v>34.1</v>
      </c>
      <c r="AE51" s="65">
        <v>46.8</v>
      </c>
      <c r="AF51" s="65">
        <v>32</v>
      </c>
      <c r="AG51" s="54">
        <v>69</v>
      </c>
      <c r="AH51" s="47">
        <f t="shared" si="2"/>
        <v>67</v>
      </c>
      <c r="AI51" s="48">
        <f t="shared" si="3"/>
        <v>15.6</v>
      </c>
      <c r="AK51" s="49"/>
    </row>
    <row r="52" spans="1:41" x14ac:dyDescent="0.25">
      <c r="A52" s="53" t="s">
        <v>60</v>
      </c>
      <c r="B52" s="56">
        <v>47.9</v>
      </c>
      <c r="C52" s="56">
        <v>44.3</v>
      </c>
      <c r="D52" s="56">
        <v>43.1</v>
      </c>
      <c r="E52" s="56">
        <v>40</v>
      </c>
      <c r="F52" s="56">
        <v>42.1</v>
      </c>
      <c r="G52" s="56">
        <v>43.1</v>
      </c>
      <c r="H52" s="56">
        <v>44.3</v>
      </c>
      <c r="I52" s="56">
        <v>45.3</v>
      </c>
      <c r="J52" s="56">
        <v>45.3</v>
      </c>
      <c r="K52" s="56">
        <v>44.3</v>
      </c>
      <c r="L52" s="56">
        <v>44.1</v>
      </c>
      <c r="M52" s="65">
        <v>44.1</v>
      </c>
      <c r="N52" s="65">
        <v>43.8</v>
      </c>
      <c r="O52" s="65">
        <v>43.8</v>
      </c>
      <c r="P52" s="65">
        <v>43.8</v>
      </c>
      <c r="Q52" s="65">
        <v>43.8</v>
      </c>
      <c r="R52" s="65">
        <v>43.8</v>
      </c>
      <c r="S52" s="65">
        <v>43.8</v>
      </c>
      <c r="T52" s="65">
        <v>43.8</v>
      </c>
      <c r="U52" s="65">
        <v>43.8</v>
      </c>
      <c r="V52" s="45">
        <v>42</v>
      </c>
      <c r="W52" s="45">
        <v>42</v>
      </c>
      <c r="X52" s="45">
        <v>42</v>
      </c>
      <c r="Y52" s="65">
        <v>42</v>
      </c>
      <c r="Z52" s="65">
        <v>42</v>
      </c>
      <c r="AA52" s="65">
        <v>42</v>
      </c>
      <c r="AB52" s="65">
        <v>42</v>
      </c>
      <c r="AC52" s="65">
        <v>42.1</v>
      </c>
      <c r="AD52" s="65">
        <v>43.1</v>
      </c>
      <c r="AE52" s="65">
        <v>45.3</v>
      </c>
      <c r="AF52" s="65">
        <v>45.3</v>
      </c>
      <c r="AG52" s="54">
        <v>60</v>
      </c>
      <c r="AH52" s="47">
        <f t="shared" si="2"/>
        <v>47.9</v>
      </c>
      <c r="AI52" s="48">
        <f t="shared" si="3"/>
        <v>40</v>
      </c>
      <c r="AK52" s="49"/>
    </row>
    <row r="53" spans="1:41" x14ac:dyDescent="0.25">
      <c r="A53" s="53" t="s">
        <v>61</v>
      </c>
      <c r="B53" s="56">
        <v>0</v>
      </c>
      <c r="C53" s="56">
        <v>0</v>
      </c>
      <c r="D53" s="56">
        <v>0</v>
      </c>
      <c r="E53" s="56">
        <v>0</v>
      </c>
      <c r="F53" s="56">
        <v>0</v>
      </c>
      <c r="G53" s="56">
        <v>0</v>
      </c>
      <c r="H53" s="56">
        <v>10</v>
      </c>
      <c r="I53" s="56">
        <v>10</v>
      </c>
      <c r="J53" s="56">
        <v>0</v>
      </c>
      <c r="K53" s="56">
        <v>0</v>
      </c>
      <c r="L53" s="56">
        <v>25</v>
      </c>
      <c r="M53" s="65">
        <v>25</v>
      </c>
      <c r="N53" s="65">
        <v>25</v>
      </c>
      <c r="O53" s="65">
        <v>25</v>
      </c>
      <c r="P53" s="65">
        <v>25</v>
      </c>
      <c r="Q53" s="65">
        <v>15</v>
      </c>
      <c r="R53" s="65">
        <v>15</v>
      </c>
      <c r="S53" s="65">
        <v>15</v>
      </c>
      <c r="T53" s="65">
        <v>0</v>
      </c>
      <c r="U53" s="65">
        <v>0</v>
      </c>
      <c r="V53" s="45">
        <v>0</v>
      </c>
      <c r="W53" s="45">
        <v>15</v>
      </c>
      <c r="X53" s="45">
        <v>15</v>
      </c>
      <c r="Y53" s="65">
        <v>15</v>
      </c>
      <c r="Z53" s="65">
        <v>15</v>
      </c>
      <c r="AA53" s="65">
        <v>15</v>
      </c>
      <c r="AB53" s="65">
        <v>15</v>
      </c>
      <c r="AC53" s="65">
        <v>15</v>
      </c>
      <c r="AD53" s="65">
        <v>0</v>
      </c>
      <c r="AE53" s="65">
        <v>0</v>
      </c>
      <c r="AF53" s="65">
        <v>0</v>
      </c>
      <c r="AG53" s="54">
        <v>30</v>
      </c>
      <c r="AH53" s="47">
        <f t="shared" si="2"/>
        <v>25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65">
        <v>4</v>
      </c>
      <c r="O54" s="65">
        <v>4</v>
      </c>
      <c r="P54" s="65">
        <v>4</v>
      </c>
      <c r="Q54" s="65">
        <v>15</v>
      </c>
      <c r="R54" s="65">
        <v>15</v>
      </c>
      <c r="S54" s="65">
        <v>15</v>
      </c>
      <c r="T54" s="65">
        <v>15</v>
      </c>
      <c r="U54" s="65">
        <v>15</v>
      </c>
      <c r="V54" s="65">
        <v>15</v>
      </c>
      <c r="W54" s="65">
        <v>15</v>
      </c>
      <c r="X54" s="65">
        <v>15</v>
      </c>
      <c r="Y54" s="65">
        <v>15</v>
      </c>
      <c r="Z54" s="65">
        <v>15</v>
      </c>
      <c r="AA54" s="65">
        <v>15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15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16</v>
      </c>
      <c r="C55" s="65">
        <v>16</v>
      </c>
      <c r="D55" s="65">
        <v>16</v>
      </c>
      <c r="E55" s="65">
        <v>16</v>
      </c>
      <c r="F55" s="65">
        <v>16</v>
      </c>
      <c r="G55" s="65">
        <v>16</v>
      </c>
      <c r="H55" s="65">
        <v>16</v>
      </c>
      <c r="I55" s="65">
        <v>16</v>
      </c>
      <c r="J55" s="65">
        <v>16</v>
      </c>
      <c r="K55" s="65">
        <v>16</v>
      </c>
      <c r="L55" s="65">
        <v>16</v>
      </c>
      <c r="M55" s="65">
        <v>16</v>
      </c>
      <c r="N55" s="65">
        <v>16</v>
      </c>
      <c r="O55" s="65">
        <v>16</v>
      </c>
      <c r="P55" s="65">
        <v>16</v>
      </c>
      <c r="Q55" s="65">
        <v>16</v>
      </c>
      <c r="R55" s="65">
        <v>16</v>
      </c>
      <c r="S55" s="65">
        <v>16</v>
      </c>
      <c r="T55" s="65">
        <v>16</v>
      </c>
      <c r="U55" s="65">
        <v>16</v>
      </c>
      <c r="V55" s="65">
        <v>16</v>
      </c>
      <c r="W55" s="65">
        <v>16</v>
      </c>
      <c r="X55" s="65">
        <v>16</v>
      </c>
      <c r="Y55" s="65">
        <v>16</v>
      </c>
      <c r="Z55" s="65">
        <v>16</v>
      </c>
      <c r="AA55" s="65">
        <v>16</v>
      </c>
      <c r="AB55" s="65">
        <v>16</v>
      </c>
      <c r="AC55" s="65">
        <v>16</v>
      </c>
      <c r="AD55" s="65">
        <v>16</v>
      </c>
      <c r="AE55" s="65">
        <v>16</v>
      </c>
      <c r="AF55" s="65">
        <v>16</v>
      </c>
      <c r="AG55" s="54">
        <v>24</v>
      </c>
      <c r="AH55" s="47">
        <f t="shared" si="2"/>
        <v>16</v>
      </c>
      <c r="AI55" s="48">
        <f t="shared" si="3"/>
        <v>16</v>
      </c>
      <c r="AK55" s="49"/>
    </row>
    <row r="56" spans="1:41" x14ac:dyDescent="0.25">
      <c r="A56" s="53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4">
        <v>15</v>
      </c>
      <c r="AH56" s="47">
        <f t="shared" si="2"/>
        <v>3.2</v>
      </c>
      <c r="AI56" s="48">
        <f t="shared" si="3"/>
        <v>3.2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10.6</v>
      </c>
      <c r="C57" s="65">
        <v>10.6</v>
      </c>
      <c r="D57" s="65">
        <v>10.6</v>
      </c>
      <c r="E57" s="65">
        <v>10.6</v>
      </c>
      <c r="F57" s="65">
        <v>10.6</v>
      </c>
      <c r="G57" s="65">
        <v>10.6</v>
      </c>
      <c r="H57" s="65">
        <v>10.6</v>
      </c>
      <c r="I57" s="65">
        <v>10.6</v>
      </c>
      <c r="J57" s="65">
        <v>10.6</v>
      </c>
      <c r="K57" s="65">
        <v>10.6</v>
      </c>
      <c r="L57" s="65">
        <v>10.6</v>
      </c>
      <c r="M57" s="65">
        <v>10.6</v>
      </c>
      <c r="N57" s="65">
        <v>10.6</v>
      </c>
      <c r="O57" s="65">
        <v>10.6</v>
      </c>
      <c r="P57" s="65">
        <v>10.6</v>
      </c>
      <c r="Q57" s="65">
        <v>10.6</v>
      </c>
      <c r="R57" s="65">
        <v>10.6</v>
      </c>
      <c r="S57" s="65">
        <v>10.6</v>
      </c>
      <c r="T57" s="65">
        <v>10.6</v>
      </c>
      <c r="U57" s="65">
        <v>10.6</v>
      </c>
      <c r="V57" s="65">
        <v>10.6</v>
      </c>
      <c r="W57" s="65">
        <v>10.6</v>
      </c>
      <c r="X57" s="65">
        <v>10.6</v>
      </c>
      <c r="Y57" s="65">
        <v>10.6</v>
      </c>
      <c r="Z57" s="65">
        <v>10.6</v>
      </c>
      <c r="AA57" s="65">
        <v>10.6</v>
      </c>
      <c r="AB57" s="65">
        <v>10.6</v>
      </c>
      <c r="AC57" s="65">
        <v>10.6</v>
      </c>
      <c r="AD57" s="65">
        <v>10.6</v>
      </c>
      <c r="AE57" s="65">
        <v>10.6</v>
      </c>
      <c r="AF57" s="65">
        <v>10.6</v>
      </c>
      <c r="AG57" s="54">
        <v>14.1</v>
      </c>
      <c r="AH57" s="47">
        <f t="shared" si="2"/>
        <v>10.6</v>
      </c>
      <c r="AI57" s="48">
        <f t="shared" si="3"/>
        <v>10.6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3.1</v>
      </c>
      <c r="C58" s="65">
        <v>3.1</v>
      </c>
      <c r="D58" s="65">
        <v>5.0999999999999996</v>
      </c>
      <c r="E58" s="65">
        <v>5.0999999999999996</v>
      </c>
      <c r="F58" s="65">
        <v>5.0999999999999996</v>
      </c>
      <c r="G58" s="65">
        <v>5.0999999999999996</v>
      </c>
      <c r="H58" s="65">
        <v>5.0999999999999996</v>
      </c>
      <c r="I58" s="65">
        <v>5.0999999999999996</v>
      </c>
      <c r="J58" s="65">
        <v>5.0999999999999996</v>
      </c>
      <c r="K58" s="65">
        <v>5.0999999999999996</v>
      </c>
      <c r="L58" s="65">
        <v>5.0999999999999996</v>
      </c>
      <c r="M58" s="65">
        <v>5.0999999999999996</v>
      </c>
      <c r="N58" s="65">
        <v>5.0999999999999996</v>
      </c>
      <c r="O58" s="65">
        <v>5.0999999999999996</v>
      </c>
      <c r="P58" s="65">
        <v>5.0999999999999996</v>
      </c>
      <c r="Q58" s="65">
        <v>5.0999999999999996</v>
      </c>
      <c r="R58" s="65">
        <v>5.0999999999999996</v>
      </c>
      <c r="S58" s="65">
        <v>5.0999999999999996</v>
      </c>
      <c r="T58" s="65">
        <v>5.0999999999999996</v>
      </c>
      <c r="U58" s="65">
        <v>5.0999999999999996</v>
      </c>
      <c r="V58" s="65">
        <v>5.0999999999999996</v>
      </c>
      <c r="W58" s="65">
        <v>5.0999999999999996</v>
      </c>
      <c r="X58" s="65">
        <v>5.0999999999999996</v>
      </c>
      <c r="Y58" s="65">
        <v>5.0999999999999996</v>
      </c>
      <c r="Z58" s="65">
        <v>5.0999999999999996</v>
      </c>
      <c r="AA58" s="65">
        <v>5.0999999999999996</v>
      </c>
      <c r="AB58" s="65">
        <v>5.0999999999999996</v>
      </c>
      <c r="AC58" s="65">
        <v>5.0999999999999996</v>
      </c>
      <c r="AD58" s="65">
        <v>5.0999999999999996</v>
      </c>
      <c r="AE58" s="65">
        <v>5.0999999999999996</v>
      </c>
      <c r="AF58" s="65">
        <v>5.0999999999999996</v>
      </c>
      <c r="AG58" s="54">
        <v>14</v>
      </c>
      <c r="AH58" s="47">
        <f t="shared" si="2"/>
        <v>5.0999999999999996</v>
      </c>
      <c r="AI58" s="48">
        <f t="shared" si="3"/>
        <v>3.1</v>
      </c>
      <c r="AK58" s="49"/>
    </row>
    <row r="59" spans="1:41" x14ac:dyDescent="0.25">
      <c r="A59" s="53" t="s">
        <v>67</v>
      </c>
      <c r="B59" s="65">
        <v>4.2</v>
      </c>
      <c r="C59" s="65">
        <v>4.2</v>
      </c>
      <c r="D59" s="65">
        <v>4.2</v>
      </c>
      <c r="E59" s="65">
        <v>4.2</v>
      </c>
      <c r="F59" s="65">
        <v>4.2</v>
      </c>
      <c r="G59" s="65">
        <v>4.2</v>
      </c>
      <c r="H59" s="65">
        <v>4.2</v>
      </c>
      <c r="I59" s="65">
        <v>4.2</v>
      </c>
      <c r="J59" s="65">
        <v>4.2</v>
      </c>
      <c r="K59" s="65">
        <v>4.2</v>
      </c>
      <c r="L59" s="65">
        <v>4.2</v>
      </c>
      <c r="M59" s="65">
        <v>4.2</v>
      </c>
      <c r="N59" s="65">
        <v>4.2</v>
      </c>
      <c r="O59" s="65">
        <v>4.2</v>
      </c>
      <c r="P59" s="65">
        <v>4.2</v>
      </c>
      <c r="Q59" s="65">
        <v>4.2</v>
      </c>
      <c r="R59" s="65">
        <v>4.2</v>
      </c>
      <c r="S59" s="65">
        <v>4.2</v>
      </c>
      <c r="T59" s="65">
        <v>4.2</v>
      </c>
      <c r="U59" s="65">
        <v>4.2</v>
      </c>
      <c r="V59" s="65">
        <v>4.2</v>
      </c>
      <c r="W59" s="65">
        <v>4.2</v>
      </c>
      <c r="X59" s="65">
        <v>4.2</v>
      </c>
      <c r="Y59" s="65">
        <v>4.2</v>
      </c>
      <c r="Z59" s="65">
        <v>4.2</v>
      </c>
      <c r="AA59" s="65">
        <v>4.2</v>
      </c>
      <c r="AB59" s="65">
        <v>4.2</v>
      </c>
      <c r="AC59" s="65">
        <v>4.2</v>
      </c>
      <c r="AD59" s="65">
        <v>4.2</v>
      </c>
      <c r="AE59" s="65">
        <v>4.2</v>
      </c>
      <c r="AF59" s="65">
        <v>4.2</v>
      </c>
      <c r="AG59" s="54">
        <v>10.050000000000001</v>
      </c>
      <c r="AH59" s="47">
        <f t="shared" si="2"/>
        <v>4.2</v>
      </c>
      <c r="AI59" s="48">
        <f t="shared" si="3"/>
        <v>4.2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</v>
      </c>
      <c r="AK61" s="49"/>
    </row>
    <row r="62" spans="1:41" ht="15.75" thickBot="1" x14ac:dyDescent="0.3">
      <c r="A62" s="74" t="s">
        <v>70</v>
      </c>
      <c r="B62" s="60">
        <f t="shared" ref="B62" si="11">SUM(B49:B61)</f>
        <v>149.53999999999996</v>
      </c>
      <c r="C62" s="60">
        <f t="shared" ref="C62:AG62" si="12">SUM(C49:C61)</f>
        <v>127.14</v>
      </c>
      <c r="D62" s="60">
        <f t="shared" si="12"/>
        <v>123.64000000000001</v>
      </c>
      <c r="E62" s="60">
        <f t="shared" si="12"/>
        <v>120.64</v>
      </c>
      <c r="F62" s="60">
        <f t="shared" si="12"/>
        <v>129.34</v>
      </c>
      <c r="G62" s="60">
        <f t="shared" si="12"/>
        <v>130.14000000000001</v>
      </c>
      <c r="H62" s="60">
        <f t="shared" si="12"/>
        <v>171.13999999999996</v>
      </c>
      <c r="I62" s="60">
        <f t="shared" si="12"/>
        <v>200.23999999999992</v>
      </c>
      <c r="J62" s="60">
        <f t="shared" si="12"/>
        <v>279.74</v>
      </c>
      <c r="K62" s="60">
        <f t="shared" si="12"/>
        <v>278.44000000000005</v>
      </c>
      <c r="L62" s="60">
        <f t="shared" si="12"/>
        <v>354.44</v>
      </c>
      <c r="M62" s="60">
        <f t="shared" si="12"/>
        <v>313.24</v>
      </c>
      <c r="N62" s="60">
        <f t="shared" si="12"/>
        <v>268.23999999999995</v>
      </c>
      <c r="O62" s="60">
        <f t="shared" si="12"/>
        <v>268.23999999999995</v>
      </c>
      <c r="P62" s="60">
        <f t="shared" si="12"/>
        <v>213.03999999999994</v>
      </c>
      <c r="Q62" s="60">
        <f t="shared" si="12"/>
        <v>232.23999999999992</v>
      </c>
      <c r="R62" s="60">
        <f t="shared" si="12"/>
        <v>240.93999999999994</v>
      </c>
      <c r="S62" s="60">
        <f t="shared" si="12"/>
        <v>240.93999999999994</v>
      </c>
      <c r="T62" s="60">
        <f t="shared" si="12"/>
        <v>242.83999999999995</v>
      </c>
      <c r="U62" s="60">
        <f t="shared" si="12"/>
        <v>242.63999999999996</v>
      </c>
      <c r="V62" s="60">
        <f t="shared" si="12"/>
        <v>243.83999999999995</v>
      </c>
      <c r="W62" s="60">
        <f t="shared" si="12"/>
        <v>241.83999999999995</v>
      </c>
      <c r="X62" s="60">
        <f t="shared" si="12"/>
        <v>292.84000000000003</v>
      </c>
      <c r="Y62" s="60">
        <v>372.8</v>
      </c>
      <c r="Z62" s="60">
        <f t="shared" si="12"/>
        <v>315.04000000000002</v>
      </c>
      <c r="AA62" s="60">
        <f t="shared" si="12"/>
        <v>306.74</v>
      </c>
      <c r="AB62" s="60">
        <f t="shared" si="12"/>
        <v>241.13999999999996</v>
      </c>
      <c r="AC62" s="60">
        <f t="shared" si="12"/>
        <v>218.03999999999994</v>
      </c>
      <c r="AD62" s="60">
        <f t="shared" ref="AD62" si="13">SUM(AD49:AD61)</f>
        <v>208.23999999999995</v>
      </c>
      <c r="AE62" s="60">
        <f t="shared" si="12"/>
        <v>237.13999999999996</v>
      </c>
      <c r="AF62" s="60">
        <f t="shared" si="12"/>
        <v>179.13999999999996</v>
      </c>
      <c r="AG62" s="61">
        <f t="shared" si="12"/>
        <v>489.91</v>
      </c>
      <c r="AH62" s="47">
        <f t="shared" si="2"/>
        <v>372.8</v>
      </c>
      <c r="AI62" s="48">
        <f t="shared" si="3"/>
        <v>120.64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26.3</v>
      </c>
      <c r="H63" s="45">
        <v>30.4</v>
      </c>
      <c r="I63" s="45">
        <v>21.2</v>
      </c>
      <c r="J63" s="45">
        <v>30</v>
      </c>
      <c r="K63" s="45">
        <v>20</v>
      </c>
      <c r="L63" s="45">
        <v>0</v>
      </c>
      <c r="M63" s="45">
        <v>0</v>
      </c>
      <c r="N63" s="45">
        <v>0</v>
      </c>
      <c r="O63" s="45">
        <v>0</v>
      </c>
      <c r="P63" s="45">
        <v>20</v>
      </c>
      <c r="Q63" s="45">
        <v>50</v>
      </c>
      <c r="R63" s="45">
        <v>59.9</v>
      </c>
      <c r="S63" s="45">
        <v>60.3</v>
      </c>
      <c r="T63" s="45">
        <v>60</v>
      </c>
      <c r="U63" s="45">
        <v>60</v>
      </c>
      <c r="V63" s="45">
        <v>60</v>
      </c>
      <c r="W63" s="45">
        <v>28.9</v>
      </c>
      <c r="X63" s="45">
        <v>40</v>
      </c>
      <c r="Y63" s="45">
        <v>50</v>
      </c>
      <c r="Z63" s="45">
        <v>40</v>
      </c>
      <c r="AA63" s="45">
        <v>34.6</v>
      </c>
      <c r="AB63" s="45">
        <v>10.6</v>
      </c>
      <c r="AC63" s="45">
        <v>10.3</v>
      </c>
      <c r="AD63" s="45">
        <v>10.199999999999999</v>
      </c>
      <c r="AE63" s="45">
        <v>0</v>
      </c>
      <c r="AF63" s="45">
        <v>0</v>
      </c>
      <c r="AG63" s="51">
        <v>60</v>
      </c>
      <c r="AH63" s="47">
        <f t="shared" si="2"/>
        <v>60.3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14.4</v>
      </c>
      <c r="I64" s="65">
        <v>9.6999999999999993</v>
      </c>
      <c r="J64" s="65">
        <v>14.7</v>
      </c>
      <c r="K64" s="65">
        <v>10.3</v>
      </c>
      <c r="L64" s="65">
        <v>0</v>
      </c>
      <c r="M64" s="65">
        <v>0</v>
      </c>
      <c r="N64" s="65">
        <v>0</v>
      </c>
      <c r="O64" s="65">
        <v>0</v>
      </c>
      <c r="P64" s="65">
        <v>8.3000000000000007</v>
      </c>
      <c r="Q64" s="45">
        <v>21</v>
      </c>
      <c r="R64" s="45">
        <v>27</v>
      </c>
      <c r="S64" s="65">
        <v>28.3</v>
      </c>
      <c r="T64" s="65">
        <v>28</v>
      </c>
      <c r="U64" s="65">
        <v>28</v>
      </c>
      <c r="V64" s="65">
        <v>27</v>
      </c>
      <c r="W64" s="65">
        <v>15.2</v>
      </c>
      <c r="X64" s="65">
        <v>16</v>
      </c>
      <c r="Y64" s="65">
        <v>16</v>
      </c>
      <c r="Z64" s="65">
        <v>16</v>
      </c>
      <c r="AA64" s="65">
        <v>13.9</v>
      </c>
      <c r="AB64" s="65">
        <v>14</v>
      </c>
      <c r="AC64" s="65">
        <v>3.7</v>
      </c>
      <c r="AD64" s="65">
        <v>3.4</v>
      </c>
      <c r="AE64" s="65">
        <v>0</v>
      </c>
      <c r="AF64" s="65">
        <v>0</v>
      </c>
      <c r="AG64" s="54">
        <v>32</v>
      </c>
      <c r="AH64" s="47">
        <f t="shared" si="2"/>
        <v>28.3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5.2</v>
      </c>
      <c r="I65" s="67">
        <v>3.5</v>
      </c>
      <c r="J65" s="67">
        <v>5.4</v>
      </c>
      <c r="K65" s="67">
        <v>3.8</v>
      </c>
      <c r="L65" s="67">
        <v>0</v>
      </c>
      <c r="M65" s="67">
        <v>0</v>
      </c>
      <c r="N65" s="67">
        <v>0</v>
      </c>
      <c r="O65" s="67">
        <v>0</v>
      </c>
      <c r="P65" s="67">
        <v>3</v>
      </c>
      <c r="Q65" s="45">
        <v>7.7</v>
      </c>
      <c r="R65" s="45">
        <v>9.9</v>
      </c>
      <c r="S65" s="67">
        <v>10.3</v>
      </c>
      <c r="T65" s="67">
        <v>10.199999999999999</v>
      </c>
      <c r="U65" s="67">
        <v>10.199999999999999</v>
      </c>
      <c r="V65" s="67">
        <v>9.8000000000000007</v>
      </c>
      <c r="W65" s="67">
        <v>5.5</v>
      </c>
      <c r="X65" s="67">
        <v>5.8</v>
      </c>
      <c r="Y65" s="67">
        <v>5.8</v>
      </c>
      <c r="Z65" s="67">
        <v>6</v>
      </c>
      <c r="AA65" s="67">
        <v>5.0999999999999996</v>
      </c>
      <c r="AB65" s="67">
        <v>5.0999999999999996</v>
      </c>
      <c r="AC65" s="67">
        <v>1.4</v>
      </c>
      <c r="AD65" s="67">
        <v>1.2</v>
      </c>
      <c r="AE65" s="67">
        <v>0</v>
      </c>
      <c r="AF65" s="67">
        <v>0</v>
      </c>
      <c r="AG65" s="68">
        <v>14</v>
      </c>
      <c r="AH65" s="47">
        <f t="shared" si="2"/>
        <v>10.3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f t="shared" ref="B66:L66" si="14">B63+B64+B65</f>
        <v>0</v>
      </c>
      <c r="C66" s="60">
        <f t="shared" si="14"/>
        <v>0</v>
      </c>
      <c r="D66" s="60">
        <f t="shared" si="14"/>
        <v>0</v>
      </c>
      <c r="E66" s="60">
        <f t="shared" si="14"/>
        <v>0</v>
      </c>
      <c r="F66" s="60">
        <f t="shared" si="14"/>
        <v>0</v>
      </c>
      <c r="G66" s="60">
        <f t="shared" si="14"/>
        <v>26.3</v>
      </c>
      <c r="H66" s="60">
        <f t="shared" si="14"/>
        <v>50</v>
      </c>
      <c r="I66" s="60">
        <f t="shared" si="14"/>
        <v>34.4</v>
      </c>
      <c r="J66" s="60">
        <f t="shared" si="14"/>
        <v>50.1</v>
      </c>
      <c r="K66" s="60">
        <f t="shared" si="14"/>
        <v>34.1</v>
      </c>
      <c r="L66" s="60">
        <f t="shared" si="14"/>
        <v>0</v>
      </c>
      <c r="M66" s="60">
        <f t="shared" ref="M66:AF66" si="15">M63+M64+M65</f>
        <v>0</v>
      </c>
      <c r="N66" s="60">
        <f t="shared" si="15"/>
        <v>0</v>
      </c>
      <c r="O66" s="60">
        <f t="shared" si="15"/>
        <v>0</v>
      </c>
      <c r="P66" s="60">
        <f t="shared" si="15"/>
        <v>31.3</v>
      </c>
      <c r="Q66" s="60">
        <f t="shared" si="15"/>
        <v>78.7</v>
      </c>
      <c r="R66" s="60">
        <f t="shared" si="15"/>
        <v>96.800000000000011</v>
      </c>
      <c r="S66" s="60">
        <f t="shared" si="15"/>
        <v>98.899999999999991</v>
      </c>
      <c r="T66" s="60">
        <f t="shared" si="15"/>
        <v>98.2</v>
      </c>
      <c r="U66" s="60">
        <f t="shared" si="15"/>
        <v>98.2</v>
      </c>
      <c r="V66" s="60">
        <f t="shared" si="15"/>
        <v>96.8</v>
      </c>
      <c r="W66" s="60">
        <f t="shared" si="15"/>
        <v>49.599999999999994</v>
      </c>
      <c r="X66" s="60">
        <f t="shared" si="15"/>
        <v>61.8</v>
      </c>
      <c r="Y66" s="60">
        <v>71.8</v>
      </c>
      <c r="Z66" s="60">
        <f t="shared" si="15"/>
        <v>62</v>
      </c>
      <c r="AA66" s="60">
        <f t="shared" si="15"/>
        <v>53.6</v>
      </c>
      <c r="AB66" s="60">
        <f t="shared" si="15"/>
        <v>29.700000000000003</v>
      </c>
      <c r="AC66" s="60">
        <f t="shared" si="15"/>
        <v>15.4</v>
      </c>
      <c r="AD66" s="60">
        <f t="shared" ref="AD66" si="16">AD63+AD64+AD65</f>
        <v>14.799999999999999</v>
      </c>
      <c r="AE66" s="60">
        <f t="shared" si="15"/>
        <v>0</v>
      </c>
      <c r="AF66" s="60">
        <f t="shared" si="15"/>
        <v>0</v>
      </c>
      <c r="AG66" s="61">
        <f>SUM(AG63:AG65)</f>
        <v>106</v>
      </c>
      <c r="AH66" s="47">
        <f t="shared" si="2"/>
        <v>98.899999999999991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63.5</v>
      </c>
      <c r="C67" s="45">
        <v>67.099999999999994</v>
      </c>
      <c r="D67" s="45">
        <v>64</v>
      </c>
      <c r="E67" s="45">
        <v>62</v>
      </c>
      <c r="F67" s="45">
        <v>65.7</v>
      </c>
      <c r="G67" s="45">
        <v>65</v>
      </c>
      <c r="H67" s="45">
        <v>63</v>
      </c>
      <c r="I67" s="45">
        <v>66</v>
      </c>
      <c r="J67" s="45">
        <v>69.3</v>
      </c>
      <c r="K67" s="45">
        <v>64.8</v>
      </c>
      <c r="L67" s="45">
        <v>58.5</v>
      </c>
      <c r="M67" s="45">
        <v>62.6</v>
      </c>
      <c r="N67" s="45">
        <v>57.5</v>
      </c>
      <c r="O67" s="45">
        <v>65</v>
      </c>
      <c r="P67" s="45">
        <v>68</v>
      </c>
      <c r="Q67" s="45">
        <v>69</v>
      </c>
      <c r="R67" s="45">
        <v>60.9</v>
      </c>
      <c r="S67" s="45">
        <v>54.8</v>
      </c>
      <c r="T67" s="45">
        <v>68.8</v>
      </c>
      <c r="U67" s="45">
        <v>69</v>
      </c>
      <c r="V67" s="45">
        <v>69.5</v>
      </c>
      <c r="W67" s="45">
        <v>58.9</v>
      </c>
      <c r="X67" s="45">
        <v>71</v>
      </c>
      <c r="Y67" s="45">
        <v>62.4</v>
      </c>
      <c r="Z67" s="45">
        <v>63</v>
      </c>
      <c r="AA67" s="45">
        <v>63.7</v>
      </c>
      <c r="AB67" s="45">
        <v>64.3</v>
      </c>
      <c r="AC67" s="45">
        <v>64.400000000000006</v>
      </c>
      <c r="AD67" s="45">
        <v>72</v>
      </c>
      <c r="AE67" s="45">
        <v>65.8</v>
      </c>
      <c r="AF67" s="45">
        <v>35.9</v>
      </c>
      <c r="AG67" s="51"/>
      <c r="AH67" s="47">
        <f t="shared" si="2"/>
        <v>72</v>
      </c>
      <c r="AI67" s="48">
        <f t="shared" si="3"/>
        <v>35.9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336</v>
      </c>
      <c r="C69" s="65">
        <v>342.2</v>
      </c>
      <c r="D69" s="65">
        <v>339</v>
      </c>
      <c r="E69" s="65">
        <v>325</v>
      </c>
      <c r="F69" s="65">
        <v>344</v>
      </c>
      <c r="G69" s="65">
        <v>339</v>
      </c>
      <c r="H69" s="65">
        <v>345</v>
      </c>
      <c r="I69" s="65">
        <v>337</v>
      </c>
      <c r="J69" s="65">
        <v>316</v>
      </c>
      <c r="K69" s="65">
        <v>285.10000000000002</v>
      </c>
      <c r="L69" s="65">
        <v>291</v>
      </c>
      <c r="M69" s="65">
        <v>279.10000000000002</v>
      </c>
      <c r="N69" s="65">
        <v>304.8</v>
      </c>
      <c r="O69" s="65">
        <v>298.2</v>
      </c>
      <c r="P69" s="65">
        <v>308</v>
      </c>
      <c r="Q69" s="65">
        <v>355</v>
      </c>
      <c r="R69" s="65">
        <v>323.2</v>
      </c>
      <c r="S69" s="65">
        <v>351</v>
      </c>
      <c r="T69" s="65">
        <v>349</v>
      </c>
      <c r="U69" s="65">
        <v>324</v>
      </c>
      <c r="V69" s="65">
        <v>346</v>
      </c>
      <c r="W69" s="65">
        <v>360</v>
      </c>
      <c r="X69" s="65">
        <v>292</v>
      </c>
      <c r="Y69" s="65">
        <v>145</v>
      </c>
      <c r="Z69" s="65">
        <v>46</v>
      </c>
      <c r="AA69" s="65">
        <v>40.200000000000003</v>
      </c>
      <c r="AB69" s="65">
        <v>274.3</v>
      </c>
      <c r="AC69" s="65">
        <v>280.8</v>
      </c>
      <c r="AD69" s="65">
        <v>305</v>
      </c>
      <c r="AE69" s="65">
        <v>335</v>
      </c>
      <c r="AF69" s="65">
        <v>340.4</v>
      </c>
      <c r="AG69" s="75"/>
      <c r="AH69" s="47">
        <f t="shared" si="2"/>
        <v>360</v>
      </c>
      <c r="AI69" s="48">
        <f t="shared" si="3"/>
        <v>40.200000000000003</v>
      </c>
      <c r="AK69" s="49"/>
    </row>
    <row r="70" spans="1:40" x14ac:dyDescent="0.25">
      <c r="A70" s="53" t="s">
        <v>78</v>
      </c>
      <c r="B70" s="76">
        <v>61</v>
      </c>
      <c r="C70" s="76">
        <v>60.8</v>
      </c>
      <c r="D70" s="76">
        <v>61.9</v>
      </c>
      <c r="E70" s="76">
        <v>61.7</v>
      </c>
      <c r="F70" s="76">
        <v>52.1</v>
      </c>
      <c r="G70" s="76">
        <v>61.1</v>
      </c>
      <c r="H70" s="76">
        <v>55</v>
      </c>
      <c r="I70" s="76">
        <v>62.7</v>
      </c>
      <c r="J70" s="76">
        <v>46.6</v>
      </c>
      <c r="K70" s="76">
        <v>43.2</v>
      </c>
      <c r="L70" s="76">
        <v>36.200000000000003</v>
      </c>
      <c r="M70" s="76">
        <v>39.1</v>
      </c>
      <c r="N70" s="76">
        <v>36.700000000000003</v>
      </c>
      <c r="O70" s="76">
        <v>34.9</v>
      </c>
      <c r="P70" s="76">
        <v>33.799999999999997</v>
      </c>
      <c r="Q70" s="76">
        <v>36.9</v>
      </c>
      <c r="R70" s="76">
        <v>60.1</v>
      </c>
      <c r="S70" s="76">
        <v>66</v>
      </c>
      <c r="T70" s="76">
        <v>59.7</v>
      </c>
      <c r="U70" s="76">
        <v>68.2</v>
      </c>
      <c r="V70" s="76">
        <v>56</v>
      </c>
      <c r="W70" s="76">
        <v>46</v>
      </c>
      <c r="X70" s="76">
        <v>46</v>
      </c>
      <c r="Y70" s="65">
        <v>47.8</v>
      </c>
      <c r="Z70" s="65">
        <v>50</v>
      </c>
      <c r="AA70" s="65">
        <v>50</v>
      </c>
      <c r="AB70" s="65">
        <v>54.4</v>
      </c>
      <c r="AC70" s="65">
        <v>54.6</v>
      </c>
      <c r="AD70" s="65">
        <v>51.2</v>
      </c>
      <c r="AE70" s="65">
        <v>43.1</v>
      </c>
      <c r="AF70" s="65">
        <v>50.4</v>
      </c>
      <c r="AG70" s="75"/>
      <c r="AH70" s="47">
        <f t="shared" si="2"/>
        <v>68.2</v>
      </c>
      <c r="AI70" s="48">
        <f t="shared" si="3"/>
        <v>33.799999999999997</v>
      </c>
      <c r="AK70" s="49"/>
    </row>
    <row r="71" spans="1:40" x14ac:dyDescent="0.25">
      <c r="A71" s="53" t="s">
        <v>79</v>
      </c>
      <c r="B71" s="45">
        <v>20</v>
      </c>
      <c r="C71" s="45">
        <v>24</v>
      </c>
      <c r="D71" s="45">
        <v>24</v>
      </c>
      <c r="E71" s="45">
        <v>24</v>
      </c>
      <c r="F71" s="45">
        <v>24</v>
      </c>
      <c r="G71" s="45">
        <v>25</v>
      </c>
      <c r="H71" s="45">
        <v>25</v>
      </c>
      <c r="I71" s="45">
        <v>25</v>
      </c>
      <c r="J71" s="45">
        <v>25</v>
      </c>
      <c r="K71" s="45">
        <v>25</v>
      </c>
      <c r="L71" s="45">
        <v>70</v>
      </c>
      <c r="M71" s="45">
        <v>69</v>
      </c>
      <c r="N71" s="45">
        <v>65</v>
      </c>
      <c r="O71" s="45">
        <v>66</v>
      </c>
      <c r="P71" s="45">
        <v>72</v>
      </c>
      <c r="Q71" s="45">
        <v>21</v>
      </c>
      <c r="R71" s="45">
        <v>21</v>
      </c>
      <c r="S71" s="45">
        <v>21</v>
      </c>
      <c r="T71" s="45">
        <v>21</v>
      </c>
      <c r="U71" s="45">
        <v>21</v>
      </c>
      <c r="V71" s="45">
        <v>30</v>
      </c>
      <c r="W71" s="45">
        <v>30</v>
      </c>
      <c r="X71" s="45">
        <v>30</v>
      </c>
      <c r="Y71" s="45">
        <v>61</v>
      </c>
      <c r="Z71" s="45">
        <v>61</v>
      </c>
      <c r="AA71" s="45">
        <v>61</v>
      </c>
      <c r="AB71" s="45">
        <v>60</v>
      </c>
      <c r="AC71" s="45">
        <v>51</v>
      </c>
      <c r="AD71" s="45">
        <v>28</v>
      </c>
      <c r="AE71" s="45">
        <v>25</v>
      </c>
      <c r="AF71" s="45">
        <v>25</v>
      </c>
      <c r="AG71" s="75"/>
      <c r="AH71" s="47">
        <f t="shared" si="2"/>
        <v>72</v>
      </c>
      <c r="AI71" s="48">
        <f t="shared" si="3"/>
        <v>20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0</v>
      </c>
      <c r="AG72" s="75"/>
      <c r="AH72" s="47">
        <f t="shared" si="2"/>
        <v>5</v>
      </c>
      <c r="AI72" s="48">
        <f t="shared" si="3"/>
        <v>0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17">MAX(B75:AF75)</f>
        <v>0</v>
      </c>
      <c r="AI75" s="48">
        <f t="shared" ref="AI75:AI113" si="18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17"/>
        <v>0</v>
      </c>
      <c r="AI76" s="48">
        <f t="shared" si="18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17"/>
        <v>0</v>
      </c>
      <c r="AI77" s="48">
        <f t="shared" si="18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F78" si="19">SUMIF(B67:B77,"&gt;0")</f>
        <v>485.5</v>
      </c>
      <c r="C78" s="60">
        <f t="shared" si="19"/>
        <v>499.09999999999997</v>
      </c>
      <c r="D78" s="60">
        <f t="shared" si="19"/>
        <v>493.9</v>
      </c>
      <c r="E78" s="60">
        <f t="shared" si="19"/>
        <v>477.7</v>
      </c>
      <c r="F78" s="60">
        <f t="shared" si="19"/>
        <v>490.8</v>
      </c>
      <c r="G78" s="60">
        <f t="shared" si="19"/>
        <v>495.1</v>
      </c>
      <c r="H78" s="60">
        <f t="shared" si="19"/>
        <v>493</v>
      </c>
      <c r="I78" s="60">
        <f t="shared" si="19"/>
        <v>495.7</v>
      </c>
      <c r="J78" s="60">
        <f t="shared" si="19"/>
        <v>461.90000000000003</v>
      </c>
      <c r="K78" s="60">
        <f t="shared" si="19"/>
        <v>423.1</v>
      </c>
      <c r="L78" s="60">
        <f t="shared" si="19"/>
        <v>460.7</v>
      </c>
      <c r="M78" s="60">
        <f t="shared" si="19"/>
        <v>454.80000000000007</v>
      </c>
      <c r="N78" s="60">
        <f t="shared" si="19"/>
        <v>469</v>
      </c>
      <c r="O78" s="60">
        <f t="shared" si="19"/>
        <v>469.09999999999997</v>
      </c>
      <c r="P78" s="60">
        <f t="shared" si="19"/>
        <v>486.8</v>
      </c>
      <c r="Q78" s="60">
        <f t="shared" si="19"/>
        <v>486.9</v>
      </c>
      <c r="R78" s="60">
        <f t="shared" si="19"/>
        <v>470.2</v>
      </c>
      <c r="S78" s="60">
        <f t="shared" si="19"/>
        <v>497.8</v>
      </c>
      <c r="T78" s="60">
        <f t="shared" si="19"/>
        <v>503.5</v>
      </c>
      <c r="U78" s="60">
        <f t="shared" si="19"/>
        <v>487.2</v>
      </c>
      <c r="V78" s="60">
        <f t="shared" si="19"/>
        <v>506.5</v>
      </c>
      <c r="W78" s="60">
        <f t="shared" si="19"/>
        <v>499.9</v>
      </c>
      <c r="X78" s="60">
        <f t="shared" si="19"/>
        <v>444</v>
      </c>
      <c r="Y78" s="60">
        <v>321.2</v>
      </c>
      <c r="Z78" s="60">
        <f t="shared" si="19"/>
        <v>225</v>
      </c>
      <c r="AA78" s="60">
        <f t="shared" si="19"/>
        <v>219.9</v>
      </c>
      <c r="AB78" s="60">
        <f t="shared" si="19"/>
        <v>458</v>
      </c>
      <c r="AC78" s="60">
        <f t="shared" si="19"/>
        <v>455.80000000000007</v>
      </c>
      <c r="AD78" s="60">
        <f t="shared" ref="AD78" si="20">SUMIF(AD67:AD77,"&gt;0")</f>
        <v>461.2</v>
      </c>
      <c r="AE78" s="60">
        <f t="shared" si="19"/>
        <v>473.90000000000003</v>
      </c>
      <c r="AF78" s="60">
        <f t="shared" si="19"/>
        <v>451.69999999999993</v>
      </c>
      <c r="AG78" s="88">
        <f>SUM(AG67:AG77)</f>
        <v>0</v>
      </c>
      <c r="AH78" s="47">
        <f t="shared" si="17"/>
        <v>506.5</v>
      </c>
      <c r="AI78" s="48">
        <f t="shared" si="18"/>
        <v>219.9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17"/>
        <v>0</v>
      </c>
      <c r="AI79" s="48">
        <f t="shared" si="18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17"/>
        <v>0</v>
      </c>
      <c r="AI80" s="48">
        <f t="shared" si="18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17"/>
        <v>0</v>
      </c>
      <c r="AI81" s="48">
        <f t="shared" si="18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>
        <v>0</v>
      </c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17"/>
        <v>0</v>
      </c>
      <c r="AI82" s="48">
        <f t="shared" si="18"/>
        <v>0</v>
      </c>
    </row>
    <row r="83" spans="1:37" ht="15.75" thickBot="1" x14ac:dyDescent="0.3">
      <c r="A83" s="74" t="s">
        <v>94</v>
      </c>
      <c r="B83" s="95">
        <f>B44+B48+B66+B62+B78+B82</f>
        <v>1059.3399999999999</v>
      </c>
      <c r="C83" s="95">
        <f t="shared" ref="C83:AG83" si="21">C44+C48+C66+C62+C78+C82</f>
        <v>1055.54</v>
      </c>
      <c r="D83" s="95">
        <f t="shared" si="21"/>
        <v>1037.24</v>
      </c>
      <c r="E83" s="95">
        <f t="shared" si="21"/>
        <v>1013.04</v>
      </c>
      <c r="F83" s="95">
        <f t="shared" si="21"/>
        <v>1055.74</v>
      </c>
      <c r="G83" s="95">
        <f t="shared" si="21"/>
        <v>1109.6399999999999</v>
      </c>
      <c r="H83" s="95">
        <f t="shared" si="21"/>
        <v>1181.94</v>
      </c>
      <c r="I83" s="95">
        <f t="shared" si="21"/>
        <v>1214.1399999999999</v>
      </c>
      <c r="J83" s="95">
        <f t="shared" si="21"/>
        <v>1275.8399999999999</v>
      </c>
      <c r="K83" s="95">
        <f t="shared" si="21"/>
        <v>1244.8400000000001</v>
      </c>
      <c r="L83" s="95">
        <f t="shared" si="21"/>
        <v>1294.3399999999999</v>
      </c>
      <c r="M83" s="95">
        <f t="shared" si="21"/>
        <v>1307.3400000000001</v>
      </c>
      <c r="N83" s="95">
        <f t="shared" si="21"/>
        <v>1246.54</v>
      </c>
      <c r="O83" s="95">
        <f t="shared" si="21"/>
        <v>1286.6399999999999</v>
      </c>
      <c r="P83" s="95">
        <f t="shared" si="21"/>
        <v>1230.4399999999998</v>
      </c>
      <c r="Q83" s="95">
        <f t="shared" si="21"/>
        <v>1291.04</v>
      </c>
      <c r="R83" s="95">
        <f t="shared" si="21"/>
        <v>1318.54</v>
      </c>
      <c r="S83" s="95">
        <f t="shared" si="21"/>
        <v>1328.24</v>
      </c>
      <c r="T83" s="95">
        <f t="shared" si="21"/>
        <v>1317.54</v>
      </c>
      <c r="U83" s="95">
        <f t="shared" si="21"/>
        <v>1328.64</v>
      </c>
      <c r="V83" s="95">
        <f t="shared" si="21"/>
        <v>1301.4399999999998</v>
      </c>
      <c r="W83" s="95">
        <f t="shared" si="21"/>
        <v>1217.6399999999999</v>
      </c>
      <c r="X83" s="95">
        <f t="shared" si="21"/>
        <v>1232.3399999999999</v>
      </c>
      <c r="Y83" s="95">
        <v>1394.34</v>
      </c>
      <c r="Z83" s="95">
        <f t="shared" si="21"/>
        <v>1371.54</v>
      </c>
      <c r="AA83" s="95">
        <f t="shared" si="21"/>
        <v>1320.7400000000002</v>
      </c>
      <c r="AB83" s="95">
        <f t="shared" si="21"/>
        <v>1246.74</v>
      </c>
      <c r="AC83" s="95">
        <f t="shared" si="21"/>
        <v>1194.6399999999999</v>
      </c>
      <c r="AD83" s="95">
        <f t="shared" ref="AD83" si="22">AD44+AD48+AD66+AD62+AD78+AD82</f>
        <v>1163.94</v>
      </c>
      <c r="AE83" s="95">
        <f t="shared" si="21"/>
        <v>1161.04</v>
      </c>
      <c r="AF83" s="95">
        <f t="shared" si="21"/>
        <v>1060.8399999999997</v>
      </c>
      <c r="AG83" s="61">
        <f t="shared" si="21"/>
        <v>2004.1900000000003</v>
      </c>
      <c r="AH83" s="47">
        <f>MAX(B83:AF83)</f>
        <v>1394.34</v>
      </c>
      <c r="AI83" s="48">
        <f>MIN(B83:AF83)</f>
        <v>1013.04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>
        <v>150</v>
      </c>
      <c r="N84" s="97">
        <v>120</v>
      </c>
      <c r="O84" s="97">
        <v>100</v>
      </c>
      <c r="P84" s="97">
        <v>80</v>
      </c>
      <c r="Q84" s="97">
        <v>20</v>
      </c>
      <c r="R84" s="97"/>
      <c r="S84" s="97"/>
      <c r="T84" s="97"/>
      <c r="U84" s="97"/>
      <c r="V84" s="97"/>
      <c r="W84" s="97">
        <v>175</v>
      </c>
      <c r="X84" s="97">
        <v>175</v>
      </c>
      <c r="Y84" s="97">
        <v>175</v>
      </c>
      <c r="Z84" s="97">
        <v>175</v>
      </c>
      <c r="AA84" s="97">
        <v>175</v>
      </c>
      <c r="AB84" s="97">
        <v>150</v>
      </c>
      <c r="AC84" s="97">
        <v>130</v>
      </c>
      <c r="AD84" s="97">
        <v>131</v>
      </c>
      <c r="AE84" s="97"/>
      <c r="AF84" s="97"/>
      <c r="AG84" s="88"/>
      <c r="AH84" s="47">
        <f t="shared" si="17"/>
        <v>175</v>
      </c>
      <c r="AI84" s="48">
        <f t="shared" si="18"/>
        <v>20</v>
      </c>
    </row>
    <row r="85" spans="1:37" ht="15.75" thickBot="1" x14ac:dyDescent="0.3">
      <c r="A85" s="74" t="s">
        <v>96</v>
      </c>
      <c r="B85" s="95">
        <f>B83+B84</f>
        <v>1059.3399999999999</v>
      </c>
      <c r="C85" s="95">
        <f t="shared" ref="C85:AF85" si="23">C83+C84</f>
        <v>1055.54</v>
      </c>
      <c r="D85" s="95">
        <f t="shared" si="23"/>
        <v>1037.24</v>
      </c>
      <c r="E85" s="95">
        <f t="shared" si="23"/>
        <v>1013.04</v>
      </c>
      <c r="F85" s="95">
        <f t="shared" si="23"/>
        <v>1055.74</v>
      </c>
      <c r="G85" s="95">
        <f t="shared" si="23"/>
        <v>1109.6399999999999</v>
      </c>
      <c r="H85" s="95">
        <f t="shared" si="23"/>
        <v>1181.94</v>
      </c>
      <c r="I85" s="95">
        <f t="shared" si="23"/>
        <v>1214.1399999999999</v>
      </c>
      <c r="J85" s="95">
        <f t="shared" si="23"/>
        <v>1275.8399999999999</v>
      </c>
      <c r="K85" s="95">
        <f t="shared" si="23"/>
        <v>1244.8400000000001</v>
      </c>
      <c r="L85" s="95">
        <f t="shared" si="23"/>
        <v>1294.3399999999999</v>
      </c>
      <c r="M85" s="95">
        <f t="shared" si="23"/>
        <v>1457.3400000000001</v>
      </c>
      <c r="N85" s="95">
        <f t="shared" si="23"/>
        <v>1366.54</v>
      </c>
      <c r="O85" s="95">
        <f t="shared" si="23"/>
        <v>1386.6399999999999</v>
      </c>
      <c r="P85" s="95">
        <f t="shared" si="23"/>
        <v>1310.4399999999998</v>
      </c>
      <c r="Q85" s="95">
        <f t="shared" si="23"/>
        <v>1311.04</v>
      </c>
      <c r="R85" s="95">
        <f t="shared" si="23"/>
        <v>1318.54</v>
      </c>
      <c r="S85" s="95">
        <f t="shared" si="23"/>
        <v>1328.24</v>
      </c>
      <c r="T85" s="95">
        <f t="shared" si="23"/>
        <v>1317.54</v>
      </c>
      <c r="U85" s="95">
        <f t="shared" si="23"/>
        <v>1328.64</v>
      </c>
      <c r="V85" s="95">
        <f t="shared" si="23"/>
        <v>1301.4399999999998</v>
      </c>
      <c r="W85" s="95">
        <f t="shared" si="23"/>
        <v>1392.6399999999999</v>
      </c>
      <c r="X85" s="95">
        <f t="shared" si="23"/>
        <v>1407.34</v>
      </c>
      <c r="Y85" s="95">
        <v>1569.3</v>
      </c>
      <c r="Z85" s="95">
        <f t="shared" si="23"/>
        <v>1546.54</v>
      </c>
      <c r="AA85" s="95">
        <f t="shared" si="23"/>
        <v>1495.7400000000002</v>
      </c>
      <c r="AB85" s="95">
        <f t="shared" si="23"/>
        <v>1396.74</v>
      </c>
      <c r="AC85" s="95">
        <f t="shared" si="23"/>
        <v>1324.6399999999999</v>
      </c>
      <c r="AD85" s="95">
        <f t="shared" ref="AD85" si="24">AD83+AD84</f>
        <v>1294.94</v>
      </c>
      <c r="AE85" s="95">
        <f t="shared" si="23"/>
        <v>1161.04</v>
      </c>
      <c r="AF85" s="95">
        <f t="shared" si="23"/>
        <v>1060.8399999999997</v>
      </c>
      <c r="AG85" s="88">
        <f>AG82+AG78+AG66+AG62+AG44+AG84</f>
        <v>1466.0900000000001</v>
      </c>
      <c r="AH85" s="47">
        <f t="shared" si="17"/>
        <v>1569.3</v>
      </c>
      <c r="AI85" s="48">
        <f t="shared" si="18"/>
        <v>1013.04</v>
      </c>
    </row>
    <row r="86" spans="1:37" ht="15.75" thickBot="1" x14ac:dyDescent="0.3">
      <c r="A86" s="74" t="s">
        <v>97</v>
      </c>
      <c r="B86" s="95">
        <f t="shared" ref="B86:AF86" si="25">B85-B93</f>
        <v>1059.3399999999999</v>
      </c>
      <c r="C86" s="95">
        <f t="shared" si="25"/>
        <v>1055.54</v>
      </c>
      <c r="D86" s="95">
        <f t="shared" si="25"/>
        <v>1037.24</v>
      </c>
      <c r="E86" s="95">
        <f t="shared" si="25"/>
        <v>1013.04</v>
      </c>
      <c r="F86" s="95">
        <f t="shared" si="25"/>
        <v>1055.74</v>
      </c>
      <c r="G86" s="95">
        <f t="shared" si="25"/>
        <v>1109.6399999999999</v>
      </c>
      <c r="H86" s="95">
        <f t="shared" si="25"/>
        <v>1181.94</v>
      </c>
      <c r="I86" s="95">
        <f t="shared" si="25"/>
        <v>1214.1399999999999</v>
      </c>
      <c r="J86" s="95">
        <f t="shared" si="25"/>
        <v>1275.8399999999999</v>
      </c>
      <c r="K86" s="95">
        <f t="shared" si="25"/>
        <v>1244.8400000000001</v>
      </c>
      <c r="L86" s="95">
        <f t="shared" si="25"/>
        <v>1294.3399999999999</v>
      </c>
      <c r="M86" s="95">
        <f t="shared" si="25"/>
        <v>1457.3400000000001</v>
      </c>
      <c r="N86" s="95">
        <f t="shared" si="25"/>
        <v>1366.54</v>
      </c>
      <c r="O86" s="95">
        <f t="shared" si="25"/>
        <v>1386.6399999999999</v>
      </c>
      <c r="P86" s="95">
        <f t="shared" si="25"/>
        <v>1310.4399999999998</v>
      </c>
      <c r="Q86" s="95">
        <f t="shared" si="25"/>
        <v>1311.04</v>
      </c>
      <c r="R86" s="95">
        <f t="shared" si="25"/>
        <v>1318.54</v>
      </c>
      <c r="S86" s="95">
        <f t="shared" si="25"/>
        <v>1328.24</v>
      </c>
      <c r="T86" s="95">
        <f t="shared" si="25"/>
        <v>1317.54</v>
      </c>
      <c r="U86" s="95">
        <f t="shared" si="25"/>
        <v>1328.64</v>
      </c>
      <c r="V86" s="95">
        <f t="shared" si="25"/>
        <v>1301.4399999999998</v>
      </c>
      <c r="W86" s="95">
        <f t="shared" si="25"/>
        <v>1392.6399999999999</v>
      </c>
      <c r="X86" s="95">
        <f t="shared" si="25"/>
        <v>1407.34</v>
      </c>
      <c r="Y86" s="95">
        <v>1569.3</v>
      </c>
      <c r="Z86" s="95">
        <f t="shared" si="25"/>
        <v>1546.54</v>
      </c>
      <c r="AA86" s="95">
        <f t="shared" si="25"/>
        <v>1495.7400000000002</v>
      </c>
      <c r="AB86" s="95">
        <f t="shared" si="25"/>
        <v>1396.74</v>
      </c>
      <c r="AC86" s="95">
        <f t="shared" si="25"/>
        <v>1324.6399999999999</v>
      </c>
      <c r="AD86" s="95">
        <f t="shared" ref="AD86" si="26">AD85-AD93</f>
        <v>1294.94</v>
      </c>
      <c r="AE86" s="95">
        <f t="shared" si="25"/>
        <v>1161.04</v>
      </c>
      <c r="AF86" s="95">
        <f t="shared" si="25"/>
        <v>1060.8399999999997</v>
      </c>
      <c r="AG86" s="88"/>
      <c r="AH86" s="47">
        <f t="shared" si="17"/>
        <v>1569.3</v>
      </c>
      <c r="AI86" s="48">
        <f t="shared" si="18"/>
        <v>1013.04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17"/>
        <v>0</v>
      </c>
      <c r="AI87" s="48">
        <f t="shared" si="18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17"/>
        <v>0</v>
      </c>
      <c r="AI88" s="48">
        <f t="shared" si="18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17"/>
        <v>0</v>
      </c>
      <c r="AI89" s="48">
        <f t="shared" si="18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17"/>
        <v>0</v>
      </c>
      <c r="AI90" s="48">
        <f t="shared" si="18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17"/>
        <v>0</v>
      </c>
      <c r="AI91" s="48">
        <f t="shared" si="18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17"/>
        <v>0</v>
      </c>
      <c r="AI92" s="48">
        <f t="shared" si="18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>
        <v>0</v>
      </c>
      <c r="Z93" s="60"/>
      <c r="AA93" s="60"/>
      <c r="AB93" s="60"/>
      <c r="AC93" s="60"/>
      <c r="AD93" s="60"/>
      <c r="AE93" s="60"/>
      <c r="AF93" s="60"/>
      <c r="AG93" s="88"/>
      <c r="AH93" s="47">
        <f t="shared" si="17"/>
        <v>0</v>
      </c>
      <c r="AI93" s="48">
        <f t="shared" si="18"/>
        <v>0</v>
      </c>
      <c r="AK93" s="49"/>
    </row>
    <row r="94" spans="1:37" ht="15.75" thickBot="1" x14ac:dyDescent="0.3">
      <c r="A94" s="74" t="s">
        <v>102</v>
      </c>
      <c r="B94" s="60">
        <f t="shared" ref="B94:AF94" si="27">B78-B93</f>
        <v>485.5</v>
      </c>
      <c r="C94" s="60">
        <f t="shared" si="27"/>
        <v>499.09999999999997</v>
      </c>
      <c r="D94" s="60">
        <f t="shared" si="27"/>
        <v>493.9</v>
      </c>
      <c r="E94" s="60">
        <f t="shared" si="27"/>
        <v>477.7</v>
      </c>
      <c r="F94" s="60">
        <f t="shared" si="27"/>
        <v>490.8</v>
      </c>
      <c r="G94" s="60">
        <f t="shared" si="27"/>
        <v>495.1</v>
      </c>
      <c r="H94" s="60">
        <f t="shared" si="27"/>
        <v>493</v>
      </c>
      <c r="I94" s="60">
        <f t="shared" si="27"/>
        <v>495.7</v>
      </c>
      <c r="J94" s="60">
        <f t="shared" si="27"/>
        <v>461.90000000000003</v>
      </c>
      <c r="K94" s="60">
        <f t="shared" si="27"/>
        <v>423.1</v>
      </c>
      <c r="L94" s="60">
        <f t="shared" si="27"/>
        <v>460.7</v>
      </c>
      <c r="M94" s="60">
        <f t="shared" si="27"/>
        <v>454.80000000000007</v>
      </c>
      <c r="N94" s="60">
        <f t="shared" si="27"/>
        <v>469</v>
      </c>
      <c r="O94" s="60">
        <f t="shared" si="27"/>
        <v>469.09999999999997</v>
      </c>
      <c r="P94" s="60">
        <f t="shared" si="27"/>
        <v>486.8</v>
      </c>
      <c r="Q94" s="60">
        <f t="shared" si="27"/>
        <v>486.9</v>
      </c>
      <c r="R94" s="60">
        <f t="shared" si="27"/>
        <v>470.2</v>
      </c>
      <c r="S94" s="60">
        <f t="shared" si="27"/>
        <v>497.8</v>
      </c>
      <c r="T94" s="60">
        <f t="shared" si="27"/>
        <v>503.5</v>
      </c>
      <c r="U94" s="60">
        <f t="shared" si="27"/>
        <v>487.2</v>
      </c>
      <c r="V94" s="60">
        <f t="shared" si="27"/>
        <v>506.5</v>
      </c>
      <c r="W94" s="60">
        <f t="shared" si="27"/>
        <v>499.9</v>
      </c>
      <c r="X94" s="60">
        <f t="shared" si="27"/>
        <v>444</v>
      </c>
      <c r="Y94" s="60">
        <v>321.2</v>
      </c>
      <c r="Z94" s="60">
        <f t="shared" si="27"/>
        <v>225</v>
      </c>
      <c r="AA94" s="60">
        <f t="shared" si="27"/>
        <v>219.9</v>
      </c>
      <c r="AB94" s="60">
        <f t="shared" si="27"/>
        <v>458</v>
      </c>
      <c r="AC94" s="60">
        <f t="shared" si="27"/>
        <v>455.80000000000007</v>
      </c>
      <c r="AD94" s="60">
        <f t="shared" ref="AD94" si="28">AD78-AD93</f>
        <v>461.2</v>
      </c>
      <c r="AE94" s="60">
        <f t="shared" si="27"/>
        <v>473.90000000000003</v>
      </c>
      <c r="AF94" s="60">
        <f t="shared" si="27"/>
        <v>451.69999999999993</v>
      </c>
      <c r="AG94" s="88"/>
      <c r="AH94" s="47">
        <f t="shared" si="17"/>
        <v>506.5</v>
      </c>
      <c r="AI94" s="48">
        <f t="shared" si="18"/>
        <v>219.9</v>
      </c>
    </row>
    <row r="95" spans="1:37" x14ac:dyDescent="0.25">
      <c r="A95" s="100" t="s">
        <v>103</v>
      </c>
      <c r="B95" s="101">
        <v>50.012999999999998</v>
      </c>
      <c r="C95" s="101">
        <v>50.008000000000003</v>
      </c>
      <c r="D95" s="101">
        <v>50.033999999999999</v>
      </c>
      <c r="E95" s="101">
        <v>49.981999999999999</v>
      </c>
      <c r="F95" s="101">
        <v>50.024000000000001</v>
      </c>
      <c r="G95" s="101">
        <v>49.97</v>
      </c>
      <c r="H95" s="101">
        <v>50.01</v>
      </c>
      <c r="I95" s="101">
        <v>50.06</v>
      </c>
      <c r="J95" s="101">
        <v>50.039000000000001</v>
      </c>
      <c r="K95" s="101">
        <v>49.99</v>
      </c>
      <c r="L95" s="101">
        <v>49.926000000000002</v>
      </c>
      <c r="M95" s="101">
        <v>50.142000000000003</v>
      </c>
      <c r="N95" s="101">
        <v>50.063000000000002</v>
      </c>
      <c r="O95" s="101">
        <v>50.015999999999998</v>
      </c>
      <c r="P95" s="101">
        <v>50.023000000000003</v>
      </c>
      <c r="Q95" s="101">
        <v>49.908000000000001</v>
      </c>
      <c r="R95" s="101">
        <v>50.384</v>
      </c>
      <c r="S95" s="101">
        <v>50.081000000000003</v>
      </c>
      <c r="T95" s="101">
        <v>50.017000000000003</v>
      </c>
      <c r="U95" s="101">
        <v>50.017000000000003</v>
      </c>
      <c r="V95" s="101">
        <v>50.017000000000003</v>
      </c>
      <c r="W95" s="101">
        <v>49.959000000000003</v>
      </c>
      <c r="X95" s="101">
        <v>50.072000000000003</v>
      </c>
      <c r="Y95" s="101">
        <v>50.04</v>
      </c>
      <c r="Z95" s="101">
        <v>49.981000000000002</v>
      </c>
      <c r="AA95" s="101">
        <v>49.881999999999998</v>
      </c>
      <c r="AB95" s="101">
        <v>50.116</v>
      </c>
      <c r="AC95" s="101">
        <v>49.933</v>
      </c>
      <c r="AD95" s="101">
        <v>49.99</v>
      </c>
      <c r="AE95" s="101">
        <v>49.98</v>
      </c>
      <c r="AF95" s="101">
        <v>49.93</v>
      </c>
      <c r="AG95" s="102"/>
      <c r="AH95" s="47">
        <f t="shared" si="17"/>
        <v>50.384</v>
      </c>
      <c r="AI95" s="48">
        <f t="shared" si="18"/>
        <v>49.881999999999998</v>
      </c>
    </row>
    <row r="96" spans="1:37" x14ac:dyDescent="0.25">
      <c r="A96" s="103" t="s">
        <v>104</v>
      </c>
      <c r="B96" s="65">
        <v>128.4</v>
      </c>
      <c r="C96" s="65">
        <v>129.9</v>
      </c>
      <c r="D96" s="65">
        <v>129</v>
      </c>
      <c r="E96" s="65">
        <v>129</v>
      </c>
      <c r="F96" s="65">
        <v>128.4</v>
      </c>
      <c r="G96" s="65">
        <v>128.30000000000001</v>
      </c>
      <c r="H96" s="65">
        <v>128.69999999999999</v>
      </c>
      <c r="I96" s="65">
        <v>129.1</v>
      </c>
      <c r="J96" s="65">
        <v>128</v>
      </c>
      <c r="K96" s="65">
        <v>128.6</v>
      </c>
      <c r="L96" s="65">
        <v>126.6</v>
      </c>
      <c r="M96" s="65">
        <v>125.5</v>
      </c>
      <c r="N96" s="65">
        <v>126.8</v>
      </c>
      <c r="O96" s="65">
        <v>126.8</v>
      </c>
      <c r="P96" s="65">
        <v>126.3</v>
      </c>
      <c r="Q96" s="65">
        <v>124.5</v>
      </c>
      <c r="R96" s="65">
        <v>127.4</v>
      </c>
      <c r="S96" s="65">
        <v>124.7</v>
      </c>
      <c r="T96" s="65">
        <v>126.5</v>
      </c>
      <c r="U96" s="65">
        <v>126.1</v>
      </c>
      <c r="V96" s="65">
        <v>126.1</v>
      </c>
      <c r="W96" s="65">
        <v>129.69999999999999</v>
      </c>
      <c r="X96" s="65">
        <v>130.4</v>
      </c>
      <c r="Y96" s="65">
        <v>128.30000000000001</v>
      </c>
      <c r="Z96" s="65">
        <v>128.9</v>
      </c>
      <c r="AA96" s="65">
        <v>129.4</v>
      </c>
      <c r="AB96" s="65">
        <v>128.5</v>
      </c>
      <c r="AC96" s="65">
        <v>129.6</v>
      </c>
      <c r="AD96" s="65">
        <v>129.5</v>
      </c>
      <c r="AE96" s="65">
        <v>126.7</v>
      </c>
      <c r="AF96" s="65">
        <v>126.7</v>
      </c>
      <c r="AG96" s="104"/>
      <c r="AH96" s="47">
        <f t="shared" si="17"/>
        <v>130.4</v>
      </c>
      <c r="AI96" s="48">
        <f t="shared" si="18"/>
        <v>124.5</v>
      </c>
    </row>
    <row r="97" spans="1:35" x14ac:dyDescent="0.25">
      <c r="A97" s="103" t="s">
        <v>105</v>
      </c>
      <c r="B97" s="65">
        <v>132.1</v>
      </c>
      <c r="C97" s="65">
        <v>133.69999999999999</v>
      </c>
      <c r="D97" s="65">
        <v>132.80000000000001</v>
      </c>
      <c r="E97" s="65">
        <v>132.80000000000001</v>
      </c>
      <c r="F97" s="65">
        <v>132.30000000000001</v>
      </c>
      <c r="G97" s="65">
        <v>131.80000000000001</v>
      </c>
      <c r="H97" s="65">
        <v>132.19999999999999</v>
      </c>
      <c r="I97" s="65">
        <v>131.6</v>
      </c>
      <c r="J97" s="65">
        <v>130.80000000000001</v>
      </c>
      <c r="K97" s="65">
        <v>130.19999999999999</v>
      </c>
      <c r="L97" s="65">
        <v>127.8</v>
      </c>
      <c r="M97" s="65">
        <v>127.7</v>
      </c>
      <c r="N97" s="65">
        <v>128.5</v>
      </c>
      <c r="O97" s="65">
        <v>128.6</v>
      </c>
      <c r="P97" s="65">
        <v>128.19999999999999</v>
      </c>
      <c r="Q97" s="65">
        <v>127.5</v>
      </c>
      <c r="R97" s="65">
        <v>129.4</v>
      </c>
      <c r="S97" s="65">
        <v>128</v>
      </c>
      <c r="T97" s="65">
        <v>129.4</v>
      </c>
      <c r="U97" s="65">
        <v>129.30000000000001</v>
      </c>
      <c r="V97" s="65">
        <v>129.30000000000001</v>
      </c>
      <c r="W97" s="65">
        <v>131.19999999999999</v>
      </c>
      <c r="X97" s="65">
        <v>131.80000000000001</v>
      </c>
      <c r="Y97" s="65">
        <v>129.9</v>
      </c>
      <c r="Z97" s="65">
        <v>130.4</v>
      </c>
      <c r="AA97" s="65">
        <v>131.1</v>
      </c>
      <c r="AB97" s="65">
        <v>130.19999999999999</v>
      </c>
      <c r="AC97" s="65">
        <v>131.19999999999999</v>
      </c>
      <c r="AD97" s="65">
        <v>131.69999999999999</v>
      </c>
      <c r="AE97" s="65">
        <v>130.5</v>
      </c>
      <c r="AF97" s="65">
        <v>131</v>
      </c>
      <c r="AG97" s="104"/>
      <c r="AH97" s="47">
        <f t="shared" si="17"/>
        <v>133.69999999999999</v>
      </c>
      <c r="AI97" s="48">
        <f t="shared" si="18"/>
        <v>127.5</v>
      </c>
    </row>
    <row r="98" spans="1:35" x14ac:dyDescent="0.25">
      <c r="A98" s="103" t="s">
        <v>106</v>
      </c>
      <c r="B98" s="65">
        <v>129</v>
      </c>
      <c r="C98" s="65">
        <v>129.19999999999999</v>
      </c>
      <c r="D98" s="65">
        <v>129.69999999999999</v>
      </c>
      <c r="E98" s="65">
        <v>129.9</v>
      </c>
      <c r="F98" s="65">
        <v>129.19999999999999</v>
      </c>
      <c r="G98" s="65">
        <v>126.9</v>
      </c>
      <c r="H98" s="65">
        <v>126.1</v>
      </c>
      <c r="I98" s="65">
        <v>130.69999999999999</v>
      </c>
      <c r="J98" s="65">
        <v>128.5</v>
      </c>
      <c r="K98" s="65">
        <v>128.5</v>
      </c>
      <c r="L98" s="65">
        <v>126.6</v>
      </c>
      <c r="M98" s="65">
        <v>126.8</v>
      </c>
      <c r="N98" s="65">
        <v>127.3</v>
      </c>
      <c r="O98" s="65">
        <v>128.6</v>
      </c>
      <c r="P98" s="65">
        <v>127.3</v>
      </c>
      <c r="Q98" s="65">
        <v>128.9</v>
      </c>
      <c r="R98" s="65">
        <v>128</v>
      </c>
      <c r="S98" s="65">
        <v>128.19999999999999</v>
      </c>
      <c r="T98" s="65">
        <v>127.8</v>
      </c>
      <c r="U98" s="65">
        <v>129.30000000000001</v>
      </c>
      <c r="V98" s="65">
        <v>129.30000000000001</v>
      </c>
      <c r="W98" s="65">
        <v>131.1</v>
      </c>
      <c r="X98" s="65">
        <v>130.4</v>
      </c>
      <c r="Y98" s="65">
        <v>128.69999999999999</v>
      </c>
      <c r="Z98" s="65">
        <v>130.6</v>
      </c>
      <c r="AA98" s="65">
        <v>132.19999999999999</v>
      </c>
      <c r="AB98" s="65">
        <v>132.1</v>
      </c>
      <c r="AC98" s="65">
        <v>130.4</v>
      </c>
      <c r="AD98" s="65">
        <v>132.1</v>
      </c>
      <c r="AE98" s="65">
        <v>129.9</v>
      </c>
      <c r="AF98" s="65">
        <v>129.4</v>
      </c>
      <c r="AG98" s="104"/>
      <c r="AH98" s="47">
        <f t="shared" si="17"/>
        <v>132.19999999999999</v>
      </c>
      <c r="AI98" s="48">
        <f t="shared" si="18"/>
        <v>126.1</v>
      </c>
    </row>
    <row r="99" spans="1:35" x14ac:dyDescent="0.25">
      <c r="A99" s="105" t="s">
        <v>107</v>
      </c>
      <c r="B99" s="65">
        <v>131.9</v>
      </c>
      <c r="C99" s="65">
        <v>132.30000000000001</v>
      </c>
      <c r="D99" s="65">
        <v>132.9</v>
      </c>
      <c r="E99" s="65">
        <v>133.30000000000001</v>
      </c>
      <c r="F99" s="65">
        <v>132.6</v>
      </c>
      <c r="G99" s="65">
        <v>130.80000000000001</v>
      </c>
      <c r="H99" s="65">
        <v>129.69999999999999</v>
      </c>
      <c r="I99" s="65">
        <v>134.6</v>
      </c>
      <c r="J99" s="65">
        <v>131.69999999999999</v>
      </c>
      <c r="K99" s="65">
        <v>131.30000000000001</v>
      </c>
      <c r="L99" s="65">
        <v>128.69999999999999</v>
      </c>
      <c r="M99" s="65">
        <v>130.19999999999999</v>
      </c>
      <c r="N99" s="65">
        <v>129.5</v>
      </c>
      <c r="O99" s="65">
        <v>131.69999999999999</v>
      </c>
      <c r="P99" s="65">
        <v>130</v>
      </c>
      <c r="Q99" s="65">
        <v>131.69999999999999</v>
      </c>
      <c r="R99" s="65">
        <v>132.19999999999999</v>
      </c>
      <c r="S99" s="65">
        <v>130.9</v>
      </c>
      <c r="T99" s="65">
        <v>130</v>
      </c>
      <c r="U99" s="65">
        <v>131.4</v>
      </c>
      <c r="V99" s="65">
        <v>131.4</v>
      </c>
      <c r="W99" s="65">
        <v>132.5</v>
      </c>
      <c r="X99" s="65">
        <v>131.80000000000001</v>
      </c>
      <c r="Y99" s="65">
        <v>130.4</v>
      </c>
      <c r="Z99" s="65">
        <v>132.6</v>
      </c>
      <c r="AA99" s="65">
        <v>134.4</v>
      </c>
      <c r="AB99" s="65">
        <v>133.4</v>
      </c>
      <c r="AC99" s="65">
        <v>132.19999999999999</v>
      </c>
      <c r="AD99" s="65">
        <v>133.30000000000001</v>
      </c>
      <c r="AE99" s="65">
        <v>132.1</v>
      </c>
      <c r="AF99" s="65">
        <v>131.9</v>
      </c>
      <c r="AG99" s="104"/>
      <c r="AH99" s="47">
        <f t="shared" si="17"/>
        <v>134.6</v>
      </c>
      <c r="AI99" s="48">
        <f t="shared" si="18"/>
        <v>128.69999999999999</v>
      </c>
    </row>
    <row r="100" spans="1:35" x14ac:dyDescent="0.25">
      <c r="A100" s="105" t="s">
        <v>108</v>
      </c>
      <c r="B100" s="106">
        <v>130.19999999999999</v>
      </c>
      <c r="C100" s="106">
        <v>135.80000000000001</v>
      </c>
      <c r="D100" s="106">
        <v>131.1</v>
      </c>
      <c r="E100" s="106">
        <v>129.5</v>
      </c>
      <c r="F100" s="106">
        <v>132.69999999999999</v>
      </c>
      <c r="G100" s="106">
        <v>130.4</v>
      </c>
      <c r="H100" s="106">
        <v>133.4</v>
      </c>
      <c r="I100" s="106">
        <v>134.80000000000001</v>
      </c>
      <c r="J100" s="106">
        <v>136.69999999999999</v>
      </c>
      <c r="K100" s="106">
        <v>132.30000000000001</v>
      </c>
      <c r="L100" s="106">
        <v>132.4</v>
      </c>
      <c r="M100" s="106">
        <v>130.9</v>
      </c>
      <c r="N100" s="106">
        <v>133.1</v>
      </c>
      <c r="O100" s="106">
        <v>131.9</v>
      </c>
      <c r="P100" s="106">
        <v>132.5</v>
      </c>
      <c r="Q100" s="106">
        <v>130.19999999999999</v>
      </c>
      <c r="R100" s="106">
        <v>133.6</v>
      </c>
      <c r="S100" s="106">
        <v>130.4</v>
      </c>
      <c r="T100" s="106">
        <v>133.30000000000001</v>
      </c>
      <c r="U100" s="106">
        <v>133</v>
      </c>
      <c r="V100" s="106">
        <v>133</v>
      </c>
      <c r="W100" s="106">
        <v>135.6</v>
      </c>
      <c r="X100" s="106">
        <v>136.19999999999999</v>
      </c>
      <c r="Y100" s="106">
        <v>132.19999999999999</v>
      </c>
      <c r="Z100" s="106">
        <v>133.1</v>
      </c>
      <c r="AA100" s="106">
        <v>133.30000000000001</v>
      </c>
      <c r="AB100" s="106">
        <v>134.1</v>
      </c>
      <c r="AC100" s="106">
        <v>135.4</v>
      </c>
      <c r="AD100" s="106">
        <v>134.80000000000001</v>
      </c>
      <c r="AE100" s="106">
        <v>131.1</v>
      </c>
      <c r="AF100" s="106">
        <v>131.5</v>
      </c>
      <c r="AG100" s="107"/>
      <c r="AH100" s="47">
        <f t="shared" si="17"/>
        <v>136.69999999999999</v>
      </c>
      <c r="AI100" s="48">
        <f t="shared" si="18"/>
        <v>129.5</v>
      </c>
    </row>
    <row r="101" spans="1:35" x14ac:dyDescent="0.25">
      <c r="A101" s="103" t="s">
        <v>109</v>
      </c>
      <c r="B101" s="65">
        <v>135</v>
      </c>
      <c r="C101" s="65">
        <v>135</v>
      </c>
      <c r="D101" s="65">
        <v>134.80000000000001</v>
      </c>
      <c r="E101" s="65">
        <v>137.69999999999999</v>
      </c>
      <c r="F101" s="65">
        <v>137.80000000000001</v>
      </c>
      <c r="G101" s="65">
        <v>132.19999999999999</v>
      </c>
      <c r="H101" s="65">
        <v>128.9</v>
      </c>
      <c r="I101" s="65">
        <v>131.69999999999999</v>
      </c>
      <c r="J101" s="65">
        <v>133.19999999999999</v>
      </c>
      <c r="K101" s="65">
        <v>126.7</v>
      </c>
      <c r="L101" s="65">
        <v>123.7</v>
      </c>
      <c r="M101" s="65">
        <v>129.30000000000001</v>
      </c>
      <c r="N101" s="65">
        <v>129</v>
      </c>
      <c r="O101" s="65">
        <v>130.6</v>
      </c>
      <c r="P101" s="65">
        <v>124.7</v>
      </c>
      <c r="Q101" s="65">
        <v>126.9</v>
      </c>
      <c r="R101" s="65">
        <v>131.4</v>
      </c>
      <c r="S101" s="65">
        <v>129.6</v>
      </c>
      <c r="T101" s="65">
        <v>129.1</v>
      </c>
      <c r="U101" s="65">
        <v>127.4</v>
      </c>
      <c r="V101" s="65">
        <v>127.4</v>
      </c>
      <c r="W101" s="65">
        <v>134</v>
      </c>
      <c r="X101" s="65">
        <v>133.4</v>
      </c>
      <c r="Y101" s="65">
        <v>134.1</v>
      </c>
      <c r="Z101" s="65">
        <v>134.80000000000001</v>
      </c>
      <c r="AA101" s="65">
        <v>133.1</v>
      </c>
      <c r="AB101" s="65">
        <v>129.69999999999999</v>
      </c>
      <c r="AC101" s="65">
        <v>132.1</v>
      </c>
      <c r="AD101" s="65">
        <v>134.19999999999999</v>
      </c>
      <c r="AE101" s="65">
        <v>134.30000000000001</v>
      </c>
      <c r="AF101" s="65">
        <v>132.6</v>
      </c>
      <c r="AG101" s="104"/>
      <c r="AH101" s="47">
        <f t="shared" si="17"/>
        <v>137.80000000000001</v>
      </c>
      <c r="AI101" s="48">
        <f t="shared" si="18"/>
        <v>123.7</v>
      </c>
    </row>
    <row r="102" spans="1:35" ht="15.75" thickBot="1" x14ac:dyDescent="0.3">
      <c r="A102" s="103" t="s">
        <v>110</v>
      </c>
      <c r="B102" s="92">
        <v>66.5</v>
      </c>
      <c r="C102" s="92">
        <v>67</v>
      </c>
      <c r="D102" s="92">
        <v>67</v>
      </c>
      <c r="E102" s="92">
        <v>66.900000000000006</v>
      </c>
      <c r="F102" s="92">
        <v>66.599999999999994</v>
      </c>
      <c r="G102" s="92">
        <v>66.5</v>
      </c>
      <c r="H102" s="92">
        <v>66.599999999999994</v>
      </c>
      <c r="I102" s="92">
        <v>66.2</v>
      </c>
      <c r="J102" s="92">
        <v>65.599999999999994</v>
      </c>
      <c r="K102" s="92">
        <v>65.5</v>
      </c>
      <c r="L102" s="92">
        <v>63.8</v>
      </c>
      <c r="M102" s="92">
        <v>64</v>
      </c>
      <c r="N102" s="92">
        <v>64.400000000000006</v>
      </c>
      <c r="O102" s="92">
        <v>64.5</v>
      </c>
      <c r="P102" s="92">
        <v>63.8</v>
      </c>
      <c r="Q102" s="92">
        <v>63.5</v>
      </c>
      <c r="R102" s="92">
        <v>64.7</v>
      </c>
      <c r="S102" s="92">
        <v>64.2</v>
      </c>
      <c r="T102" s="92">
        <v>64.599999999999994</v>
      </c>
      <c r="U102" s="92">
        <v>64.599999999999994</v>
      </c>
      <c r="V102" s="92">
        <v>64.599999999999994</v>
      </c>
      <c r="W102" s="92">
        <v>65.7</v>
      </c>
      <c r="X102" s="92">
        <v>66.099999999999994</v>
      </c>
      <c r="Y102" s="92">
        <v>65.099999999999994</v>
      </c>
      <c r="Z102" s="92">
        <v>65.400000000000006</v>
      </c>
      <c r="AA102" s="92">
        <v>65.7</v>
      </c>
      <c r="AB102" s="92">
        <v>65.400000000000006</v>
      </c>
      <c r="AC102" s="92">
        <v>65.8</v>
      </c>
      <c r="AD102" s="92">
        <v>66.099999999999994</v>
      </c>
      <c r="AE102" s="92">
        <v>65.5</v>
      </c>
      <c r="AF102" s="92">
        <v>65.900000000000006</v>
      </c>
      <c r="AG102" s="108"/>
      <c r="AH102" s="47">
        <f t="shared" si="17"/>
        <v>67</v>
      </c>
      <c r="AI102" s="48">
        <f t="shared" si="18"/>
        <v>63.5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17"/>
        <v>0</v>
      </c>
      <c r="AI103" s="48">
        <f t="shared" si="18"/>
        <v>0</v>
      </c>
    </row>
    <row r="104" spans="1:35" ht="15.75" thickBot="1" x14ac:dyDescent="0.3">
      <c r="A104" s="110" t="s">
        <v>112</v>
      </c>
      <c r="B104" s="111">
        <f t="shared" ref="B104:AF104" si="29">SUM(B16,B22,B25:B26,B52,B54:B55,B57,B59,B105:B109,B131,B137,B143,B152,B154,B166,B173,B176:B177,B184,B186,B188,B192:B194,B196:B198,B203,B209:B210,B212:B214,B222,B227)</f>
        <v>156.80000000000001</v>
      </c>
      <c r="C104" s="111">
        <f t="shared" si="29"/>
        <v>137.54</v>
      </c>
      <c r="D104" s="111">
        <f t="shared" si="29"/>
        <v>132.63999999999999</v>
      </c>
      <c r="E104" s="111">
        <f t="shared" si="29"/>
        <v>125.94</v>
      </c>
      <c r="F104" s="111">
        <f t="shared" si="29"/>
        <v>131.04000000000002</v>
      </c>
      <c r="G104" s="111">
        <f t="shared" si="29"/>
        <v>157.24</v>
      </c>
      <c r="H104" s="111">
        <f t="shared" si="29"/>
        <v>191.73999999999998</v>
      </c>
      <c r="I104" s="111">
        <f t="shared" si="29"/>
        <v>231.44</v>
      </c>
      <c r="J104" s="111">
        <f t="shared" si="29"/>
        <v>278.64</v>
      </c>
      <c r="K104" s="111">
        <f t="shared" si="29"/>
        <v>326.93999999999994</v>
      </c>
      <c r="L104" s="111">
        <f t="shared" si="29"/>
        <v>375.74</v>
      </c>
      <c r="M104" s="111">
        <f t="shared" si="29"/>
        <v>370.73999999999995</v>
      </c>
      <c r="N104" s="111">
        <f t="shared" si="29"/>
        <v>347.73999999999995</v>
      </c>
      <c r="O104" s="111">
        <f t="shared" si="29"/>
        <v>326.13999999999993</v>
      </c>
      <c r="P104" s="111">
        <v>42</v>
      </c>
      <c r="Q104" s="111">
        <f t="shared" si="29"/>
        <v>273.69999999999993</v>
      </c>
      <c r="R104" s="111">
        <f t="shared" si="29"/>
        <v>255.79999999999998</v>
      </c>
      <c r="S104" s="111">
        <f t="shared" si="29"/>
        <v>287.5</v>
      </c>
      <c r="T104" s="111">
        <f t="shared" si="29"/>
        <v>285.39999999999998</v>
      </c>
      <c r="U104" s="111">
        <f t="shared" si="29"/>
        <v>290.2</v>
      </c>
      <c r="V104" s="111">
        <f t="shared" si="29"/>
        <v>288.39999999999998</v>
      </c>
      <c r="W104" s="111">
        <f t="shared" si="29"/>
        <v>337.2</v>
      </c>
      <c r="X104" s="111">
        <f t="shared" si="29"/>
        <v>372.6</v>
      </c>
      <c r="Y104" s="111">
        <f t="shared" si="29"/>
        <v>413.7</v>
      </c>
      <c r="Z104" s="111">
        <f t="shared" si="29"/>
        <v>407.4</v>
      </c>
      <c r="AA104" s="111">
        <f t="shared" si="29"/>
        <v>386.79999999999995</v>
      </c>
      <c r="AB104" s="111">
        <f t="shared" si="29"/>
        <v>336.09999999999997</v>
      </c>
      <c r="AC104" s="111">
        <f t="shared" si="29"/>
        <v>328</v>
      </c>
      <c r="AD104" s="111">
        <f t="shared" ref="AD104" si="30">SUM(AD16,AD22,AD25:AD26,AD52,AD54:AD55,AD57,AD59,AD105:AD109,AD131,AD137,AD143,AD152,AD154,AD166,AD173,AD176:AD177,AD184,AD186,AD188,AD192:AD194,AD196:AD198,AD203,AD209:AD210,AD212:AD214,AD222,AD227)</f>
        <v>308.3</v>
      </c>
      <c r="AE104" s="111">
        <f t="shared" si="29"/>
        <v>222.4</v>
      </c>
      <c r="AF104" s="111">
        <f t="shared" si="29"/>
        <v>180.39999999999998</v>
      </c>
      <c r="AG104" s="112"/>
      <c r="AH104" s="47">
        <f t="shared" si="17"/>
        <v>413.7</v>
      </c>
      <c r="AI104" s="48">
        <f t="shared" si="18"/>
        <v>42</v>
      </c>
    </row>
    <row r="105" spans="1:35" x14ac:dyDescent="0.25">
      <c r="A105" s="100" t="s">
        <v>113</v>
      </c>
      <c r="B105" s="113">
        <v>-7.8</v>
      </c>
      <c r="C105" s="113">
        <v>-7.8</v>
      </c>
      <c r="D105" s="113">
        <v>-7.9</v>
      </c>
      <c r="E105" s="113">
        <v>-11.2</v>
      </c>
      <c r="F105" s="113">
        <v>-11.3</v>
      </c>
      <c r="G105" s="113">
        <v>-15.8</v>
      </c>
      <c r="H105" s="113">
        <v>-10.199999999999999</v>
      </c>
      <c r="I105" s="113">
        <v>0</v>
      </c>
      <c r="J105" s="113">
        <v>17.8</v>
      </c>
      <c r="K105" s="113">
        <v>24</v>
      </c>
      <c r="L105" s="113">
        <v>39.6</v>
      </c>
      <c r="M105" s="113">
        <v>31.4</v>
      </c>
      <c r="N105" s="113">
        <v>21.4</v>
      </c>
      <c r="O105" s="113">
        <v>12.6</v>
      </c>
      <c r="P105" s="113">
        <v>7.8</v>
      </c>
      <c r="Q105" s="113">
        <v>7.5</v>
      </c>
      <c r="R105" s="113">
        <v>0</v>
      </c>
      <c r="S105" s="113">
        <v>0</v>
      </c>
      <c r="T105" s="113">
        <v>7.6</v>
      </c>
      <c r="U105" s="113">
        <v>5.7</v>
      </c>
      <c r="V105" s="113">
        <v>5.7</v>
      </c>
      <c r="W105" s="113">
        <v>10</v>
      </c>
      <c r="X105" s="113">
        <v>31.5</v>
      </c>
      <c r="Y105" s="113">
        <v>32.5</v>
      </c>
      <c r="Z105" s="113">
        <v>24.4</v>
      </c>
      <c r="AA105" s="113">
        <v>27.6</v>
      </c>
      <c r="AB105" s="113">
        <v>18.8</v>
      </c>
      <c r="AC105" s="113">
        <v>14.9</v>
      </c>
      <c r="AD105" s="113">
        <v>15.5</v>
      </c>
      <c r="AE105" s="113">
        <v>18.2</v>
      </c>
      <c r="AF105" s="113">
        <v>3.7</v>
      </c>
      <c r="AG105" s="114">
        <v>75</v>
      </c>
      <c r="AH105" s="47">
        <f t="shared" si="17"/>
        <v>39.6</v>
      </c>
      <c r="AI105" s="48">
        <f t="shared" si="18"/>
        <v>-15.8</v>
      </c>
    </row>
    <row r="106" spans="1:35" x14ac:dyDescent="0.25">
      <c r="A106" s="103" t="s">
        <v>114</v>
      </c>
      <c r="B106" s="115">
        <v>-4.5</v>
      </c>
      <c r="C106" s="115">
        <v>-4.5</v>
      </c>
      <c r="D106" s="115">
        <v>-8.1</v>
      </c>
      <c r="E106" s="115">
        <v>-10.8</v>
      </c>
      <c r="F106" s="115">
        <v>-13.4</v>
      </c>
      <c r="G106" s="115">
        <v>-19.2</v>
      </c>
      <c r="H106" s="115">
        <v>-11.8</v>
      </c>
      <c r="I106" s="115">
        <v>2.9</v>
      </c>
      <c r="J106" s="115">
        <v>28.7</v>
      </c>
      <c r="K106" s="115">
        <v>33.6</v>
      </c>
      <c r="L106" s="115">
        <v>50.5</v>
      </c>
      <c r="M106" s="115">
        <v>37</v>
      </c>
      <c r="N106" s="115">
        <v>24.2</v>
      </c>
      <c r="O106" s="115">
        <v>14.4</v>
      </c>
      <c r="P106" s="115">
        <v>12.5</v>
      </c>
      <c r="Q106" s="115">
        <v>15.2</v>
      </c>
      <c r="R106" s="115">
        <v>4.3</v>
      </c>
      <c r="S106" s="115">
        <v>4.0999999999999996</v>
      </c>
      <c r="T106" s="115">
        <v>12.9</v>
      </c>
      <c r="U106" s="115">
        <v>10.1</v>
      </c>
      <c r="V106" s="115">
        <v>10.1</v>
      </c>
      <c r="W106" s="115">
        <v>7.1</v>
      </c>
      <c r="X106" s="115">
        <v>37.4</v>
      </c>
      <c r="Y106" s="115">
        <v>38.200000000000003</v>
      </c>
      <c r="Z106" s="115">
        <v>26.9</v>
      </c>
      <c r="AA106" s="115">
        <v>30.7</v>
      </c>
      <c r="AB106" s="115">
        <v>19.3</v>
      </c>
      <c r="AC106" s="115">
        <v>13.9</v>
      </c>
      <c r="AD106" s="115">
        <v>16.100000000000001</v>
      </c>
      <c r="AE106" s="115">
        <v>24.8</v>
      </c>
      <c r="AF106" s="115">
        <v>8.8000000000000007</v>
      </c>
      <c r="AG106" s="114">
        <v>240</v>
      </c>
      <c r="AH106" s="47">
        <f t="shared" si="17"/>
        <v>50.5</v>
      </c>
      <c r="AI106" s="48">
        <f t="shared" si="18"/>
        <v>-19.2</v>
      </c>
    </row>
    <row r="107" spans="1:35" x14ac:dyDescent="0.25">
      <c r="A107" s="103" t="s">
        <v>115</v>
      </c>
      <c r="B107" s="115">
        <v>-28.3</v>
      </c>
      <c r="C107" s="115">
        <v>-37.5</v>
      </c>
      <c r="D107" s="115">
        <v>-37.6</v>
      </c>
      <c r="E107" s="115">
        <f>-17.1-18.7</f>
        <v>-35.799999999999997</v>
      </c>
      <c r="F107" s="115">
        <f>-17.4-18.9</f>
        <v>-36.299999999999997</v>
      </c>
      <c r="G107" s="115">
        <f>-11.4-15.1</f>
        <v>-26.5</v>
      </c>
      <c r="H107" s="115">
        <f>-2.6-8.5</f>
        <v>-11.1</v>
      </c>
      <c r="I107" s="115">
        <f>-1-4.6</f>
        <v>-5.6</v>
      </c>
      <c r="J107" s="115">
        <v>-3.9</v>
      </c>
      <c r="K107" s="115">
        <f>10+8.2</f>
        <v>18.2</v>
      </c>
      <c r="L107" s="115">
        <f>24.8+26.2</f>
        <v>51</v>
      </c>
      <c r="M107" s="115">
        <v>76</v>
      </c>
      <c r="N107" s="115">
        <v>53</v>
      </c>
      <c r="O107" s="115">
        <v>43</v>
      </c>
      <c r="P107" s="115">
        <v>28</v>
      </c>
      <c r="Q107" s="115">
        <v>-22.2</v>
      </c>
      <c r="R107" s="115">
        <v>-21.4</v>
      </c>
      <c r="S107" s="115">
        <v>7.9</v>
      </c>
      <c r="T107" s="115">
        <v>5</v>
      </c>
      <c r="U107" s="115">
        <v>8.3000000000000007</v>
      </c>
      <c r="V107" s="115">
        <v>8.3000000000000007</v>
      </c>
      <c r="W107" s="115">
        <v>59</v>
      </c>
      <c r="X107" s="115">
        <v>60</v>
      </c>
      <c r="Y107" s="115">
        <v>66</v>
      </c>
      <c r="Z107" s="115">
        <f>42+41</f>
        <v>83</v>
      </c>
      <c r="AA107" s="115">
        <f>36+35</f>
        <v>71</v>
      </c>
      <c r="AB107" s="115">
        <v>72</v>
      </c>
      <c r="AC107" s="115">
        <v>52</v>
      </c>
      <c r="AD107" s="115">
        <v>40</v>
      </c>
      <c r="AE107" s="115">
        <f>-9.5-10.1</f>
        <v>-19.600000000000001</v>
      </c>
      <c r="AF107" s="115">
        <f>-14.5-16.1</f>
        <v>-30.6</v>
      </c>
      <c r="AG107" s="114">
        <v>240</v>
      </c>
      <c r="AH107" s="47">
        <f t="shared" si="17"/>
        <v>83</v>
      </c>
      <c r="AI107" s="48">
        <f t="shared" si="18"/>
        <v>-37.6</v>
      </c>
    </row>
    <row r="108" spans="1:35" x14ac:dyDescent="0.25">
      <c r="A108" s="103" t="s">
        <v>116</v>
      </c>
      <c r="B108" s="115">
        <v>-3.3</v>
      </c>
      <c r="C108" s="115">
        <v>-6.7</v>
      </c>
      <c r="D108" s="115">
        <v>-6.7</v>
      </c>
      <c r="E108" s="115">
        <v>-5</v>
      </c>
      <c r="F108" s="115">
        <v>-8.3000000000000007</v>
      </c>
      <c r="G108" s="115">
        <v>13.4</v>
      </c>
      <c r="H108" s="115">
        <v>18.399999999999999</v>
      </c>
      <c r="I108" s="115">
        <v>17.2</v>
      </c>
      <c r="J108" s="115">
        <v>30</v>
      </c>
      <c r="K108" s="115">
        <v>36.799999999999997</v>
      </c>
      <c r="L108" s="115">
        <v>23.3</v>
      </c>
      <c r="M108" s="115">
        <v>25.8</v>
      </c>
      <c r="N108" s="115">
        <v>23</v>
      </c>
      <c r="O108" s="115">
        <v>32.200000000000003</v>
      </c>
      <c r="P108" s="115">
        <v>31.5</v>
      </c>
      <c r="Q108" s="115">
        <v>37.299999999999997</v>
      </c>
      <c r="R108" s="115">
        <v>46.6</v>
      </c>
      <c r="S108" s="115">
        <v>42.8</v>
      </c>
      <c r="T108" s="115">
        <v>42.8</v>
      </c>
      <c r="U108" s="115">
        <v>43.6</v>
      </c>
      <c r="V108" s="115">
        <v>43.6</v>
      </c>
      <c r="W108" s="115">
        <v>38.299999999999997</v>
      </c>
      <c r="X108" s="115">
        <v>41.6</v>
      </c>
      <c r="Y108" s="115">
        <v>55.2</v>
      </c>
      <c r="Z108" s="115">
        <v>53.8</v>
      </c>
      <c r="AA108" s="115">
        <v>48.4</v>
      </c>
      <c r="AB108" s="115">
        <v>34.700000000000003</v>
      </c>
      <c r="AC108" s="115">
        <v>29</v>
      </c>
      <c r="AD108" s="115">
        <v>19.3</v>
      </c>
      <c r="AE108" s="115">
        <v>1.1000000000000001</v>
      </c>
      <c r="AF108" s="115">
        <v>-2.4</v>
      </c>
      <c r="AG108" s="114">
        <v>60</v>
      </c>
      <c r="AH108" s="47">
        <f t="shared" si="17"/>
        <v>55.2</v>
      </c>
      <c r="AI108" s="48">
        <f t="shared" si="18"/>
        <v>-8.3000000000000007</v>
      </c>
    </row>
    <row r="109" spans="1:35" x14ac:dyDescent="0.25">
      <c r="A109" s="116" t="s">
        <v>117</v>
      </c>
      <c r="B109" s="117">
        <v>89</v>
      </c>
      <c r="C109" s="117">
        <v>85</v>
      </c>
      <c r="D109" s="117">
        <v>84.8</v>
      </c>
      <c r="E109" s="117">
        <v>83.7</v>
      </c>
      <c r="F109" s="117">
        <v>93.2</v>
      </c>
      <c r="G109" s="117">
        <v>97.2</v>
      </c>
      <c r="H109" s="117">
        <v>97.1</v>
      </c>
      <c r="I109" s="117">
        <v>106.6</v>
      </c>
      <c r="J109" s="117">
        <v>95.7</v>
      </c>
      <c r="K109" s="117">
        <v>105</v>
      </c>
      <c r="L109" s="117">
        <v>102.2</v>
      </c>
      <c r="M109" s="117">
        <v>91.4</v>
      </c>
      <c r="N109" s="117">
        <v>113.3</v>
      </c>
      <c r="O109" s="117">
        <v>111.1</v>
      </c>
      <c r="P109" s="117">
        <v>113.3</v>
      </c>
      <c r="Q109" s="117">
        <v>113</v>
      </c>
      <c r="R109" s="117">
        <v>103.4</v>
      </c>
      <c r="S109" s="117">
        <v>109.8</v>
      </c>
      <c r="T109" s="117">
        <v>94.2</v>
      </c>
      <c r="U109" s="117">
        <v>99.6</v>
      </c>
      <c r="V109" s="117">
        <v>99.6</v>
      </c>
      <c r="W109" s="117">
        <v>101.7</v>
      </c>
      <c r="X109" s="117">
        <v>81</v>
      </c>
      <c r="Y109" s="117">
        <v>100.7</v>
      </c>
      <c r="Z109" s="117">
        <v>98.2</v>
      </c>
      <c r="AA109" s="117">
        <v>88</v>
      </c>
      <c r="AB109" s="117">
        <v>85.2</v>
      </c>
      <c r="AC109" s="117">
        <v>112</v>
      </c>
      <c r="AD109" s="117">
        <v>110.3</v>
      </c>
      <c r="AE109" s="117">
        <v>88.4</v>
      </c>
      <c r="AF109" s="117">
        <v>91.4</v>
      </c>
      <c r="AG109" s="118">
        <v>120</v>
      </c>
      <c r="AH109" s="47">
        <f t="shared" si="17"/>
        <v>113.3</v>
      </c>
      <c r="AI109" s="48">
        <f t="shared" si="18"/>
        <v>81</v>
      </c>
    </row>
    <row r="110" spans="1:35" x14ac:dyDescent="0.25">
      <c r="A110" s="116" t="s">
        <v>118</v>
      </c>
      <c r="B110" s="117">
        <v>95</v>
      </c>
      <c r="C110" s="117">
        <v>98</v>
      </c>
      <c r="D110" s="117">
        <v>94</v>
      </c>
      <c r="E110" s="117">
        <v>93</v>
      </c>
      <c r="F110" s="117">
        <v>101</v>
      </c>
      <c r="G110" s="117">
        <v>100.7</v>
      </c>
      <c r="H110" s="117">
        <v>97</v>
      </c>
      <c r="I110" s="117">
        <v>100</v>
      </c>
      <c r="J110" s="117">
        <v>83.2</v>
      </c>
      <c r="K110" s="117">
        <v>85</v>
      </c>
      <c r="L110" s="117">
        <v>67</v>
      </c>
      <c r="M110" s="117">
        <v>92.7</v>
      </c>
      <c r="N110" s="117">
        <v>76</v>
      </c>
      <c r="O110" s="117">
        <v>74.900000000000006</v>
      </c>
      <c r="P110" s="117">
        <v>88.2</v>
      </c>
      <c r="Q110" s="117">
        <v>105</v>
      </c>
      <c r="R110" s="117">
        <v>91.6</v>
      </c>
      <c r="S110" s="117">
        <v>101.9</v>
      </c>
      <c r="T110" s="117">
        <v>88.5</v>
      </c>
      <c r="U110" s="117">
        <v>88.8</v>
      </c>
      <c r="V110" s="117">
        <v>88.8</v>
      </c>
      <c r="W110" s="117">
        <v>70.400000000000006</v>
      </c>
      <c r="X110" s="117">
        <v>55</v>
      </c>
      <c r="Y110" s="117">
        <v>60.4</v>
      </c>
      <c r="Z110" s="117">
        <v>82.1</v>
      </c>
      <c r="AA110" s="117">
        <v>73.5</v>
      </c>
      <c r="AB110" s="117">
        <v>95.8</v>
      </c>
      <c r="AC110" s="117">
        <v>77.3</v>
      </c>
      <c r="AD110" s="117">
        <v>89.2</v>
      </c>
      <c r="AE110" s="117">
        <v>87.9</v>
      </c>
      <c r="AF110" s="117">
        <v>93.2</v>
      </c>
      <c r="AG110" s="118"/>
      <c r="AH110" s="47">
        <f t="shared" si="17"/>
        <v>105</v>
      </c>
      <c r="AI110" s="48">
        <f t="shared" si="18"/>
        <v>55</v>
      </c>
    </row>
    <row r="111" spans="1:35" x14ac:dyDescent="0.25">
      <c r="A111" s="116" t="s">
        <v>119</v>
      </c>
      <c r="B111" s="117">
        <v>43.3</v>
      </c>
      <c r="C111" s="117">
        <v>35.799999999999997</v>
      </c>
      <c r="D111" s="117">
        <v>36.4</v>
      </c>
      <c r="E111" s="117">
        <v>39.9</v>
      </c>
      <c r="F111" s="117">
        <v>42</v>
      </c>
      <c r="G111" s="117">
        <v>46.9</v>
      </c>
      <c r="H111" s="117">
        <v>38.6</v>
      </c>
      <c r="I111" s="117">
        <v>33.700000000000003</v>
      </c>
      <c r="J111" s="117">
        <v>16</v>
      </c>
      <c r="K111" s="117">
        <v>11</v>
      </c>
      <c r="L111" s="117">
        <v>0</v>
      </c>
      <c r="M111" s="117">
        <v>0</v>
      </c>
      <c r="N111" s="117">
        <v>0</v>
      </c>
      <c r="O111" s="117">
        <v>0</v>
      </c>
      <c r="P111" s="117">
        <v>0</v>
      </c>
      <c r="Q111" s="117">
        <v>14.4</v>
      </c>
      <c r="R111" s="117">
        <v>23.9</v>
      </c>
      <c r="S111" s="117">
        <v>26.9</v>
      </c>
      <c r="T111" s="117">
        <v>19.399999999999999</v>
      </c>
      <c r="U111" s="117">
        <v>21.5</v>
      </c>
      <c r="V111" s="117">
        <v>21.5</v>
      </c>
      <c r="W111" s="117">
        <v>21</v>
      </c>
      <c r="X111" s="117">
        <v>7.2</v>
      </c>
      <c r="Y111" s="117">
        <v>8.4</v>
      </c>
      <c r="Z111" s="117">
        <v>18.600000000000001</v>
      </c>
      <c r="AA111" s="117">
        <v>22.8</v>
      </c>
      <c r="AB111" s="117">
        <v>21.8</v>
      </c>
      <c r="AC111" s="117">
        <v>19.8</v>
      </c>
      <c r="AD111" s="117">
        <v>24</v>
      </c>
      <c r="AE111" s="117">
        <v>25.1</v>
      </c>
      <c r="AF111" s="117">
        <v>31.4</v>
      </c>
      <c r="AG111" s="119"/>
      <c r="AH111" s="47">
        <f t="shared" si="17"/>
        <v>46.9</v>
      </c>
      <c r="AI111" s="48">
        <f t="shared" si="18"/>
        <v>0</v>
      </c>
    </row>
    <row r="112" spans="1:35" x14ac:dyDescent="0.25">
      <c r="A112" s="120" t="s">
        <v>120</v>
      </c>
      <c r="B112" s="106">
        <v>13.7</v>
      </c>
      <c r="C112" s="106">
        <v>16.7</v>
      </c>
      <c r="D112" s="106">
        <v>18.899999999999999</v>
      </c>
      <c r="E112" s="106">
        <v>19.8</v>
      </c>
      <c r="F112" s="106">
        <v>21.9</v>
      </c>
      <c r="G112" s="106">
        <v>16.899999999999999</v>
      </c>
      <c r="H112" s="106">
        <v>8.6</v>
      </c>
      <c r="I112" s="106">
        <v>-6.9</v>
      </c>
      <c r="J112" s="106">
        <v>-22.3</v>
      </c>
      <c r="K112" s="106">
        <v>-30.1</v>
      </c>
      <c r="L112" s="106">
        <v>-39.799999999999997</v>
      </c>
      <c r="M112" s="106">
        <v>-44.2</v>
      </c>
      <c r="N112" s="106">
        <v>-19.7</v>
      </c>
      <c r="O112" s="106">
        <v>-21.1</v>
      </c>
      <c r="P112" s="106">
        <v>-9.1999999999999993</v>
      </c>
      <c r="Q112" s="106">
        <v>1.7</v>
      </c>
      <c r="R112" s="106">
        <v>8.5</v>
      </c>
      <c r="S112" s="106">
        <v>-5.4</v>
      </c>
      <c r="T112" s="106">
        <v>-11.8</v>
      </c>
      <c r="U112" s="106">
        <v>-13</v>
      </c>
      <c r="V112" s="106">
        <v>-13</v>
      </c>
      <c r="W112" s="106">
        <v>-32.5</v>
      </c>
      <c r="X112" s="106">
        <v>-45.2</v>
      </c>
      <c r="Y112" s="106">
        <v>-51.7</v>
      </c>
      <c r="Z112" s="106">
        <v>-42.8</v>
      </c>
      <c r="AA112" s="106">
        <v>-35.9</v>
      </c>
      <c r="AB112" s="106">
        <v>-26.6</v>
      </c>
      <c r="AC112" s="106">
        <v>-17.7</v>
      </c>
      <c r="AD112" s="106">
        <v>-20.100000000000001</v>
      </c>
      <c r="AE112" s="106">
        <v>9.5</v>
      </c>
      <c r="AF112" s="106">
        <v>13.8</v>
      </c>
      <c r="AG112" s="119"/>
      <c r="AH112" s="47">
        <f t="shared" si="17"/>
        <v>21.9</v>
      </c>
      <c r="AI112" s="48">
        <f t="shared" si="18"/>
        <v>-51.7</v>
      </c>
    </row>
    <row r="113" spans="1:37" ht="15.75" thickBot="1" x14ac:dyDescent="0.3">
      <c r="A113" s="120" t="s">
        <v>715</v>
      </c>
      <c r="B113" s="106">
        <v>72</v>
      </c>
      <c r="C113" s="106">
        <v>71</v>
      </c>
      <c r="D113" s="106">
        <v>70</v>
      </c>
      <c r="E113" s="106">
        <v>63</v>
      </c>
      <c r="F113" s="106">
        <v>67.400000000000006</v>
      </c>
      <c r="G113" s="106">
        <v>72.900000000000006</v>
      </c>
      <c r="H113" s="106">
        <v>76.400000000000006</v>
      </c>
      <c r="I113" s="106">
        <v>80.3</v>
      </c>
      <c r="J113" s="106">
        <v>82</v>
      </c>
      <c r="K113" s="106">
        <v>82.5</v>
      </c>
      <c r="L113" s="106">
        <v>84.8</v>
      </c>
      <c r="M113" s="106">
        <v>98</v>
      </c>
      <c r="N113" s="106">
        <v>90</v>
      </c>
      <c r="O113" s="106">
        <v>101</v>
      </c>
      <c r="P113" s="106">
        <v>98.3</v>
      </c>
      <c r="Q113" s="106">
        <v>89</v>
      </c>
      <c r="R113" s="106">
        <v>92.3</v>
      </c>
      <c r="S113" s="106">
        <v>91.9</v>
      </c>
      <c r="T113" s="106">
        <v>96.2</v>
      </c>
      <c r="U113" s="106">
        <v>93.2</v>
      </c>
      <c r="V113" s="106">
        <v>93.2</v>
      </c>
      <c r="W113" s="106">
        <v>83.9</v>
      </c>
      <c r="X113" s="106">
        <v>81.3</v>
      </c>
      <c r="Y113" s="106">
        <v>93.7</v>
      </c>
      <c r="Z113" s="106">
        <v>80.099999999999994</v>
      </c>
      <c r="AA113" s="106">
        <v>74.5</v>
      </c>
      <c r="AB113" s="106">
        <v>67.099999999999994</v>
      </c>
      <c r="AC113" s="106">
        <v>73.099999999999994</v>
      </c>
      <c r="AD113" s="106">
        <v>76.8</v>
      </c>
      <c r="AE113" s="106">
        <v>78.2</v>
      </c>
      <c r="AF113" s="106">
        <v>74.5</v>
      </c>
      <c r="AG113" s="119"/>
      <c r="AH113" s="47">
        <f t="shared" si="17"/>
        <v>101</v>
      </c>
      <c r="AI113" s="48">
        <f t="shared" si="18"/>
        <v>63</v>
      </c>
    </row>
    <row r="114" spans="1:37" ht="15.75" thickBot="1" x14ac:dyDescent="0.3">
      <c r="A114" s="121" t="s">
        <v>122</v>
      </c>
      <c r="B114" s="122"/>
      <c r="C114" s="122"/>
      <c r="D114" s="665" t="s">
        <v>723</v>
      </c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31">SUM(B115:B219)</f>
        <v>0</v>
      </c>
      <c r="C220" s="136">
        <f t="shared" si="31"/>
        <v>0</v>
      </c>
      <c r="D220" s="136">
        <f t="shared" si="31"/>
        <v>0</v>
      </c>
      <c r="E220" s="136">
        <f t="shared" si="31"/>
        <v>0</v>
      </c>
      <c r="F220" s="136">
        <f t="shared" si="31"/>
        <v>0</v>
      </c>
      <c r="G220" s="136">
        <f t="shared" si="31"/>
        <v>0</v>
      </c>
      <c r="H220" s="136">
        <f t="shared" si="31"/>
        <v>0</v>
      </c>
      <c r="I220" s="136">
        <f t="shared" si="31"/>
        <v>0</v>
      </c>
      <c r="J220" s="136">
        <f t="shared" si="31"/>
        <v>0</v>
      </c>
      <c r="K220" s="136">
        <f t="shared" si="31"/>
        <v>0</v>
      </c>
      <c r="L220" s="136">
        <f t="shared" si="31"/>
        <v>0</v>
      </c>
      <c r="M220" s="136">
        <f t="shared" si="31"/>
        <v>0</v>
      </c>
      <c r="N220" s="136">
        <f t="shared" si="31"/>
        <v>0</v>
      </c>
      <c r="O220" s="136">
        <f t="shared" si="31"/>
        <v>0</v>
      </c>
      <c r="P220" s="136">
        <f t="shared" si="31"/>
        <v>0</v>
      </c>
      <c r="Q220" s="136">
        <f t="shared" si="31"/>
        <v>0</v>
      </c>
      <c r="R220" s="136">
        <f t="shared" si="31"/>
        <v>0</v>
      </c>
      <c r="S220" s="136">
        <f t="shared" si="31"/>
        <v>0</v>
      </c>
      <c r="T220" s="136">
        <f t="shared" si="31"/>
        <v>0</v>
      </c>
      <c r="U220" s="136">
        <f t="shared" si="31"/>
        <v>0</v>
      </c>
      <c r="V220" s="136">
        <f t="shared" si="31"/>
        <v>0</v>
      </c>
      <c r="W220" s="136">
        <f t="shared" si="31"/>
        <v>0</v>
      </c>
      <c r="X220" s="136">
        <f t="shared" si="31"/>
        <v>0</v>
      </c>
      <c r="Y220" s="136">
        <f t="shared" si="31"/>
        <v>0</v>
      </c>
      <c r="Z220" s="136">
        <f t="shared" si="31"/>
        <v>0</v>
      </c>
      <c r="AA220" s="136">
        <f t="shared" si="31"/>
        <v>0</v>
      </c>
      <c r="AB220" s="136">
        <f t="shared" si="31"/>
        <v>0</v>
      </c>
      <c r="AC220" s="136">
        <f t="shared" si="31"/>
        <v>0</v>
      </c>
      <c r="AD220" s="136">
        <f t="shared" si="31"/>
        <v>0</v>
      </c>
      <c r="AE220" s="136">
        <f t="shared" si="31"/>
        <v>0</v>
      </c>
      <c r="AF220" s="137">
        <f t="shared" si="31"/>
        <v>0</v>
      </c>
      <c r="AG220" s="138">
        <f t="shared" si="31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32">AF222</f>
        <v>0</v>
      </c>
      <c r="C222" s="140">
        <v>0.3</v>
      </c>
      <c r="D222" s="140">
        <f t="shared" ref="D222:P227" si="33">C222</f>
        <v>0.3</v>
      </c>
      <c r="E222" s="140">
        <f t="shared" si="33"/>
        <v>0.3</v>
      </c>
      <c r="F222" s="140">
        <f t="shared" si="33"/>
        <v>0.3</v>
      </c>
      <c r="G222" s="140">
        <f t="shared" si="33"/>
        <v>0.3</v>
      </c>
      <c r="H222" s="140">
        <f t="shared" si="33"/>
        <v>0.3</v>
      </c>
      <c r="I222" s="140">
        <f t="shared" si="33"/>
        <v>0.3</v>
      </c>
      <c r="J222" s="140">
        <f t="shared" si="33"/>
        <v>0.3</v>
      </c>
      <c r="K222" s="140">
        <f t="shared" si="33"/>
        <v>0.3</v>
      </c>
      <c r="L222" s="140">
        <f t="shared" si="33"/>
        <v>0.3</v>
      </c>
      <c r="M222" s="140">
        <f t="shared" si="33"/>
        <v>0.3</v>
      </c>
      <c r="N222" s="140">
        <f t="shared" si="33"/>
        <v>0.3</v>
      </c>
      <c r="O222" s="140">
        <f t="shared" si="33"/>
        <v>0.3</v>
      </c>
      <c r="P222" s="140">
        <f t="shared" si="33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32"/>
        <v>0</v>
      </c>
      <c r="C223" s="128">
        <v>0.4</v>
      </c>
      <c r="D223" s="128">
        <f t="shared" si="33"/>
        <v>0.4</v>
      </c>
      <c r="E223" s="128">
        <f t="shared" si="33"/>
        <v>0.4</v>
      </c>
      <c r="F223" s="128">
        <f t="shared" si="33"/>
        <v>0.4</v>
      </c>
      <c r="G223" s="128">
        <f t="shared" si="33"/>
        <v>0.4</v>
      </c>
      <c r="H223" s="128">
        <f t="shared" si="33"/>
        <v>0.4</v>
      </c>
      <c r="I223" s="128">
        <f t="shared" si="33"/>
        <v>0.4</v>
      </c>
      <c r="J223" s="128">
        <f t="shared" si="33"/>
        <v>0.4</v>
      </c>
      <c r="K223" s="128">
        <f t="shared" si="33"/>
        <v>0.4</v>
      </c>
      <c r="L223" s="128">
        <f t="shared" si="33"/>
        <v>0.4</v>
      </c>
      <c r="M223" s="128">
        <f t="shared" si="33"/>
        <v>0.4</v>
      </c>
      <c r="N223" s="128">
        <f t="shared" si="33"/>
        <v>0.4</v>
      </c>
      <c r="O223" s="128">
        <f t="shared" si="33"/>
        <v>0.4</v>
      </c>
      <c r="P223" s="128">
        <f t="shared" si="33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32"/>
        <v>0</v>
      </c>
      <c r="C224" s="128">
        <v>1.5</v>
      </c>
      <c r="D224" s="128">
        <f t="shared" si="33"/>
        <v>1.5</v>
      </c>
      <c r="E224" s="128">
        <f t="shared" si="33"/>
        <v>1.5</v>
      </c>
      <c r="F224" s="128">
        <f t="shared" si="33"/>
        <v>1.5</v>
      </c>
      <c r="G224" s="128">
        <f t="shared" si="33"/>
        <v>1.5</v>
      </c>
      <c r="H224" s="128">
        <f t="shared" si="33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33"/>
        <v>1.5</v>
      </c>
      <c r="K224" s="128">
        <f t="shared" ca="1" si="33"/>
        <v>1.5</v>
      </c>
      <c r="L224" s="128">
        <f t="shared" ca="1" si="33"/>
        <v>1.5</v>
      </c>
      <c r="M224" s="128">
        <f t="shared" ca="1" si="33"/>
        <v>1.5</v>
      </c>
      <c r="N224" s="128">
        <f t="shared" ca="1" si="33"/>
        <v>1.5</v>
      </c>
      <c r="O224" s="128">
        <f t="shared" ca="1" si="33"/>
        <v>1.5</v>
      </c>
      <c r="P224" s="128">
        <f t="shared" ca="1" si="33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32"/>
        <v>0</v>
      </c>
      <c r="C225" s="128">
        <v>0.3</v>
      </c>
      <c r="D225" s="128">
        <f t="shared" si="33"/>
        <v>0.3</v>
      </c>
      <c r="E225" s="128">
        <f t="shared" si="33"/>
        <v>0.3</v>
      </c>
      <c r="F225" s="128">
        <f t="shared" si="33"/>
        <v>0.3</v>
      </c>
      <c r="G225" s="128">
        <f t="shared" si="33"/>
        <v>0.3</v>
      </c>
      <c r="H225" s="128">
        <f t="shared" si="33"/>
        <v>0.3</v>
      </c>
      <c r="I225" s="128">
        <f t="shared" si="33"/>
        <v>0.3</v>
      </c>
      <c r="J225" s="128">
        <f t="shared" si="33"/>
        <v>0.3</v>
      </c>
      <c r="K225" s="128">
        <f t="shared" si="33"/>
        <v>0.3</v>
      </c>
      <c r="L225" s="128">
        <f t="shared" si="33"/>
        <v>0.3</v>
      </c>
      <c r="M225" s="128">
        <f t="shared" si="33"/>
        <v>0.3</v>
      </c>
      <c r="N225" s="128">
        <f t="shared" si="33"/>
        <v>0.3</v>
      </c>
      <c r="O225" s="128">
        <f t="shared" si="33"/>
        <v>0.3</v>
      </c>
      <c r="P225" s="128">
        <f t="shared" si="33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32"/>
        <v>0</v>
      </c>
      <c r="C226" s="128">
        <v>0.4</v>
      </c>
      <c r="D226" s="128">
        <f t="shared" si="33"/>
        <v>0.4</v>
      </c>
      <c r="E226" s="128">
        <f t="shared" si="33"/>
        <v>0.4</v>
      </c>
      <c r="F226" s="128">
        <f t="shared" si="33"/>
        <v>0.4</v>
      </c>
      <c r="G226" s="128">
        <f t="shared" si="33"/>
        <v>0.4</v>
      </c>
      <c r="H226" s="128">
        <f t="shared" si="33"/>
        <v>0.4</v>
      </c>
      <c r="I226" s="128">
        <f t="shared" si="33"/>
        <v>0.4</v>
      </c>
      <c r="J226" s="128">
        <f t="shared" si="33"/>
        <v>0.4</v>
      </c>
      <c r="K226" s="128">
        <f t="shared" si="33"/>
        <v>0.4</v>
      </c>
      <c r="L226" s="128">
        <f t="shared" si="33"/>
        <v>0.4</v>
      </c>
      <c r="M226" s="128">
        <f t="shared" si="33"/>
        <v>0.4</v>
      </c>
      <c r="N226" s="128">
        <f t="shared" si="33"/>
        <v>0.4</v>
      </c>
      <c r="O226" s="128">
        <f t="shared" si="33"/>
        <v>0.4</v>
      </c>
      <c r="P226" s="128">
        <f t="shared" si="33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32"/>
        <v>0</v>
      </c>
      <c r="C227" s="132">
        <v>0.64</v>
      </c>
      <c r="D227" s="132">
        <f t="shared" si="33"/>
        <v>0.64</v>
      </c>
      <c r="E227" s="132">
        <f t="shared" si="33"/>
        <v>0.64</v>
      </c>
      <c r="F227" s="132">
        <f t="shared" si="33"/>
        <v>0.64</v>
      </c>
      <c r="G227" s="132">
        <f t="shared" si="33"/>
        <v>0.64</v>
      </c>
      <c r="H227" s="132">
        <f t="shared" si="33"/>
        <v>0.64</v>
      </c>
      <c r="I227" s="132">
        <f t="shared" si="33"/>
        <v>0.64</v>
      </c>
      <c r="J227" s="132">
        <f t="shared" si="33"/>
        <v>0.64</v>
      </c>
      <c r="K227" s="132">
        <f t="shared" si="33"/>
        <v>0.64</v>
      </c>
      <c r="L227" s="132">
        <f t="shared" si="33"/>
        <v>0.64</v>
      </c>
      <c r="M227" s="132">
        <f t="shared" si="33"/>
        <v>0.64</v>
      </c>
      <c r="N227" s="132">
        <f t="shared" si="33"/>
        <v>0.64</v>
      </c>
      <c r="O227" s="132">
        <f t="shared" si="33"/>
        <v>0.64</v>
      </c>
      <c r="P227" s="132">
        <f t="shared" si="33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34">SUM(B222:B227)</f>
        <v>0</v>
      </c>
      <c r="C228" s="136">
        <f t="shared" si="34"/>
        <v>3.54</v>
      </c>
      <c r="D228" s="136">
        <f t="shared" si="34"/>
        <v>3.54</v>
      </c>
      <c r="E228" s="136">
        <f t="shared" si="34"/>
        <v>3.54</v>
      </c>
      <c r="F228" s="136">
        <f t="shared" si="34"/>
        <v>3.54</v>
      </c>
      <c r="G228" s="136">
        <f t="shared" si="34"/>
        <v>3.54</v>
      </c>
      <c r="H228" s="136">
        <f t="shared" si="34"/>
        <v>3.54</v>
      </c>
      <c r="I228" s="136">
        <f t="shared" ca="1" si="34"/>
        <v>3.54</v>
      </c>
      <c r="J228" s="136">
        <f t="shared" ca="1" si="34"/>
        <v>3.54</v>
      </c>
      <c r="K228" s="136">
        <f t="shared" ca="1" si="34"/>
        <v>3.54</v>
      </c>
      <c r="L228" s="136">
        <f t="shared" ca="1" si="34"/>
        <v>3.54</v>
      </c>
      <c r="M228" s="136">
        <f t="shared" ca="1" si="34"/>
        <v>3.54</v>
      </c>
      <c r="N228" s="136">
        <f t="shared" ca="1" si="34"/>
        <v>3.54</v>
      </c>
      <c r="O228" s="136">
        <f t="shared" ca="1" si="34"/>
        <v>3.54</v>
      </c>
      <c r="P228" s="136">
        <f t="shared" ca="1" si="34"/>
        <v>3.54</v>
      </c>
      <c r="Q228" s="136">
        <f t="shared" si="34"/>
        <v>0</v>
      </c>
      <c r="R228" s="136">
        <f t="shared" si="34"/>
        <v>0</v>
      </c>
      <c r="S228" s="136">
        <f t="shared" si="34"/>
        <v>0</v>
      </c>
      <c r="T228" s="136">
        <f t="shared" si="34"/>
        <v>0</v>
      </c>
      <c r="U228" s="136">
        <f t="shared" si="34"/>
        <v>0</v>
      </c>
      <c r="V228" s="136">
        <f t="shared" si="34"/>
        <v>0</v>
      </c>
      <c r="W228" s="136">
        <f t="shared" si="34"/>
        <v>0</v>
      </c>
      <c r="X228" s="136">
        <f t="shared" si="34"/>
        <v>0</v>
      </c>
      <c r="Y228" s="136">
        <f t="shared" si="34"/>
        <v>0</v>
      </c>
      <c r="Z228" s="136">
        <f t="shared" si="34"/>
        <v>0</v>
      </c>
      <c r="AA228" s="136">
        <f t="shared" si="34"/>
        <v>0</v>
      </c>
      <c r="AB228" s="136">
        <f t="shared" si="34"/>
        <v>0</v>
      </c>
      <c r="AC228" s="136">
        <f t="shared" si="34"/>
        <v>0</v>
      </c>
      <c r="AD228" s="136">
        <f t="shared" si="34"/>
        <v>0</v>
      </c>
      <c r="AE228" s="136">
        <f t="shared" si="34"/>
        <v>0</v>
      </c>
      <c r="AF228" s="136">
        <f t="shared" si="34"/>
        <v>0</v>
      </c>
      <c r="AG228" s="145">
        <f t="shared" si="34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1457.3400000000001</v>
      </c>
      <c r="C237" s="161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27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str">
        <f ca="1">"Pie Chart of Daily Peak Demand(Inclusive of Export) of Nepal ("&amp;A4&amp;" "&amp;B4&amp;")"</f>
        <v>Pie Chart of Daily Peak Demand(Inclusive of Export) of Nepal (Nepali Date: 2079/10/27)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2079/10/27)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35">B85</f>
        <v>1059.3399999999999</v>
      </c>
      <c r="U242" s="170">
        <f t="shared" si="35"/>
        <v>1055.54</v>
      </c>
      <c r="V242" s="170">
        <f t="shared" si="35"/>
        <v>1037.24</v>
      </c>
      <c r="W242" s="170">
        <f t="shared" si="35"/>
        <v>1013.04</v>
      </c>
      <c r="X242" s="170">
        <f t="shared" si="35"/>
        <v>1055.74</v>
      </c>
      <c r="Y242" s="170">
        <f t="shared" si="35"/>
        <v>1109.6399999999999</v>
      </c>
      <c r="Z242" s="170">
        <f t="shared" si="35"/>
        <v>1181.94</v>
      </c>
      <c r="AA242" s="170">
        <f t="shared" si="35"/>
        <v>1214.1399999999999</v>
      </c>
      <c r="AB242" s="170">
        <f t="shared" si="35"/>
        <v>1275.8399999999999</v>
      </c>
      <c r="AC242" s="170">
        <f t="shared" si="35"/>
        <v>1244.8400000000001</v>
      </c>
      <c r="AD242" s="170">
        <f t="shared" si="35"/>
        <v>1294.3399999999999</v>
      </c>
      <c r="AE242" s="170">
        <f t="shared" si="35"/>
        <v>1457.3400000000001</v>
      </c>
      <c r="AF242" s="170">
        <f t="shared" si="35"/>
        <v>1366.54</v>
      </c>
      <c r="AG242" s="170">
        <f t="shared" si="35"/>
        <v>1386.6399999999999</v>
      </c>
      <c r="AH242" s="170">
        <f t="shared" si="35"/>
        <v>1310.4399999999998</v>
      </c>
      <c r="AI242" s="170">
        <f t="shared" si="35"/>
        <v>1311.04</v>
      </c>
      <c r="AJ242" s="170">
        <f t="shared" si="35"/>
        <v>1318.54</v>
      </c>
      <c r="AK242" s="170">
        <f t="shared" si="35"/>
        <v>1328.24</v>
      </c>
      <c r="AL242" s="170">
        <f t="shared" si="35"/>
        <v>1317.54</v>
      </c>
      <c r="AM242" s="170">
        <f t="shared" si="35"/>
        <v>1328.64</v>
      </c>
      <c r="AN242" s="170">
        <f t="shared" si="35"/>
        <v>1301.4399999999998</v>
      </c>
      <c r="AO242" s="170">
        <f t="shared" si="35"/>
        <v>1392.6399999999999</v>
      </c>
      <c r="AP242" s="170">
        <f t="shared" si="35"/>
        <v>1407.34</v>
      </c>
      <c r="AQ242" s="170">
        <f t="shared" si="35"/>
        <v>1569.3</v>
      </c>
      <c r="AR242" s="170">
        <f t="shared" si="35"/>
        <v>1546.54</v>
      </c>
      <c r="AS242" s="170">
        <f t="shared" si="35"/>
        <v>1495.7400000000002</v>
      </c>
      <c r="AT242" s="170">
        <f t="shared" si="35"/>
        <v>1396.74</v>
      </c>
      <c r="AU242" s="170">
        <f t="shared" si="35"/>
        <v>1324.6399999999999</v>
      </c>
      <c r="AV242" s="170">
        <f t="shared" si="35"/>
        <v>1294.94</v>
      </c>
      <c r="AW242" s="170">
        <f t="shared" si="35"/>
        <v>1161.04</v>
      </c>
      <c r="AX242" s="170">
        <f t="shared" si="35"/>
        <v>1060.8399999999997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36">C227</f>
        <v>0.64</v>
      </c>
      <c r="C263" s="173">
        <f t="shared" si="36"/>
        <v>0.64</v>
      </c>
      <c r="D263" s="173">
        <f t="shared" si="36"/>
        <v>0.64</v>
      </c>
      <c r="E263" s="173">
        <f t="shared" si="36"/>
        <v>0.64</v>
      </c>
      <c r="F263" s="173">
        <f t="shared" si="36"/>
        <v>0.64</v>
      </c>
      <c r="G263" s="173">
        <f t="shared" si="36"/>
        <v>0.64</v>
      </c>
      <c r="H263" s="173">
        <f t="shared" si="36"/>
        <v>0.64</v>
      </c>
      <c r="I263" s="173">
        <f t="shared" si="36"/>
        <v>0.64</v>
      </c>
      <c r="J263" s="173">
        <f t="shared" si="36"/>
        <v>0.64</v>
      </c>
      <c r="K263" s="173">
        <f t="shared" si="36"/>
        <v>0.64</v>
      </c>
      <c r="L263" s="173">
        <f t="shared" si="36"/>
        <v>0.64</v>
      </c>
      <c r="M263" s="173">
        <f t="shared" si="36"/>
        <v>0.64</v>
      </c>
      <c r="N263" s="173">
        <f t="shared" si="36"/>
        <v>0.64</v>
      </c>
      <c r="O263" s="173">
        <f t="shared" si="36"/>
        <v>0.64</v>
      </c>
      <c r="P263" s="173">
        <f t="shared" si="36"/>
        <v>0</v>
      </c>
      <c r="Q263" s="173">
        <f t="shared" si="36"/>
        <v>0</v>
      </c>
      <c r="R263" s="173">
        <f t="shared" si="36"/>
        <v>0</v>
      </c>
      <c r="S263" s="173">
        <f t="shared" si="36"/>
        <v>0</v>
      </c>
      <c r="T263" s="173">
        <f t="shared" si="36"/>
        <v>0</v>
      </c>
      <c r="U263" s="173">
        <f t="shared" si="36"/>
        <v>0</v>
      </c>
      <c r="V263" s="173">
        <f t="shared" si="36"/>
        <v>0</v>
      </c>
      <c r="W263" s="173">
        <f t="shared" si="36"/>
        <v>0</v>
      </c>
      <c r="X263" s="173">
        <f t="shared" si="36"/>
        <v>0</v>
      </c>
      <c r="Y263" s="173">
        <f t="shared" si="36"/>
        <v>0</v>
      </c>
      <c r="Z263" s="173">
        <f t="shared" si="36"/>
        <v>0</v>
      </c>
      <c r="AA263" s="173">
        <f t="shared" si="36"/>
        <v>0</v>
      </c>
      <c r="AB263" s="173">
        <f t="shared" si="36"/>
        <v>0</v>
      </c>
      <c r="AC263" s="173">
        <f t="shared" si="36"/>
        <v>0</v>
      </c>
      <c r="AD263" s="173">
        <f t="shared" si="36"/>
        <v>0</v>
      </c>
      <c r="AE263" s="173">
        <f t="shared" si="36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37">IF(B231&lt;100,"",B231-520)</f>
        <v/>
      </c>
      <c r="C264" s="174" t="str">
        <f t="shared" si="37"/>
        <v/>
      </c>
      <c r="D264" s="174" t="str">
        <f t="shared" si="37"/>
        <v/>
      </c>
      <c r="E264" s="174" t="str">
        <f t="shared" si="37"/>
        <v/>
      </c>
      <c r="F264" s="174" t="str">
        <f t="shared" si="37"/>
        <v/>
      </c>
      <c r="G264" s="174" t="str">
        <f t="shared" si="37"/>
        <v/>
      </c>
      <c r="H264" s="174" t="str">
        <f t="shared" si="37"/>
        <v/>
      </c>
      <c r="I264" s="174" t="str">
        <f t="shared" si="37"/>
        <v/>
      </c>
      <c r="J264" s="174" t="str">
        <f t="shared" si="37"/>
        <v/>
      </c>
      <c r="K264" s="174" t="str">
        <f t="shared" si="37"/>
        <v/>
      </c>
      <c r="L264" s="174" t="str">
        <f t="shared" si="37"/>
        <v/>
      </c>
      <c r="M264" s="174" t="str">
        <f t="shared" si="37"/>
        <v/>
      </c>
      <c r="N264" s="174" t="str">
        <f t="shared" si="37"/>
        <v/>
      </c>
      <c r="O264" s="174" t="str">
        <f t="shared" si="37"/>
        <v/>
      </c>
      <c r="P264" s="174" t="str">
        <f t="shared" si="37"/>
        <v/>
      </c>
      <c r="Q264" s="174" t="str">
        <f t="shared" si="37"/>
        <v/>
      </c>
      <c r="R264" s="174" t="str">
        <f t="shared" si="37"/>
        <v/>
      </c>
      <c r="S264" s="174" t="str">
        <f t="shared" si="37"/>
        <v/>
      </c>
      <c r="T264" s="174" t="str">
        <f t="shared" si="37"/>
        <v/>
      </c>
      <c r="U264" s="174" t="str">
        <f t="shared" si="37"/>
        <v/>
      </c>
      <c r="V264" s="174" t="str">
        <f t="shared" si="37"/>
        <v/>
      </c>
      <c r="W264" s="174" t="str">
        <f t="shared" si="37"/>
        <v/>
      </c>
      <c r="X264" s="174" t="str">
        <f t="shared" si="37"/>
        <v/>
      </c>
      <c r="Y264" s="174" t="str">
        <f t="shared" si="37"/>
        <v/>
      </c>
      <c r="Z264" s="174" t="str">
        <f t="shared" si="37"/>
        <v/>
      </c>
      <c r="AA264" s="174" t="str">
        <f t="shared" si="37"/>
        <v/>
      </c>
      <c r="AB264" s="174" t="str">
        <f t="shared" si="37"/>
        <v/>
      </c>
      <c r="AC264" s="174" t="str">
        <f t="shared" si="37"/>
        <v/>
      </c>
      <c r="AD264" s="174" t="str">
        <f t="shared" si="37"/>
        <v/>
      </c>
      <c r="AE264" s="174" t="str">
        <f t="shared" si="37"/>
        <v/>
      </c>
      <c r="AF264" s="174" t="str">
        <f t="shared" si="37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38">IF(B232&lt;100,"",B232-620)</f>
        <v/>
      </c>
      <c r="C265" s="174" t="str">
        <f t="shared" si="38"/>
        <v/>
      </c>
      <c r="D265" s="174" t="str">
        <f t="shared" si="38"/>
        <v/>
      </c>
      <c r="E265" s="174" t="str">
        <f t="shared" si="38"/>
        <v/>
      </c>
      <c r="F265" s="174" t="str">
        <f t="shared" si="38"/>
        <v/>
      </c>
      <c r="G265" s="174" t="str">
        <f t="shared" si="38"/>
        <v/>
      </c>
      <c r="H265" s="174" t="str">
        <f t="shared" si="38"/>
        <v/>
      </c>
      <c r="I265" s="174" t="str">
        <f t="shared" si="38"/>
        <v/>
      </c>
      <c r="J265" s="174" t="str">
        <f t="shared" si="38"/>
        <v/>
      </c>
      <c r="K265" s="174" t="str">
        <f t="shared" si="38"/>
        <v/>
      </c>
      <c r="L265" s="174" t="str">
        <f t="shared" si="38"/>
        <v/>
      </c>
      <c r="M265" s="174" t="str">
        <f t="shared" si="38"/>
        <v/>
      </c>
      <c r="N265" s="174" t="str">
        <f t="shared" si="38"/>
        <v/>
      </c>
      <c r="O265" s="174" t="str">
        <f t="shared" si="38"/>
        <v/>
      </c>
      <c r="P265" s="174" t="str">
        <f t="shared" si="38"/>
        <v/>
      </c>
      <c r="Q265" s="174" t="str">
        <f t="shared" si="38"/>
        <v/>
      </c>
      <c r="R265" s="174" t="str">
        <f t="shared" si="38"/>
        <v/>
      </c>
      <c r="S265" s="174" t="str">
        <f t="shared" si="38"/>
        <v/>
      </c>
      <c r="T265" s="174" t="str">
        <f t="shared" si="38"/>
        <v/>
      </c>
      <c r="U265" s="174" t="str">
        <f t="shared" si="38"/>
        <v/>
      </c>
      <c r="V265" s="174" t="str">
        <f t="shared" si="38"/>
        <v/>
      </c>
      <c r="W265" s="174" t="str">
        <f t="shared" si="38"/>
        <v/>
      </c>
      <c r="X265" s="174" t="str">
        <f t="shared" si="38"/>
        <v/>
      </c>
      <c r="Y265" s="174" t="str">
        <f t="shared" si="38"/>
        <v/>
      </c>
      <c r="Z265" s="174" t="str">
        <f t="shared" si="38"/>
        <v/>
      </c>
      <c r="AA265" s="174" t="str">
        <f t="shared" si="38"/>
        <v/>
      </c>
      <c r="AB265" s="174" t="str">
        <f t="shared" si="38"/>
        <v/>
      </c>
      <c r="AC265" s="174" t="str">
        <f t="shared" si="38"/>
        <v/>
      </c>
      <c r="AD265" s="174" t="str">
        <f t="shared" si="38"/>
        <v/>
      </c>
      <c r="AE265" s="174" t="str">
        <f t="shared" si="38"/>
        <v/>
      </c>
      <c r="AF265" s="174" t="str">
        <f t="shared" si="38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39">IF(B233&lt;100,"",B233-330)</f>
        <v/>
      </c>
      <c r="C266" s="174" t="str">
        <f t="shared" si="39"/>
        <v/>
      </c>
      <c r="D266" s="174" t="str">
        <f t="shared" si="39"/>
        <v/>
      </c>
      <c r="E266" s="174" t="str">
        <f t="shared" si="39"/>
        <v/>
      </c>
      <c r="F266" s="174" t="str">
        <f t="shared" si="39"/>
        <v/>
      </c>
      <c r="G266" s="174" t="str">
        <f t="shared" si="39"/>
        <v/>
      </c>
      <c r="H266" s="174" t="str">
        <f t="shared" si="39"/>
        <v/>
      </c>
      <c r="I266" s="174" t="str">
        <f t="shared" si="39"/>
        <v/>
      </c>
      <c r="J266" s="174" t="str">
        <f t="shared" si="39"/>
        <v/>
      </c>
      <c r="K266" s="174" t="str">
        <f t="shared" si="39"/>
        <v/>
      </c>
      <c r="L266" s="174" t="str">
        <f t="shared" si="39"/>
        <v/>
      </c>
      <c r="M266" s="174" t="str">
        <f t="shared" si="39"/>
        <v/>
      </c>
      <c r="N266" s="174" t="str">
        <f t="shared" si="39"/>
        <v/>
      </c>
      <c r="O266" s="174" t="str">
        <f t="shared" si="39"/>
        <v/>
      </c>
      <c r="P266" s="174" t="str">
        <f t="shared" si="39"/>
        <v/>
      </c>
      <c r="Q266" s="174" t="str">
        <f t="shared" si="39"/>
        <v/>
      </c>
      <c r="R266" s="174" t="str">
        <f t="shared" si="39"/>
        <v/>
      </c>
      <c r="S266" s="174" t="str">
        <f t="shared" si="39"/>
        <v/>
      </c>
      <c r="T266" s="174" t="str">
        <f t="shared" si="39"/>
        <v/>
      </c>
      <c r="U266" s="174" t="str">
        <f t="shared" si="39"/>
        <v/>
      </c>
      <c r="V266" s="174" t="str">
        <f t="shared" si="39"/>
        <v/>
      </c>
      <c r="W266" s="174" t="str">
        <f t="shared" si="39"/>
        <v/>
      </c>
      <c r="X266" s="174" t="str">
        <f t="shared" si="39"/>
        <v/>
      </c>
      <c r="Y266" s="174" t="str">
        <f t="shared" si="39"/>
        <v/>
      </c>
      <c r="Z266" s="174" t="str">
        <f t="shared" si="39"/>
        <v/>
      </c>
      <c r="AA266" s="174" t="str">
        <f t="shared" si="39"/>
        <v/>
      </c>
      <c r="AB266" s="174" t="str">
        <f t="shared" si="39"/>
        <v/>
      </c>
      <c r="AC266" s="174" t="str">
        <f t="shared" si="39"/>
        <v/>
      </c>
      <c r="AD266" s="174" t="str">
        <f t="shared" si="39"/>
        <v/>
      </c>
      <c r="AE266" s="174" t="str">
        <f t="shared" si="39"/>
        <v/>
      </c>
      <c r="AF266" s="174" t="str">
        <f t="shared" si="39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40">IF(B234&lt;100,"",B234-1500)</f>
        <v/>
      </c>
      <c r="C267" s="174" t="str">
        <f t="shared" si="40"/>
        <v/>
      </c>
      <c r="D267" s="174" t="str">
        <f t="shared" si="40"/>
        <v/>
      </c>
      <c r="E267" s="174" t="str">
        <f t="shared" si="40"/>
        <v/>
      </c>
      <c r="F267" s="174" t="str">
        <f t="shared" si="40"/>
        <v/>
      </c>
      <c r="G267" s="174" t="str">
        <f t="shared" si="40"/>
        <v/>
      </c>
      <c r="H267" s="174" t="str">
        <f t="shared" si="40"/>
        <v/>
      </c>
      <c r="I267" s="174" t="str">
        <f t="shared" si="40"/>
        <v/>
      </c>
      <c r="J267" s="174" t="str">
        <f t="shared" si="40"/>
        <v/>
      </c>
      <c r="K267" s="174" t="str">
        <f t="shared" si="40"/>
        <v/>
      </c>
      <c r="L267" s="174" t="str">
        <f t="shared" si="40"/>
        <v/>
      </c>
      <c r="M267" s="174" t="str">
        <f t="shared" si="40"/>
        <v/>
      </c>
      <c r="N267" s="174" t="str">
        <f t="shared" si="40"/>
        <v/>
      </c>
      <c r="O267" s="174" t="str">
        <f t="shared" si="40"/>
        <v/>
      </c>
      <c r="P267" s="174" t="str">
        <f t="shared" si="40"/>
        <v/>
      </c>
      <c r="Q267" s="174" t="str">
        <f t="shared" si="40"/>
        <v/>
      </c>
      <c r="R267" s="174" t="str">
        <f t="shared" si="40"/>
        <v/>
      </c>
      <c r="S267" s="174" t="str">
        <f t="shared" si="40"/>
        <v/>
      </c>
      <c r="T267" s="174" t="str">
        <f t="shared" si="40"/>
        <v/>
      </c>
      <c r="U267" s="174" t="str">
        <f t="shared" si="40"/>
        <v/>
      </c>
      <c r="V267" s="174" t="str">
        <f t="shared" si="40"/>
        <v/>
      </c>
      <c r="W267" s="174" t="str">
        <f t="shared" si="40"/>
        <v/>
      </c>
      <c r="X267" s="174" t="str">
        <f t="shared" si="40"/>
        <v/>
      </c>
      <c r="Y267" s="174" t="str">
        <f t="shared" si="40"/>
        <v/>
      </c>
      <c r="Z267" s="174" t="str">
        <f t="shared" si="40"/>
        <v/>
      </c>
      <c r="AA267" s="174" t="str">
        <f t="shared" si="40"/>
        <v/>
      </c>
      <c r="AB267" s="174" t="str">
        <f t="shared" si="40"/>
        <v/>
      </c>
      <c r="AC267" s="174" t="str">
        <f t="shared" si="40"/>
        <v/>
      </c>
      <c r="AD267" s="174" t="str">
        <f t="shared" si="40"/>
        <v/>
      </c>
      <c r="AE267" s="174" t="str">
        <f t="shared" si="40"/>
        <v/>
      </c>
      <c r="AF267" s="174" t="str">
        <f t="shared" si="40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5:AF105 D107:AF112 Y11:AF41">
    <cfRule type="expression" dxfId="2523" priority="239">
      <formula>B$9&gt;=20/24</formula>
    </cfRule>
    <cfRule type="expression" dxfId="2522" priority="240">
      <formula>AND(B$9&gt;=14/24,B$9&lt;20/24)</formula>
    </cfRule>
    <cfRule type="expression" dxfId="2521" priority="241">
      <formula>AND(B$9&gt;=8/24,B$9&lt;14/24)</formula>
    </cfRule>
    <cfRule type="expression" dxfId="2520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AG61 Y11:AF41">
    <cfRule type="expression" dxfId="2519" priority="237">
      <formula>Y11&gt;$AG11</formula>
    </cfRule>
  </conditionalFormatting>
  <conditionalFormatting sqref="A95:A105 A55:A82 A91:A93 A198:A228 A42:A53 A114:A185 A38:A39 A87:A89 A84:A85 A107:A109 A35:A36 A17:A18 A11:A15 A20:A33">
    <cfRule type="expression" dxfId="2518" priority="236">
      <formula>$AH11=0</formula>
    </cfRule>
  </conditionalFormatting>
  <conditionalFormatting sqref="A110">
    <cfRule type="expression" dxfId="2517" priority="235">
      <formula>$AH110=0</formula>
    </cfRule>
  </conditionalFormatting>
  <conditionalFormatting sqref="AL39">
    <cfRule type="iconSet" priority="234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2516" priority="233">
      <formula>$AH41=0</formula>
    </cfRule>
  </conditionalFormatting>
  <conditionalFormatting sqref="A94">
    <cfRule type="expression" dxfId="2515" priority="232">
      <formula>$AH94=0</formula>
    </cfRule>
  </conditionalFormatting>
  <conditionalFormatting sqref="A16">
    <cfRule type="expression" dxfId="2514" priority="231">
      <formula>$AH16=0</formula>
    </cfRule>
  </conditionalFormatting>
  <conditionalFormatting sqref="A192:A197">
    <cfRule type="expression" dxfId="2513" priority="230">
      <formula>$AH192=0</formula>
    </cfRule>
  </conditionalFormatting>
  <conditionalFormatting sqref="A186:A191">
    <cfRule type="expression" dxfId="2512" priority="229">
      <formula>$AH186=0</formula>
    </cfRule>
  </conditionalFormatting>
  <conditionalFormatting sqref="A54">
    <cfRule type="expression" dxfId="2511" priority="228">
      <formula>$AH54=0</formula>
    </cfRule>
  </conditionalFormatting>
  <conditionalFormatting sqref="A90">
    <cfRule type="expression" dxfId="2510" priority="227">
      <formula>$AH90=0</formula>
    </cfRule>
  </conditionalFormatting>
  <conditionalFormatting sqref="AE95:AF95 E95:X95">
    <cfRule type="expression" dxfId="2509" priority="223">
      <formula>E$9&gt;=20/24</formula>
    </cfRule>
    <cfRule type="expression" dxfId="2508" priority="224">
      <formula>AND(E$9&gt;=14/24,E$9&lt;20/24)</formula>
    </cfRule>
    <cfRule type="expression" dxfId="2507" priority="225">
      <formula>AND(E$9&gt;=8/24,E$9&lt;14/24)</formula>
    </cfRule>
    <cfRule type="expression" dxfId="2506" priority="226">
      <formula>E$9&lt;8/24</formula>
    </cfRule>
  </conditionalFormatting>
  <conditionalFormatting sqref="AL40">
    <cfRule type="iconSet" priority="2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505" priority="245">
      <formula>C$9&gt;=20/24</formula>
    </cfRule>
    <cfRule type="expression" dxfId="2504" priority="246">
      <formula>AND(C$9&gt;=14/24,C$9&lt;20/24)</formula>
    </cfRule>
    <cfRule type="expression" dxfId="2503" priority="247">
      <formula>AND(C$9&gt;=8/24,C$9&lt;14/24)</formula>
    </cfRule>
    <cfRule type="expression" dxfId="2502" priority="248">
      <formula>C$9&lt;8/24</formula>
    </cfRule>
  </conditionalFormatting>
  <conditionalFormatting sqref="A229">
    <cfRule type="expression" dxfId="2501" priority="249">
      <formula>$AH229=0</formula>
    </cfRule>
  </conditionalFormatting>
  <conditionalFormatting sqref="AG241">
    <cfRule type="expression" dxfId="2500" priority="250">
      <formula>B$9&gt;=20/24</formula>
    </cfRule>
    <cfRule type="expression" dxfId="2499" priority="251">
      <formula>AND(B$9&gt;=14/24,B$9&lt;20/24)</formula>
    </cfRule>
    <cfRule type="expression" dxfId="2498" priority="252">
      <formula>AND(B$9&gt;=8/24,B$9&lt;14/24)</formula>
    </cfRule>
    <cfRule type="expression" dxfId="2497" priority="253">
      <formula>B$9&lt;8/24</formula>
    </cfRule>
  </conditionalFormatting>
  <conditionalFormatting sqref="S8">
    <cfRule type="expression" dxfId="2496" priority="218">
      <formula>U$9&gt;=20/24</formula>
    </cfRule>
    <cfRule type="expression" dxfId="2495" priority="219">
      <formula>AND(U$9&gt;=14/24,U$9&lt;20/24)</formula>
    </cfRule>
    <cfRule type="expression" dxfId="2494" priority="220">
      <formula>AND(U$9&gt;=8/24,U$9&lt;14/24)</formula>
    </cfRule>
    <cfRule type="expression" dxfId="2493" priority="221">
      <formula>U$9&lt;8/24</formula>
    </cfRule>
  </conditionalFormatting>
  <conditionalFormatting sqref="AB8">
    <cfRule type="expression" dxfId="2492" priority="214">
      <formula>AD$9&gt;=20/24</formula>
    </cfRule>
    <cfRule type="expression" dxfId="2491" priority="215">
      <formula>AND(AD$9&gt;=14/24,AD$9&lt;20/24)</formula>
    </cfRule>
    <cfRule type="expression" dxfId="2490" priority="216">
      <formula>AND(AD$9&gt;=8/24,AD$9&lt;14/24)</formula>
    </cfRule>
    <cfRule type="expression" dxfId="2489" priority="217">
      <formula>AD$9&lt;8/24</formula>
    </cfRule>
  </conditionalFormatting>
  <conditionalFormatting sqref="AH241:AX241">
    <cfRule type="expression" dxfId="2488" priority="254">
      <formula>AG$9&gt;=20/24</formula>
    </cfRule>
    <cfRule type="expression" dxfId="2487" priority="255">
      <formula>AND(AG$9&gt;=14/24,AG$9&lt;20/24)</formula>
    </cfRule>
    <cfRule type="expression" dxfId="2486" priority="256">
      <formula>AND(AG$9&gt;=8/24,AG$9&lt;14/24)</formula>
    </cfRule>
    <cfRule type="expression" dxfId="2485" priority="257">
      <formula>AG$9&lt;8/24</formula>
    </cfRule>
  </conditionalFormatting>
  <conditionalFormatting sqref="T241">
    <cfRule type="expression" dxfId="2484" priority="258">
      <formula>AX$9&gt;=20/24</formula>
    </cfRule>
    <cfRule type="expression" dxfId="2483" priority="259">
      <formula>AND(AX$9&gt;=14/24,AX$9&lt;20/24)</formula>
    </cfRule>
    <cfRule type="expression" dxfId="2482" priority="260">
      <formula>AND(AX$9&gt;=8/24,AX$9&lt;14/24)</formula>
    </cfRule>
    <cfRule type="expression" dxfId="2481" priority="261">
      <formula>AX$9&lt;8/24</formula>
    </cfRule>
  </conditionalFormatting>
  <conditionalFormatting sqref="A111:A112">
    <cfRule type="expression" dxfId="2480" priority="213">
      <formula>$AH111=0</formula>
    </cfRule>
  </conditionalFormatting>
  <conditionalFormatting sqref="P50:Q50 N50:O54 Q51:Q56 P51:P54 R52:U56 V54:X56 AB50:AC51 Y52:AC53 AD50:AF53 E67:AF67">
    <cfRule type="expression" dxfId="2479" priority="209">
      <formula>E$9&gt;=20/24</formula>
    </cfRule>
    <cfRule type="expression" dxfId="2478" priority="210">
      <formula>AND(E$9&gt;=14/24,E$9&lt;20/24)</formula>
    </cfRule>
    <cfRule type="expression" dxfId="2477" priority="211">
      <formula>AND(E$9&gt;=8/24,E$9&lt;14/24)</formula>
    </cfRule>
    <cfRule type="expression" dxfId="2476" priority="212">
      <formula>E$9&lt;8/24</formula>
    </cfRule>
  </conditionalFormatting>
  <conditionalFormatting sqref="N49:Q49 AB49:AF49">
    <cfRule type="expression" dxfId="2475" priority="205">
      <formula>N$9&gt;=20/24</formula>
    </cfRule>
    <cfRule type="expression" dxfId="2474" priority="206">
      <formula>AND(N$9&gt;=14/24,N$9&lt;20/24)</formula>
    </cfRule>
    <cfRule type="expression" dxfId="2473" priority="207">
      <formula>AND(N$9&gt;=8/24,N$9&lt;14/24)</formula>
    </cfRule>
    <cfRule type="expression" dxfId="2472" priority="208">
      <formula>N$9&lt;8/24</formula>
    </cfRule>
  </conditionalFormatting>
  <conditionalFormatting sqref="P49:Q50 N49:O54 Q51:Q56 P51:P54 R52:U56 V54:X56 AB49:AC51 Y52:AC53 AD49:AF53">
    <cfRule type="expression" dxfId="2471" priority="204">
      <formula>N49&gt;$AG49</formula>
    </cfRule>
  </conditionalFormatting>
  <conditionalFormatting sqref="AE96:AF102 E68:AC69 M96:X102 Y70:AC70 D82:AF82 X92:AF92 X43:AF43 X63:AF65 AD68:AF70">
    <cfRule type="expression" dxfId="2470" priority="200">
      <formula>D$9&gt;=20/24</formula>
    </cfRule>
    <cfRule type="expression" dxfId="2469" priority="201">
      <formula>AND(D$9&gt;=14/24,D$9&lt;20/24)</formula>
    </cfRule>
    <cfRule type="expression" dxfId="2468" priority="202">
      <formula>AND(D$9&gt;=8/24,D$9&lt;14/24)</formula>
    </cfRule>
    <cfRule type="expression" dxfId="2467" priority="203">
      <formula>D$9&lt;8/24</formula>
    </cfRule>
  </conditionalFormatting>
  <conditionalFormatting sqref="X43:AF43 X63:AF65">
    <cfRule type="expression" dxfId="2466" priority="199">
      <formula>X43&gt;$AG43</formula>
    </cfRule>
  </conditionalFormatting>
  <conditionalFormatting sqref="V52:V53 R49:V51 W49:X53 Y49:AA51">
    <cfRule type="expression" dxfId="2465" priority="195">
      <formula>R$9&gt;=20/24</formula>
    </cfRule>
    <cfRule type="expression" dxfId="2464" priority="196">
      <formula>AND(R$9&gt;=14/24,R$9&lt;20/24)</formula>
    </cfRule>
    <cfRule type="expression" dxfId="2463" priority="197">
      <formula>AND(R$9&gt;=8/24,R$9&lt;14/24)</formula>
    </cfRule>
    <cfRule type="expression" dxfId="2462" priority="198">
      <formula>R$9&lt;8/24</formula>
    </cfRule>
  </conditionalFormatting>
  <conditionalFormatting sqref="V52:V53 R49:V51 W49:X53 Y49:AA51">
    <cfRule type="expression" dxfId="2461" priority="194">
      <formula>R49&gt;$AG49</formula>
    </cfRule>
  </conditionalFormatting>
  <conditionalFormatting sqref="C93:AF93 C84:AF84">
    <cfRule type="expression" dxfId="2460" priority="190">
      <formula>C$9&gt;=20/24</formula>
    </cfRule>
    <cfRule type="expression" dxfId="2459" priority="191">
      <formula>AND(C$9&gt;=14/24,C$9&lt;20/24)</formula>
    </cfRule>
    <cfRule type="expression" dxfId="2458" priority="192">
      <formula>AND(C$9&gt;=8/24,C$9&lt;14/24)</formula>
    </cfRule>
    <cfRule type="expression" dxfId="2457" priority="193">
      <formula>C$9&lt;8/24</formula>
    </cfRule>
  </conditionalFormatting>
  <conditionalFormatting sqref="T43:W43">
    <cfRule type="expression" dxfId="2456" priority="186">
      <formula>T$9&gt;=20/24</formula>
    </cfRule>
    <cfRule type="expression" dxfId="2455" priority="187">
      <formula>AND(T$9&gt;=14/24,T$9&lt;20/24)</formula>
    </cfRule>
    <cfRule type="expression" dxfId="2454" priority="188">
      <formula>AND(T$9&gt;=8/24,T$9&lt;14/24)</formula>
    </cfRule>
    <cfRule type="expression" dxfId="2453" priority="189">
      <formula>T$9&lt;8/24</formula>
    </cfRule>
  </conditionalFormatting>
  <conditionalFormatting sqref="T43:W43">
    <cfRule type="expression" dxfId="2452" priority="185">
      <formula>T43&gt;$AG43</formula>
    </cfRule>
  </conditionalFormatting>
  <conditionalFormatting sqref="E50:M50 E51:L51 Y42:AF42">
    <cfRule type="expression" dxfId="2451" priority="181">
      <formula>E$9&gt;=20/24</formula>
    </cfRule>
    <cfRule type="expression" dxfId="2450" priority="182">
      <formula>AND(E$9&gt;=14/24,E$9&lt;20/24)</formula>
    </cfRule>
    <cfRule type="expression" dxfId="2449" priority="183">
      <formula>AND(E$9&gt;=8/24,E$9&lt;14/24)</formula>
    </cfRule>
    <cfRule type="expression" dxfId="2448" priority="184">
      <formula>E$9&lt;8/24</formula>
    </cfRule>
  </conditionalFormatting>
  <conditionalFormatting sqref="E49:M49">
    <cfRule type="expression" dxfId="2447" priority="177">
      <formula>E$9&gt;=20/24</formula>
    </cfRule>
    <cfRule type="expression" dxfId="2446" priority="178">
      <formula>AND(E$9&gt;=14/24,E$9&lt;20/24)</formula>
    </cfRule>
    <cfRule type="expression" dxfId="2445" priority="179">
      <formula>AND(E$9&gt;=8/24,E$9&lt;14/24)</formula>
    </cfRule>
    <cfRule type="expression" dxfId="2444" priority="180">
      <formula>E$9&lt;8/24</formula>
    </cfRule>
  </conditionalFormatting>
  <conditionalFormatting sqref="E49:M50 E51:L51 Y42:AF42">
    <cfRule type="expression" dxfId="2443" priority="176">
      <formula>E42&gt;$AG42</formula>
    </cfRule>
  </conditionalFormatting>
  <conditionalFormatting sqref="AG66 AG83 Q63:W65 E96:L102">
    <cfRule type="expression" dxfId="2442" priority="172">
      <formula>E$9&gt;=20/24</formula>
    </cfRule>
    <cfRule type="expression" dxfId="2441" priority="173">
      <formula>AND(E$9&gt;=14/24,E$9&lt;20/24)</formula>
    </cfRule>
    <cfRule type="expression" dxfId="2440" priority="174">
      <formula>AND(E$9&gt;=8/24,E$9&lt;14/24)</formula>
    </cfRule>
    <cfRule type="expression" dxfId="2439" priority="175">
      <formula>E$9&lt;8/24</formula>
    </cfRule>
  </conditionalFormatting>
  <conditionalFormatting sqref="AG44 AG62 AG66 Q63:W65">
    <cfRule type="expression" dxfId="2438" priority="171">
      <formula>Q44&gt;$AG44</formula>
    </cfRule>
  </conditionalFormatting>
  <conditionalFormatting sqref="Y54:AF54">
    <cfRule type="expression" dxfId="2437" priority="167">
      <formula>Y$9&gt;=20/24</formula>
    </cfRule>
    <cfRule type="expression" dxfId="2436" priority="168">
      <formula>AND(Y$9&gt;=14/24,Y$9&lt;20/24)</formula>
    </cfRule>
    <cfRule type="expression" dxfId="2435" priority="169">
      <formula>AND(Y$9&gt;=8/24,Y$9&lt;14/24)</formula>
    </cfRule>
    <cfRule type="expression" dxfId="2434" priority="170">
      <formula>Y$9&lt;8/24</formula>
    </cfRule>
  </conditionalFormatting>
  <conditionalFormatting sqref="Y54:AF54">
    <cfRule type="expression" dxfId="2433" priority="166">
      <formula>Y54&gt;$AG54</formula>
    </cfRule>
  </conditionalFormatting>
  <conditionalFormatting sqref="A40">
    <cfRule type="expression" dxfId="2432" priority="165">
      <formula>$AH40=0</formula>
    </cfRule>
  </conditionalFormatting>
  <conditionalFormatting sqref="X87:AF91">
    <cfRule type="expression" dxfId="2431" priority="161">
      <formula>X$9&gt;=20/24</formula>
    </cfRule>
    <cfRule type="expression" dxfId="2430" priority="162">
      <formula>AND(X$9&gt;=14/24,X$9&lt;20/24)</formula>
    </cfRule>
    <cfRule type="expression" dxfId="2429" priority="163">
      <formula>AND(X$9&gt;=8/24,X$9&lt;14/24)</formula>
    </cfRule>
    <cfRule type="expression" dxfId="2428" priority="164">
      <formula>X$9&lt;8/24</formula>
    </cfRule>
  </conditionalFormatting>
  <conditionalFormatting sqref="AL41 AL38 AL20:AL33 AL35:AL36 AL7:AL18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E45:AF47">
    <cfRule type="expression" dxfId="2427" priority="157">
      <formula>E$9&gt;=20/24</formula>
    </cfRule>
    <cfRule type="expression" dxfId="2426" priority="158">
      <formula>AND(E$9&gt;=14/24,E$9&lt;20/24)</formula>
    </cfRule>
    <cfRule type="expression" dxfId="2425" priority="159">
      <formula>AND(E$9&gt;=8/24,E$9&lt;14/24)</formula>
    </cfRule>
    <cfRule type="expression" dxfId="2424" priority="160">
      <formula>E$9&lt;8/24</formula>
    </cfRule>
  </conditionalFormatting>
  <conditionalFormatting sqref="E45:AF47">
    <cfRule type="expression" dxfId="2423" priority="156">
      <formula>E45&gt;$AG45</formula>
    </cfRule>
  </conditionalFormatting>
  <conditionalFormatting sqref="AG48">
    <cfRule type="expression" dxfId="2422" priority="152">
      <formula>AG$9&gt;=20/24</formula>
    </cfRule>
    <cfRule type="expression" dxfId="2421" priority="153">
      <formula>AND(AG$9&gt;=14/24,AG$9&lt;20/24)</formula>
    </cfRule>
    <cfRule type="expression" dxfId="2420" priority="154">
      <formula>AND(AG$9&gt;=8/24,AG$9&lt;14/24)</formula>
    </cfRule>
    <cfRule type="expression" dxfId="2419" priority="155">
      <formula>AG$9&lt;8/24</formula>
    </cfRule>
  </conditionalFormatting>
  <conditionalFormatting sqref="AG48">
    <cfRule type="expression" dxfId="2418" priority="151">
      <formula>AG48&gt;$AG48</formula>
    </cfRule>
  </conditionalFormatting>
  <conditionalFormatting sqref="C103:AF103">
    <cfRule type="expression" dxfId="2417" priority="147">
      <formula>C$9&gt;=20/24</formula>
    </cfRule>
    <cfRule type="expression" dxfId="2416" priority="148">
      <formula>AND(C$9&gt;=14/24,C$9&lt;20/24)</formula>
    </cfRule>
    <cfRule type="expression" dxfId="2415" priority="149">
      <formula>AND(C$9&gt;=8/24,C$9&lt;14/24)</formula>
    </cfRule>
    <cfRule type="expression" dxfId="2414" priority="150">
      <formula>C$9&lt;8/24</formula>
    </cfRule>
  </conditionalFormatting>
  <conditionalFormatting sqref="AL37">
    <cfRule type="iconSet" priority="146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2413" priority="145">
      <formula>$AH37=0</formula>
    </cfRule>
  </conditionalFormatting>
  <conditionalFormatting sqref="A86">
    <cfRule type="expression" dxfId="2412" priority="143">
      <formula>$AH86=0</formula>
    </cfRule>
  </conditionalFormatting>
  <conditionalFormatting sqref="A83">
    <cfRule type="expression" dxfId="2411" priority="144">
      <formula>$AH83=0</formula>
    </cfRule>
  </conditionalFormatting>
  <conditionalFormatting sqref="D106:AF106">
    <cfRule type="expression" dxfId="2410" priority="131">
      <formula>D$9&gt;=20/24</formula>
    </cfRule>
    <cfRule type="expression" dxfId="2409" priority="132">
      <formula>AND(D$9&gt;=14/24,D$9&lt;20/24)</formula>
    </cfRule>
    <cfRule type="expression" dxfId="2408" priority="133">
      <formula>AND(D$9&gt;=8/24,D$9&lt;14/24)</formula>
    </cfRule>
    <cfRule type="expression" dxfId="2407" priority="134">
      <formula>D$9&lt;8/24</formula>
    </cfRule>
  </conditionalFormatting>
  <conditionalFormatting sqref="A106">
    <cfRule type="expression" dxfId="2406" priority="130">
      <formula>$AH106=0</formula>
    </cfRule>
  </conditionalFormatting>
  <conditionalFormatting sqref="A19">
    <cfRule type="expression" dxfId="2405" priority="128">
      <formula>$AH19=0</formula>
    </cfRule>
  </conditionalFormatting>
  <conditionalFormatting sqref="AL19">
    <cfRule type="iconSet" priority="129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2404" priority="126">
      <formula>$AH34=0</formula>
    </cfRule>
  </conditionalFormatting>
  <conditionalFormatting sqref="AL34">
    <cfRule type="iconSet" priority="127">
      <iconSet iconSet="3TrafficLights2" reverse="1">
        <cfvo type="percent" val="0"/>
        <cfvo type="num" val="1"/>
        <cfvo type="num" val="1"/>
      </iconSet>
    </cfRule>
  </conditionalFormatting>
  <conditionalFormatting sqref="Y95:AD95">
    <cfRule type="expression" dxfId="2403" priority="122">
      <formula>Y$9&gt;=20/24</formula>
    </cfRule>
    <cfRule type="expression" dxfId="2402" priority="123">
      <formula>AND(Y$9&gt;=14/24,Y$9&lt;20/24)</formula>
    </cfRule>
    <cfRule type="expression" dxfId="2401" priority="124">
      <formula>AND(Y$9&gt;=8/24,Y$9&lt;14/24)</formula>
    </cfRule>
    <cfRule type="expression" dxfId="2400" priority="125">
      <formula>Y$9&lt;8/24</formula>
    </cfRule>
  </conditionalFormatting>
  <conditionalFormatting sqref="Y96:AD102">
    <cfRule type="expression" dxfId="2399" priority="118">
      <formula>Y$9&gt;=20/24</formula>
    </cfRule>
    <cfRule type="expression" dxfId="2398" priority="119">
      <formula>AND(Y$9&gt;=14/24,Y$9&lt;20/24)</formula>
    </cfRule>
    <cfRule type="expression" dxfId="2397" priority="120">
      <formula>AND(Y$9&gt;=8/24,Y$9&lt;14/24)</formula>
    </cfRule>
    <cfRule type="expression" dxfId="2396" priority="121">
      <formula>Y$9&lt;8/24</formula>
    </cfRule>
  </conditionalFormatting>
  <conditionalFormatting sqref="B105:C105 B107:C112 B15:X40">
    <cfRule type="expression" dxfId="2395" priority="114">
      <formula>B$9&gt;=20/24</formula>
    </cfRule>
    <cfRule type="expression" dxfId="2394" priority="115">
      <formula>AND(B$9&gt;=14/24,B$9&lt;20/24)</formula>
    </cfRule>
    <cfRule type="expression" dxfId="2393" priority="116">
      <formula>AND(B$9&gt;=8/24,B$9&lt;14/24)</formula>
    </cfRule>
    <cfRule type="expression" dxfId="2392" priority="117">
      <formula>B$9&lt;8/24</formula>
    </cfRule>
  </conditionalFormatting>
  <conditionalFormatting sqref="B43:S43">
    <cfRule type="expression" dxfId="2391" priority="110">
      <formula>B$9&gt;=20/24</formula>
    </cfRule>
    <cfRule type="expression" dxfId="2390" priority="111">
      <formula>AND(B$9&gt;=14/24,B$9&lt;20/24)</formula>
    </cfRule>
    <cfRule type="expression" dxfId="2389" priority="112">
      <formula>AND(B$9&gt;=8/24,B$9&lt;14/24)</formula>
    </cfRule>
    <cfRule type="expression" dxfId="2388" priority="113">
      <formula>B$9&lt;8/24</formula>
    </cfRule>
  </conditionalFormatting>
  <conditionalFormatting sqref="B43:S43 B15:X40">
    <cfRule type="expression" dxfId="2387" priority="109">
      <formula>B15&gt;$AG15</formula>
    </cfRule>
  </conditionalFormatting>
  <conditionalFormatting sqref="B95:D95">
    <cfRule type="expression" dxfId="2386" priority="105">
      <formula>B$9&gt;=20/24</formula>
    </cfRule>
    <cfRule type="expression" dxfId="2385" priority="106">
      <formula>AND(B$9&gt;=14/24,B$9&lt;20/24)</formula>
    </cfRule>
    <cfRule type="expression" dxfId="2384" priority="107">
      <formula>AND(B$9&gt;=8/24,B$9&lt;14/24)</formula>
    </cfRule>
    <cfRule type="expression" dxfId="2383" priority="108">
      <formula>B$9&lt;8/24</formula>
    </cfRule>
  </conditionalFormatting>
  <conditionalFormatting sqref="B67:D67 B50:D51">
    <cfRule type="expression" dxfId="2382" priority="101">
      <formula>B$9&gt;=20/24</formula>
    </cfRule>
    <cfRule type="expression" dxfId="2381" priority="102">
      <formula>AND(B$9&gt;=14/24,B$9&lt;20/24)</formula>
    </cfRule>
    <cfRule type="expression" dxfId="2380" priority="103">
      <formula>AND(B$9&gt;=8/24,B$9&lt;14/24)</formula>
    </cfRule>
    <cfRule type="expression" dxfId="2379" priority="104">
      <formula>B$9&lt;8/24</formula>
    </cfRule>
  </conditionalFormatting>
  <conditionalFormatting sqref="B49:D49">
    <cfRule type="expression" dxfId="2378" priority="97">
      <formula>B$9&gt;=20/24</formula>
    </cfRule>
    <cfRule type="expression" dxfId="2377" priority="98">
      <formula>AND(B$9&gt;=14/24,B$9&lt;20/24)</formula>
    </cfRule>
    <cfRule type="expression" dxfId="2376" priority="99">
      <formula>AND(B$9&gt;=8/24,B$9&lt;14/24)</formula>
    </cfRule>
    <cfRule type="expression" dxfId="2375" priority="100">
      <formula>B$9&lt;8/24</formula>
    </cfRule>
  </conditionalFormatting>
  <conditionalFormatting sqref="B49:D51">
    <cfRule type="expression" dxfId="2374" priority="96">
      <formula>B49&gt;$AG49</formula>
    </cfRule>
  </conditionalFormatting>
  <conditionalFormatting sqref="B82:C82 B96:D102 B92:W92 B63:P65 B68:D72 E70:X72 B79:AF81 Y71:AF72">
    <cfRule type="expression" dxfId="2373" priority="92">
      <formula>B$9&gt;=20/24</formula>
    </cfRule>
    <cfRule type="expression" dxfId="2372" priority="93">
      <formula>AND(B$9&gt;=14/24,B$9&lt;20/24)</formula>
    </cfRule>
    <cfRule type="expression" dxfId="2371" priority="94">
      <formula>AND(B$9&gt;=8/24,B$9&lt;14/24)</formula>
    </cfRule>
    <cfRule type="expression" dxfId="2370" priority="95">
      <formula>B$9&lt;8/24</formula>
    </cfRule>
  </conditionalFormatting>
  <conditionalFormatting sqref="B63:P65 B52:L53">
    <cfRule type="expression" dxfId="2369" priority="91">
      <formula>B52&gt;$AG52</formula>
    </cfRule>
  </conditionalFormatting>
  <conditionalFormatting sqref="B54:M54">
    <cfRule type="expression" dxfId="2368" priority="87">
      <formula>B$9&gt;=20/24</formula>
    </cfRule>
    <cfRule type="expression" dxfId="2367" priority="88">
      <formula>AND(B$9&gt;=14/24,B$9&lt;20/24)</formula>
    </cfRule>
    <cfRule type="expression" dxfId="2366" priority="89">
      <formula>AND(B$9&gt;=8/24,B$9&lt;14/24)</formula>
    </cfRule>
    <cfRule type="expression" dxfId="2365" priority="90">
      <formula>B$9&lt;8/24</formula>
    </cfRule>
  </conditionalFormatting>
  <conditionalFormatting sqref="B54:M54">
    <cfRule type="expression" dxfId="2364" priority="86">
      <formula>B54&gt;$AG54</formula>
    </cfRule>
  </conditionalFormatting>
  <conditionalFormatting sqref="B84 B93">
    <cfRule type="expression" dxfId="2363" priority="82">
      <formula>B$9&gt;=20/24</formula>
    </cfRule>
    <cfRule type="expression" dxfId="2362" priority="83">
      <formula>AND(B$9&gt;=14/24,B$9&lt;20/24)</formula>
    </cfRule>
    <cfRule type="expression" dxfId="2361" priority="84">
      <formula>AND(B$9&gt;=8/24,B$9&lt;14/24)</formula>
    </cfRule>
    <cfRule type="expression" dxfId="2360" priority="85">
      <formula>B$9&lt;8/24</formula>
    </cfRule>
  </conditionalFormatting>
  <conditionalFormatting sqref="B42:X42">
    <cfRule type="expression" dxfId="2359" priority="78">
      <formula>B$9&gt;=20/24</formula>
    </cfRule>
    <cfRule type="expression" dxfId="2358" priority="79">
      <formula>AND(B$9&gt;=14/24,B$9&lt;20/24)</formula>
    </cfRule>
    <cfRule type="expression" dxfId="2357" priority="80">
      <formula>AND(B$9&gt;=8/24,B$9&lt;14/24)</formula>
    </cfRule>
    <cfRule type="expression" dxfId="2356" priority="81">
      <formula>B$9&lt;8/24</formula>
    </cfRule>
  </conditionalFormatting>
  <conditionalFormatting sqref="B42:X42">
    <cfRule type="expression" dxfId="2355" priority="77">
      <formula>B42&gt;$AG42</formula>
    </cfRule>
  </conditionalFormatting>
  <conditionalFormatting sqref="B83:AF83 B85:AF85 B94:AF94 B66:AF66">
    <cfRule type="expression" dxfId="2354" priority="73">
      <formula>B$9&gt;=20/24</formula>
    </cfRule>
    <cfRule type="expression" dxfId="2353" priority="74">
      <formula>AND(B$9&gt;=14/24,B$9&lt;20/24)</formula>
    </cfRule>
    <cfRule type="expression" dxfId="2352" priority="75">
      <formula>AND(B$9&gt;=8/24,B$9&lt;14/24)</formula>
    </cfRule>
    <cfRule type="expression" dxfId="2351" priority="76">
      <formula>B$9&lt;8/24</formula>
    </cfRule>
  </conditionalFormatting>
  <conditionalFormatting sqref="B61:AF62 B66:AF66 B44:AF44">
    <cfRule type="expression" dxfId="2350" priority="72">
      <formula>B44&gt;$AG44</formula>
    </cfRule>
  </conditionalFormatting>
  <conditionalFormatting sqref="B78:AF78">
    <cfRule type="expression" dxfId="2349" priority="68">
      <formula>B$9&gt;=20/24</formula>
    </cfRule>
    <cfRule type="expression" dxfId="2348" priority="69">
      <formula>AND(B$9&gt;=14/24,B$9&lt;20/24)</formula>
    </cfRule>
    <cfRule type="expression" dxfId="2347" priority="70">
      <formula>AND(B$9&gt;=8/24,B$9&lt;14/24)</formula>
    </cfRule>
    <cfRule type="expression" dxfId="2346" priority="71">
      <formula>B$9&lt;8/24</formula>
    </cfRule>
  </conditionalFormatting>
  <conditionalFormatting sqref="B87:W91">
    <cfRule type="expression" dxfId="2345" priority="64">
      <formula>B$9&gt;=20/24</formula>
    </cfRule>
    <cfRule type="expression" dxfId="2344" priority="65">
      <formula>AND(B$9&gt;=14/24,B$9&lt;20/24)</formula>
    </cfRule>
    <cfRule type="expression" dxfId="2343" priority="66">
      <formula>AND(B$9&gt;=8/24,B$9&lt;14/24)</formula>
    </cfRule>
    <cfRule type="expression" dxfId="2342" priority="67">
      <formula>B$9&lt;8/24</formula>
    </cfRule>
  </conditionalFormatting>
  <conditionalFormatting sqref="B45:D47">
    <cfRule type="expression" dxfId="2341" priority="60">
      <formula>B$9&gt;=20/24</formula>
    </cfRule>
    <cfRule type="expression" dxfId="2340" priority="61">
      <formula>AND(B$9&gt;=14/24,B$9&lt;20/24)</formula>
    </cfRule>
    <cfRule type="expression" dxfId="2339" priority="62">
      <formula>AND(B$9&gt;=8/24,B$9&lt;14/24)</formula>
    </cfRule>
    <cfRule type="expression" dxfId="2338" priority="63">
      <formula>B$9&lt;8/24</formula>
    </cfRule>
  </conditionalFormatting>
  <conditionalFormatting sqref="B45:D47">
    <cfRule type="expression" dxfId="2337" priority="59">
      <formula>B45&gt;$AG45</formula>
    </cfRule>
  </conditionalFormatting>
  <conditionalFormatting sqref="B48:AF48">
    <cfRule type="expression" dxfId="2336" priority="55">
      <formula>B$9&gt;=20/24</formula>
    </cfRule>
    <cfRule type="expression" dxfId="2335" priority="56">
      <formula>AND(B$9&gt;=14/24,B$9&lt;20/24)</formula>
    </cfRule>
    <cfRule type="expression" dxfId="2334" priority="57">
      <formula>AND(B$9&gt;=8/24,B$9&lt;14/24)</formula>
    </cfRule>
    <cfRule type="expression" dxfId="2333" priority="58">
      <formula>B$9&lt;8/24</formula>
    </cfRule>
  </conditionalFormatting>
  <conditionalFormatting sqref="B48:AF48">
    <cfRule type="expression" dxfId="2332" priority="54">
      <formula>B48&gt;$AG48</formula>
    </cfRule>
  </conditionalFormatting>
  <conditionalFormatting sqref="B103">
    <cfRule type="expression" dxfId="2331" priority="50">
      <formula>B$9&gt;=20/24</formula>
    </cfRule>
    <cfRule type="expression" dxfId="2330" priority="51">
      <formula>AND(B$9&gt;=14/24,B$9&lt;20/24)</formula>
    </cfRule>
    <cfRule type="expression" dxfId="2329" priority="52">
      <formula>AND(B$9&gt;=8/24,B$9&lt;14/24)</formula>
    </cfRule>
    <cfRule type="expression" dxfId="2328" priority="53">
      <formula>B$9&lt;8/24</formula>
    </cfRule>
  </conditionalFormatting>
  <conditionalFormatting sqref="B106:C106">
    <cfRule type="expression" dxfId="2327" priority="38">
      <formula>B$9&gt;=20/24</formula>
    </cfRule>
    <cfRule type="expression" dxfId="2326" priority="39">
      <formula>AND(B$9&gt;=14/24,B$9&lt;20/24)</formula>
    </cfRule>
    <cfRule type="expression" dxfId="2325" priority="40">
      <formula>AND(B$9&gt;=8/24,B$9&lt;14/24)</formula>
    </cfRule>
    <cfRule type="expression" dxfId="2324" priority="41">
      <formula>B$9&lt;8/24</formula>
    </cfRule>
  </conditionalFormatting>
  <conditionalFormatting sqref="B55:P60 Q57:X60 Y55:AF60">
    <cfRule type="expression" dxfId="2323" priority="34">
      <formula>B$9&gt;=20/24</formula>
    </cfRule>
    <cfRule type="expression" dxfId="2322" priority="35">
      <formula>AND(B$9&gt;=14/24,B$9&lt;20/24)</formula>
    </cfRule>
    <cfRule type="expression" dxfId="2321" priority="36">
      <formula>AND(B$9&gt;=8/24,B$9&lt;14/24)</formula>
    </cfRule>
    <cfRule type="expression" dxfId="2320" priority="37">
      <formula>B$9&lt;8/24</formula>
    </cfRule>
  </conditionalFormatting>
  <conditionalFormatting sqref="B55:P60 Q57:X60 Y55:AF60">
    <cfRule type="expression" dxfId="2319" priority="33">
      <formula>B55&gt;$AG55</formula>
    </cfRule>
  </conditionalFormatting>
  <conditionalFormatting sqref="B41:X41 B12:X14">
    <cfRule type="expression" dxfId="2318" priority="32">
      <formula>B12&gt;$AG12</formula>
    </cfRule>
  </conditionalFormatting>
  <conditionalFormatting sqref="B11:X11">
    <cfRule type="expression" dxfId="2317" priority="28">
      <formula>B$9&gt;=20/24</formula>
    </cfRule>
    <cfRule type="expression" dxfId="2316" priority="29">
      <formula>AND(B$9&gt;=14/24,B$9&lt;20/24)</formula>
    </cfRule>
    <cfRule type="expression" dxfId="2315" priority="30">
      <formula>AND(B$9&gt;=8/24,B$9&lt;14/24)</formula>
    </cfRule>
    <cfRule type="expression" dxfId="2314" priority="31">
      <formula>B$9&lt;8/24</formula>
    </cfRule>
  </conditionalFormatting>
  <conditionalFormatting sqref="B11:X11">
    <cfRule type="expression" dxfId="2313" priority="27">
      <formula>B11&gt;$AG11</formula>
    </cfRule>
  </conditionalFormatting>
  <conditionalFormatting sqref="B12:X14">
    <cfRule type="expression" dxfId="2312" priority="23">
      <formula>B$9&gt;=20/24</formula>
    </cfRule>
    <cfRule type="expression" dxfId="2311" priority="24">
      <formula>AND(B$9&gt;=14/24,B$9&lt;20/24)</formula>
    </cfRule>
    <cfRule type="expression" dxfId="2310" priority="25">
      <formula>AND(B$9&gt;=8/24,B$9&lt;14/24)</formula>
    </cfRule>
    <cfRule type="expression" dxfId="2309" priority="26">
      <formula>B$9&lt;8/24</formula>
    </cfRule>
  </conditionalFormatting>
  <conditionalFormatting sqref="B41:X41">
    <cfRule type="expression" dxfId="2308" priority="19">
      <formula>B$9&gt;=20/24</formula>
    </cfRule>
    <cfRule type="expression" dxfId="2307" priority="20">
      <formula>AND(B$9&gt;=14/24,B$9&lt;20/24)</formula>
    </cfRule>
    <cfRule type="expression" dxfId="2306" priority="21">
      <formula>AND(B$9&gt;=8/24,B$9&lt;14/24)</formula>
    </cfRule>
    <cfRule type="expression" dxfId="2305" priority="22">
      <formula>B$9&lt;8/24</formula>
    </cfRule>
  </conditionalFormatting>
  <conditionalFormatting sqref="B73:AF77">
    <cfRule type="expression" dxfId="2304" priority="15">
      <formula>B$9&gt;=20/24</formula>
    </cfRule>
    <cfRule type="expression" dxfId="2303" priority="16">
      <formula>AND(B$9&gt;=14/24,B$9&lt;20/24)</formula>
    </cfRule>
    <cfRule type="expression" dxfId="2302" priority="17">
      <formula>AND(B$9&gt;=8/24,B$9&lt;14/24)</formula>
    </cfRule>
    <cfRule type="expression" dxfId="2301" priority="18">
      <formula>B$9&lt;8/24</formula>
    </cfRule>
  </conditionalFormatting>
  <conditionalFormatting sqref="AL74:AN74 AL80:AN80 AN75:AN76">
    <cfRule type="expression" dxfId="2300" priority="11">
      <formula>AL$9&gt;=20/24</formula>
    </cfRule>
    <cfRule type="expression" dxfId="2299" priority="12">
      <formula>AND(AL$9&gt;=14/24,AL$9&lt;20/24)</formula>
    </cfRule>
    <cfRule type="expression" dxfId="2298" priority="13">
      <formula>AND(AL$9&gt;=8/24,AL$9&lt;14/24)</formula>
    </cfRule>
    <cfRule type="expression" dxfId="2297" priority="14">
      <formula>AL$9&lt;8/24</formula>
    </cfRule>
  </conditionalFormatting>
  <conditionalFormatting sqref="AN77:AN78">
    <cfRule type="expression" dxfId="2296" priority="7">
      <formula>AN$9&gt;=20/24</formula>
    </cfRule>
    <cfRule type="expression" dxfId="2295" priority="8">
      <formula>AND(AN$9&gt;=14/24,AN$9&lt;20/24)</formula>
    </cfRule>
    <cfRule type="expression" dxfId="2294" priority="9">
      <formula>AND(AN$9&gt;=8/24,AN$9&lt;14/24)</formula>
    </cfRule>
    <cfRule type="expression" dxfId="2293" priority="10">
      <formula>AN$9&lt;8/24</formula>
    </cfRule>
  </conditionalFormatting>
  <conditionalFormatting sqref="AL75:AM79">
    <cfRule type="expression" dxfId="2292" priority="263">
      <formula>AJ$9&gt;=20/24</formula>
    </cfRule>
    <cfRule type="expression" dxfId="2291" priority="264">
      <formula>AND(AJ$9&gt;=14/24,AJ$9&lt;20/24)</formula>
    </cfRule>
    <cfRule type="expression" dxfId="2290" priority="265">
      <formula>AND(AJ$9&gt;=8/24,AJ$9&lt;14/24)</formula>
    </cfRule>
    <cfRule type="expression" dxfId="2289" priority="266">
      <formula>AJ$9&lt;8/24</formula>
    </cfRule>
  </conditionalFormatting>
  <conditionalFormatting sqref="A113">
    <cfRule type="expression" dxfId="2288" priority="6">
      <formula>$AH113=0</formula>
    </cfRule>
  </conditionalFormatting>
  <conditionalFormatting sqref="M51:M53">
    <cfRule type="expression" dxfId="2287" priority="2">
      <formula>M$9&gt;=20/24</formula>
    </cfRule>
    <cfRule type="expression" dxfId="2286" priority="3">
      <formula>AND(M$9&gt;=14/24,M$9&lt;20/24)</formula>
    </cfRule>
    <cfRule type="expression" dxfId="2285" priority="4">
      <formula>AND(M$9&gt;=8/24,M$9&lt;14/24)</formula>
    </cfRule>
    <cfRule type="expression" dxfId="2284" priority="5">
      <formula>M$9&lt;8/24</formula>
    </cfRule>
  </conditionalFormatting>
  <conditionalFormatting sqref="M51:M53">
    <cfRule type="expression" dxfId="2283" priority="1">
      <formula>M51&gt;$AG51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9" id="{23B2BF6D-2791-47C4-A41D-6D98A6B71143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40" id="{36538BD6-D56A-4034-B2E0-6C1F0F3778ED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41" id="{3E9E7FA9-C487-4E3C-B820-F51019F9B9A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42" id="{3A4A25E8-04CE-4612-8124-430E699AB5A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35" id="{7A55A8E9-BC19-4F6B-8437-BDFCA213C77F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6" id="{0910CAC9-25F1-4210-A2AB-BA48A14E72A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7" id="{33927B6A-2114-4B47-A252-BBEFCEC0129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8" id="{1B1D95A3-655C-49E4-8CED-0C3D143BDA4D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46" id="{315CAF2F-3907-4E08-BBE6-DE0E2012C0E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7" id="{4FB47356-2584-4DD2-8E82-7AA4F53818DA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8" id="{3C90C37A-256C-4445-9D28-137F6B839071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9" id="{9F73D824-0CAD-4A3D-B920-4C2ECD918C5C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42" id="{17D23FBD-8A63-4118-908E-16CC233E6E7E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3" id="{5663FD72-EDD1-4248-B746-31882A5B684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4" id="{7A36F36F-533B-4C0B-83D7-02FA7645A280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5" id="{AE69C54A-EAA2-4D46-B9D1-2F515F63C45F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J274"/>
  <sheetViews>
    <sheetView zoomScale="90" zoomScaleNormal="90" workbookViewId="0">
      <pane ySplit="10" topLeftCell="A41" activePane="bottomLeft" state="frozen"/>
      <selection activeCell="U80" sqref="U80"/>
      <selection pane="bottomLeft" activeCell="I63" sqref="I6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/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str">
        <f ca="1">"2079/"&amp;"10/"&amp;INT(MID(CELL("filename",D6),FIND("]",CELL("filename",D6))+1,200))</f>
        <v>2079/10/28</v>
      </c>
      <c r="C4" s="771"/>
      <c r="D4" s="771"/>
      <c r="E4" s="772" t="str">
        <f ca="1">"2079/"&amp;"10/"&amp;INT(MID(CELL("filename",G6),FIND("]",CELL("filename",G6))+1,200))</f>
        <v>2079/10/28</v>
      </c>
      <c r="F4" s="772"/>
      <c r="G4" s="772"/>
      <c r="H4" s="772" t="str">
        <f ca="1">TEXT(E4,"dddd")</f>
        <v>Saturday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486.70000000000005</v>
      </c>
      <c r="C5" s="30">
        <f t="shared" si="0"/>
        <v>480.1</v>
      </c>
      <c r="D5" s="30">
        <f t="shared" si="0"/>
        <v>486.40000000000003</v>
      </c>
      <c r="E5" s="30">
        <f t="shared" si="0"/>
        <v>492.5</v>
      </c>
      <c r="F5" s="30">
        <f t="shared" si="0"/>
        <v>503.40000000000003</v>
      </c>
      <c r="G5" s="30">
        <f t="shared" si="0"/>
        <v>518.79999999999995</v>
      </c>
      <c r="H5" s="30">
        <f t="shared" si="0"/>
        <v>477.6</v>
      </c>
      <c r="I5" s="30">
        <f t="shared" si="0"/>
        <v>489</v>
      </c>
      <c r="J5" s="30">
        <f t="shared" si="0"/>
        <v>416.6</v>
      </c>
      <c r="K5" s="30">
        <f t="shared" si="0"/>
        <v>323.2</v>
      </c>
      <c r="L5" s="30">
        <f t="shared" si="0"/>
        <v>334.79999999999995</v>
      </c>
      <c r="M5" s="30">
        <f t="shared" si="0"/>
        <v>467.6</v>
      </c>
      <c r="N5" s="30">
        <f t="shared" si="0"/>
        <v>463.4</v>
      </c>
      <c r="O5" s="30">
        <f t="shared" si="0"/>
        <v>446.8</v>
      </c>
      <c r="P5" s="30">
        <f t="shared" si="0"/>
        <v>465.8</v>
      </c>
      <c r="Q5" s="30">
        <f t="shared" si="0"/>
        <v>492</v>
      </c>
      <c r="R5" s="30">
        <f t="shared" si="0"/>
        <v>502</v>
      </c>
      <c r="S5" s="30">
        <f t="shared" si="0"/>
        <v>501</v>
      </c>
      <c r="T5" s="30">
        <f t="shared" si="0"/>
        <v>486</v>
      </c>
      <c r="U5" s="30">
        <f t="shared" si="0"/>
        <v>483</v>
      </c>
      <c r="V5" s="30">
        <f t="shared" si="0"/>
        <v>485</v>
      </c>
      <c r="W5" s="30">
        <f t="shared" si="0"/>
        <v>452.8</v>
      </c>
      <c r="X5" s="30">
        <f t="shared" si="0"/>
        <v>315</v>
      </c>
      <c r="Y5" s="30">
        <f t="shared" si="0"/>
        <v>249.6</v>
      </c>
      <c r="Z5" s="30">
        <f t="shared" si="0"/>
        <v>322</v>
      </c>
      <c r="AA5" s="30">
        <f t="shared" si="0"/>
        <v>419</v>
      </c>
      <c r="AB5" s="30">
        <f t="shared" si="0"/>
        <v>436.90000000000003</v>
      </c>
      <c r="AC5" s="30">
        <f t="shared" si="0"/>
        <v>412.5</v>
      </c>
      <c r="AD5" s="30">
        <f t="shared" si="0"/>
        <v>469.7</v>
      </c>
      <c r="AE5" s="30">
        <f t="shared" si="0"/>
        <v>455.1</v>
      </c>
      <c r="AF5" s="30">
        <f>B78</f>
        <v>488.9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1380MW at 9:00hr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Load=1040</v>
      </c>
      <c r="B7" s="35">
        <f t="shared" ref="B7:AF7" si="1">B85</f>
        <v>1075.1399999999999</v>
      </c>
      <c r="C7" s="35">
        <f t="shared" si="1"/>
        <v>1048.54</v>
      </c>
      <c r="D7" s="35">
        <f t="shared" si="1"/>
        <v>1039.94</v>
      </c>
      <c r="E7" s="35">
        <f t="shared" si="1"/>
        <v>1045.6400000000001</v>
      </c>
      <c r="F7" s="35">
        <f t="shared" si="1"/>
        <v>1044.1399999999999</v>
      </c>
      <c r="G7" s="35">
        <f t="shared" si="1"/>
        <v>1103.74</v>
      </c>
      <c r="H7" s="35">
        <f t="shared" si="1"/>
        <v>1129.1399999999999</v>
      </c>
      <c r="I7" s="35">
        <f t="shared" si="1"/>
        <v>1177.6399999999999</v>
      </c>
      <c r="J7" s="35">
        <f t="shared" si="1"/>
        <v>1209.8399999999999</v>
      </c>
      <c r="K7" s="35">
        <f t="shared" si="1"/>
        <v>1165.6399999999999</v>
      </c>
      <c r="L7" s="35">
        <f t="shared" si="1"/>
        <v>1280.7399999999998</v>
      </c>
      <c r="M7" s="35">
        <f t="shared" si="1"/>
        <v>1332.6399999999999</v>
      </c>
      <c r="N7" s="35">
        <f>N85</f>
        <v>1380.44</v>
      </c>
      <c r="O7" s="35">
        <f t="shared" si="1"/>
        <v>1349.94</v>
      </c>
      <c r="P7" s="35">
        <f t="shared" si="1"/>
        <v>1223.54</v>
      </c>
      <c r="Q7" s="35">
        <f t="shared" si="1"/>
        <v>1230.94</v>
      </c>
      <c r="R7" s="35">
        <f t="shared" si="1"/>
        <v>1245.74</v>
      </c>
      <c r="S7" s="35">
        <f t="shared" si="1"/>
        <v>1210.74</v>
      </c>
      <c r="T7" s="35">
        <f t="shared" si="1"/>
        <v>1175.74</v>
      </c>
      <c r="U7" s="35">
        <f t="shared" si="1"/>
        <v>1223.8400000000001</v>
      </c>
      <c r="V7" s="35">
        <f t="shared" si="1"/>
        <v>1152.54</v>
      </c>
      <c r="W7" s="35">
        <f t="shared" si="1"/>
        <v>1218.24</v>
      </c>
      <c r="X7" s="35">
        <f t="shared" si="1"/>
        <v>1338.9399999999998</v>
      </c>
      <c r="Y7" s="35">
        <f t="shared" si="1"/>
        <v>1510.14</v>
      </c>
      <c r="Z7" s="35">
        <f t="shared" si="1"/>
        <v>1400.64</v>
      </c>
      <c r="AA7" s="35">
        <f t="shared" si="1"/>
        <v>1380.14</v>
      </c>
      <c r="AB7" s="35">
        <f t="shared" si="1"/>
        <v>1310.3399999999999</v>
      </c>
      <c r="AC7" s="35">
        <f t="shared" si="1"/>
        <v>1232.3400000000001</v>
      </c>
      <c r="AD7" s="35">
        <f t="shared" si="1"/>
        <v>1220.44</v>
      </c>
      <c r="AE7" s="35">
        <f t="shared" si="1"/>
        <v>1135.04</v>
      </c>
      <c r="AF7" s="35">
        <f t="shared" si="1"/>
        <v>1042.8400000000001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15.9</v>
      </c>
      <c r="C11" s="45">
        <v>15.9</v>
      </c>
      <c r="D11" s="45">
        <v>17.5</v>
      </c>
      <c r="E11" s="45">
        <v>17.5</v>
      </c>
      <c r="F11" s="45">
        <v>17.5</v>
      </c>
      <c r="G11" s="45">
        <v>17.5</v>
      </c>
      <c r="H11" s="45">
        <v>17.5</v>
      </c>
      <c r="I11" s="45">
        <v>17.5</v>
      </c>
      <c r="J11" s="45">
        <v>17.5</v>
      </c>
      <c r="K11" s="45">
        <v>17.5</v>
      </c>
      <c r="L11" s="45">
        <v>17.5</v>
      </c>
      <c r="M11" s="45">
        <v>17.5</v>
      </c>
      <c r="N11" s="45">
        <v>17.5</v>
      </c>
      <c r="O11" s="45">
        <v>17.5</v>
      </c>
      <c r="P11" s="45">
        <v>17.5</v>
      </c>
      <c r="Q11" s="45">
        <v>17.5</v>
      </c>
      <c r="R11" s="45">
        <v>17.5</v>
      </c>
      <c r="S11" s="45">
        <v>14.5</v>
      </c>
      <c r="T11" s="45">
        <v>14.5</v>
      </c>
      <c r="U11" s="45">
        <v>14.5</v>
      </c>
      <c r="V11" s="45">
        <v>14.5</v>
      </c>
      <c r="W11" s="45">
        <v>14.5</v>
      </c>
      <c r="X11" s="45">
        <v>14.5</v>
      </c>
      <c r="Y11" s="45">
        <v>15.5</v>
      </c>
      <c r="Z11" s="45">
        <v>15.9</v>
      </c>
      <c r="AA11" s="45">
        <v>15.9</v>
      </c>
      <c r="AB11" s="45">
        <v>15.9</v>
      </c>
      <c r="AC11" s="45">
        <v>15.9</v>
      </c>
      <c r="AD11" s="45">
        <v>15.9</v>
      </c>
      <c r="AE11" s="45">
        <v>15.9</v>
      </c>
      <c r="AF11" s="45">
        <v>15.9</v>
      </c>
      <c r="AG11" s="46">
        <v>52.4</v>
      </c>
      <c r="AH11" s="47">
        <f t="shared" ref="AH11:AH74" si="2">MAX(B11:AF11)</f>
        <v>17.5</v>
      </c>
      <c r="AI11" s="48">
        <f t="shared" ref="AI11:AI74" si="3">MIN(B11:AF11)</f>
        <v>14.5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31.3</v>
      </c>
      <c r="C12" s="45">
        <v>31.3</v>
      </c>
      <c r="D12" s="45">
        <v>31.9</v>
      </c>
      <c r="E12" s="45">
        <v>31.9</v>
      </c>
      <c r="F12" s="45">
        <v>31.9</v>
      </c>
      <c r="G12" s="45">
        <v>31.9</v>
      </c>
      <c r="H12" s="45">
        <v>31.9</v>
      </c>
      <c r="I12" s="45">
        <v>31.9</v>
      </c>
      <c r="J12" s="45">
        <v>31.9</v>
      </c>
      <c r="K12" s="45">
        <v>31.9</v>
      </c>
      <c r="L12" s="45">
        <v>31.9</v>
      </c>
      <c r="M12" s="45">
        <v>31.9</v>
      </c>
      <c r="N12" s="45">
        <v>31.9</v>
      </c>
      <c r="O12" s="45">
        <v>31.9</v>
      </c>
      <c r="P12" s="45">
        <v>31.9</v>
      </c>
      <c r="Q12" s="45">
        <v>31.9</v>
      </c>
      <c r="R12" s="45">
        <v>31.9</v>
      </c>
      <c r="S12" s="45">
        <v>31.9</v>
      </c>
      <c r="T12" s="45">
        <v>31.9</v>
      </c>
      <c r="U12" s="45">
        <v>31.9</v>
      </c>
      <c r="V12" s="45">
        <v>31.9</v>
      </c>
      <c r="W12" s="45">
        <v>31.9</v>
      </c>
      <c r="X12" s="45">
        <v>31.9</v>
      </c>
      <c r="Y12" s="45">
        <v>29.5</v>
      </c>
      <c r="Z12" s="45">
        <v>30.9</v>
      </c>
      <c r="AA12" s="45">
        <v>30.9</v>
      </c>
      <c r="AB12" s="45">
        <v>30.9</v>
      </c>
      <c r="AC12" s="45">
        <v>30.9</v>
      </c>
      <c r="AD12" s="45">
        <v>30.9</v>
      </c>
      <c r="AE12" s="45">
        <v>30.9</v>
      </c>
      <c r="AF12" s="45">
        <v>30.9</v>
      </c>
      <c r="AG12" s="50">
        <v>50</v>
      </c>
      <c r="AH12" s="47">
        <f t="shared" si="2"/>
        <v>31.9</v>
      </c>
      <c r="AI12" s="48">
        <f t="shared" si="3"/>
        <v>29.5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19.2</v>
      </c>
      <c r="C13" s="45">
        <v>19.2</v>
      </c>
      <c r="D13" s="45">
        <v>19.100000000000001</v>
      </c>
      <c r="E13" s="45">
        <v>19.100000000000001</v>
      </c>
      <c r="F13" s="45">
        <v>19.100000000000001</v>
      </c>
      <c r="G13" s="45">
        <v>19.100000000000001</v>
      </c>
      <c r="H13" s="45">
        <v>19.100000000000001</v>
      </c>
      <c r="I13" s="45">
        <v>19.100000000000001</v>
      </c>
      <c r="J13" s="45">
        <v>19.100000000000001</v>
      </c>
      <c r="K13" s="45">
        <v>19.100000000000001</v>
      </c>
      <c r="L13" s="45">
        <v>19.100000000000001</v>
      </c>
      <c r="M13" s="45">
        <v>19.100000000000001</v>
      </c>
      <c r="N13" s="45">
        <v>19.100000000000001</v>
      </c>
      <c r="O13" s="45">
        <v>19.100000000000001</v>
      </c>
      <c r="P13" s="45">
        <v>19.100000000000001</v>
      </c>
      <c r="Q13" s="45">
        <v>19.100000000000001</v>
      </c>
      <c r="R13" s="45">
        <v>19.100000000000001</v>
      </c>
      <c r="S13" s="45">
        <v>19.100000000000001</v>
      </c>
      <c r="T13" s="45">
        <v>19.100000000000001</v>
      </c>
      <c r="U13" s="45">
        <v>19.100000000000001</v>
      </c>
      <c r="V13" s="45">
        <v>19.100000000000001</v>
      </c>
      <c r="W13" s="45">
        <v>19.100000000000001</v>
      </c>
      <c r="X13" s="45">
        <v>19.100000000000001</v>
      </c>
      <c r="Y13" s="45">
        <v>16.5</v>
      </c>
      <c r="Z13" s="45">
        <v>19.100000000000001</v>
      </c>
      <c r="AA13" s="45">
        <v>19.100000000000001</v>
      </c>
      <c r="AB13" s="45">
        <v>19.100000000000001</v>
      </c>
      <c r="AC13" s="45">
        <v>19.100000000000001</v>
      </c>
      <c r="AD13" s="45">
        <v>19.100000000000001</v>
      </c>
      <c r="AE13" s="45">
        <v>19.100000000000001</v>
      </c>
      <c r="AF13" s="45">
        <v>19.100000000000001</v>
      </c>
      <c r="AG13" s="50">
        <v>45</v>
      </c>
      <c r="AH13" s="47">
        <f t="shared" si="2"/>
        <v>19.2</v>
      </c>
      <c r="AI13" s="48">
        <f t="shared" si="3"/>
        <v>16.5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0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45">
        <v>0</v>
      </c>
      <c r="W14" s="45">
        <v>0</v>
      </c>
      <c r="X14" s="45">
        <v>7</v>
      </c>
      <c r="Y14" s="45">
        <v>7</v>
      </c>
      <c r="Z14" s="45">
        <v>7</v>
      </c>
      <c r="AA14" s="45">
        <v>7</v>
      </c>
      <c r="AB14" s="45">
        <v>7</v>
      </c>
      <c r="AC14" s="45">
        <v>7</v>
      </c>
      <c r="AD14" s="45">
        <v>7</v>
      </c>
      <c r="AE14" s="45">
        <v>7</v>
      </c>
      <c r="AF14" s="45">
        <v>7</v>
      </c>
      <c r="AG14" s="50">
        <v>42</v>
      </c>
      <c r="AH14" s="47">
        <f t="shared" si="2"/>
        <v>7</v>
      </c>
      <c r="AI14" s="48">
        <f t="shared" si="3"/>
        <v>0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13</v>
      </c>
      <c r="C15" s="45">
        <v>13</v>
      </c>
      <c r="D15" s="45">
        <v>13</v>
      </c>
      <c r="E15" s="45">
        <v>13</v>
      </c>
      <c r="F15" s="45">
        <v>13</v>
      </c>
      <c r="G15" s="45">
        <v>13</v>
      </c>
      <c r="H15" s="45">
        <v>13</v>
      </c>
      <c r="I15" s="45">
        <v>13</v>
      </c>
      <c r="J15" s="45">
        <v>13</v>
      </c>
      <c r="K15" s="45">
        <v>13</v>
      </c>
      <c r="L15" s="45">
        <v>13</v>
      </c>
      <c r="M15" s="45">
        <v>13</v>
      </c>
      <c r="N15" s="45">
        <v>13</v>
      </c>
      <c r="O15" s="45">
        <v>13</v>
      </c>
      <c r="P15" s="45">
        <v>13</v>
      </c>
      <c r="Q15" s="45">
        <v>13</v>
      </c>
      <c r="R15" s="45">
        <v>13</v>
      </c>
      <c r="S15" s="45">
        <v>13</v>
      </c>
      <c r="T15" s="45">
        <v>13</v>
      </c>
      <c r="U15" s="45">
        <v>13</v>
      </c>
      <c r="V15" s="45">
        <v>13</v>
      </c>
      <c r="W15" s="45">
        <v>13</v>
      </c>
      <c r="X15" s="45">
        <v>13</v>
      </c>
      <c r="Y15" s="45">
        <v>16.5</v>
      </c>
      <c r="Z15" s="45">
        <v>16.5</v>
      </c>
      <c r="AA15" s="45">
        <v>16.5</v>
      </c>
      <c r="AB15" s="45">
        <v>16.5</v>
      </c>
      <c r="AC15" s="45">
        <v>16.5</v>
      </c>
      <c r="AD15" s="45">
        <v>16.5</v>
      </c>
      <c r="AE15" s="45">
        <v>16.5</v>
      </c>
      <c r="AF15" s="45">
        <v>16.5</v>
      </c>
      <c r="AG15" s="50">
        <v>36</v>
      </c>
      <c r="AH15" s="47">
        <f t="shared" si="2"/>
        <v>16.5</v>
      </c>
      <c r="AI15" s="48">
        <f t="shared" si="3"/>
        <v>13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8.6</v>
      </c>
      <c r="C16" s="45">
        <v>8.6</v>
      </c>
      <c r="D16" s="45">
        <v>6.7</v>
      </c>
      <c r="E16" s="45">
        <v>6.7</v>
      </c>
      <c r="F16" s="45">
        <v>6.7</v>
      </c>
      <c r="G16" s="45">
        <v>6.7</v>
      </c>
      <c r="H16" s="45">
        <v>6.7</v>
      </c>
      <c r="I16" s="45">
        <v>6.7</v>
      </c>
      <c r="J16" s="45">
        <v>6.7</v>
      </c>
      <c r="K16" s="45">
        <v>6.7</v>
      </c>
      <c r="L16" s="45">
        <v>6.7</v>
      </c>
      <c r="M16" s="45">
        <v>6.7</v>
      </c>
      <c r="N16" s="45">
        <v>6.7</v>
      </c>
      <c r="O16" s="45">
        <v>6.7</v>
      </c>
      <c r="P16" s="45">
        <v>6.7</v>
      </c>
      <c r="Q16" s="45">
        <v>6.7</v>
      </c>
      <c r="R16" s="45">
        <v>6.7</v>
      </c>
      <c r="S16" s="45">
        <v>6.7</v>
      </c>
      <c r="T16" s="45">
        <v>6.7</v>
      </c>
      <c r="U16" s="45">
        <v>6.7</v>
      </c>
      <c r="V16" s="45">
        <v>6.7</v>
      </c>
      <c r="W16" s="45">
        <v>6.7</v>
      </c>
      <c r="X16" s="45">
        <v>6.7</v>
      </c>
      <c r="Y16" s="45">
        <v>7.8</v>
      </c>
      <c r="Z16" s="45">
        <v>7.8</v>
      </c>
      <c r="AA16" s="45">
        <v>7.8</v>
      </c>
      <c r="AB16" s="45">
        <v>7.8</v>
      </c>
      <c r="AC16" s="45">
        <v>7.8</v>
      </c>
      <c r="AD16" s="45">
        <v>7.8</v>
      </c>
      <c r="AE16" s="45">
        <v>7.8</v>
      </c>
      <c r="AF16" s="45">
        <v>7.8</v>
      </c>
      <c r="AG16" s="51">
        <v>30</v>
      </c>
      <c r="AH16" s="47">
        <f t="shared" si="2"/>
        <v>8.6</v>
      </c>
      <c r="AI16" s="48">
        <f t="shared" si="3"/>
        <v>6.7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7.7</v>
      </c>
      <c r="C17" s="45">
        <v>7.7</v>
      </c>
      <c r="D17" s="45">
        <v>7.7</v>
      </c>
      <c r="E17" s="45">
        <v>7.7</v>
      </c>
      <c r="F17" s="45">
        <v>7.7</v>
      </c>
      <c r="G17" s="45">
        <v>7.7</v>
      </c>
      <c r="H17" s="45">
        <v>7.7</v>
      </c>
      <c r="I17" s="45">
        <v>7.7</v>
      </c>
      <c r="J17" s="45">
        <v>7.7</v>
      </c>
      <c r="K17" s="45">
        <v>7.7</v>
      </c>
      <c r="L17" s="45">
        <v>7.7</v>
      </c>
      <c r="M17" s="45">
        <v>7.7</v>
      </c>
      <c r="N17" s="45">
        <v>7.7</v>
      </c>
      <c r="O17" s="45">
        <v>7.7</v>
      </c>
      <c r="P17" s="45">
        <v>7.7</v>
      </c>
      <c r="Q17" s="45">
        <v>7.7</v>
      </c>
      <c r="R17" s="45">
        <v>7.7</v>
      </c>
      <c r="S17" s="45">
        <v>7.7</v>
      </c>
      <c r="T17" s="45">
        <v>7.7</v>
      </c>
      <c r="U17" s="45">
        <v>7.7</v>
      </c>
      <c r="V17" s="45">
        <v>7.7</v>
      </c>
      <c r="W17" s="45">
        <v>7.7</v>
      </c>
      <c r="X17" s="45">
        <v>7.7</v>
      </c>
      <c r="Y17" s="45">
        <v>7.7</v>
      </c>
      <c r="Z17" s="45">
        <v>7.7</v>
      </c>
      <c r="AA17" s="45">
        <v>7.7</v>
      </c>
      <c r="AB17" s="45">
        <v>7.7</v>
      </c>
      <c r="AC17" s="45">
        <v>7.7</v>
      </c>
      <c r="AD17" s="45">
        <v>7.7</v>
      </c>
      <c r="AE17" s="45">
        <v>7.7</v>
      </c>
      <c r="AF17" s="45">
        <v>7.7</v>
      </c>
      <c r="AG17" s="50">
        <v>24.2</v>
      </c>
      <c r="AH17" s="47">
        <f t="shared" si="2"/>
        <v>7.7</v>
      </c>
      <c r="AI17" s="48">
        <f t="shared" si="3"/>
        <v>7.7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50">
        <v>28</v>
      </c>
      <c r="AH18" s="47">
        <f t="shared" si="2"/>
        <v>8</v>
      </c>
      <c r="AI18" s="48">
        <f t="shared" si="3"/>
        <v>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9.3000000000000007</v>
      </c>
      <c r="C20" s="45">
        <v>9.3000000000000007</v>
      </c>
      <c r="D20" s="45">
        <v>9.3000000000000007</v>
      </c>
      <c r="E20" s="45">
        <v>9.3000000000000007</v>
      </c>
      <c r="F20" s="45">
        <v>9.3000000000000007</v>
      </c>
      <c r="G20" s="45">
        <v>9.3000000000000007</v>
      </c>
      <c r="H20" s="45">
        <v>9.3000000000000007</v>
      </c>
      <c r="I20" s="45">
        <v>9.3000000000000007</v>
      </c>
      <c r="J20" s="45">
        <v>9.3000000000000007</v>
      </c>
      <c r="K20" s="45">
        <v>9.3000000000000007</v>
      </c>
      <c r="L20" s="45">
        <v>9.3000000000000007</v>
      </c>
      <c r="M20" s="45">
        <v>9.3000000000000007</v>
      </c>
      <c r="N20" s="45">
        <v>9.3000000000000007</v>
      </c>
      <c r="O20" s="45">
        <v>9.3000000000000007</v>
      </c>
      <c r="P20" s="45">
        <v>9.3000000000000007</v>
      </c>
      <c r="Q20" s="45">
        <v>9.3000000000000007</v>
      </c>
      <c r="R20" s="45">
        <v>9.3000000000000007</v>
      </c>
      <c r="S20" s="45">
        <v>9.3000000000000007</v>
      </c>
      <c r="T20" s="45">
        <v>9.3000000000000007</v>
      </c>
      <c r="U20" s="45">
        <v>9.3000000000000007</v>
      </c>
      <c r="V20" s="45">
        <v>9.3000000000000007</v>
      </c>
      <c r="W20" s="45">
        <v>9.3000000000000007</v>
      </c>
      <c r="X20" s="45">
        <v>9.3000000000000007</v>
      </c>
      <c r="Y20" s="45">
        <v>9.3000000000000007</v>
      </c>
      <c r="Z20" s="45">
        <v>9.3000000000000007</v>
      </c>
      <c r="AA20" s="45">
        <v>9.3000000000000007</v>
      </c>
      <c r="AB20" s="45">
        <v>9.3000000000000007</v>
      </c>
      <c r="AC20" s="45">
        <v>9.3000000000000007</v>
      </c>
      <c r="AD20" s="45">
        <v>9.3000000000000007</v>
      </c>
      <c r="AE20" s="45">
        <v>9.3000000000000007</v>
      </c>
      <c r="AF20" s="45">
        <v>9.3000000000000007</v>
      </c>
      <c r="AG20" s="50">
        <v>25</v>
      </c>
      <c r="AH20" s="47">
        <f t="shared" si="2"/>
        <v>9.3000000000000007</v>
      </c>
      <c r="AI20" s="48">
        <f t="shared" si="3"/>
        <v>9.3000000000000007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11</v>
      </c>
      <c r="O22" s="45">
        <v>11</v>
      </c>
      <c r="P22" s="45">
        <v>11</v>
      </c>
      <c r="Q22" s="45">
        <v>11</v>
      </c>
      <c r="R22" s="45">
        <v>11</v>
      </c>
      <c r="S22" s="45">
        <v>11</v>
      </c>
      <c r="T22" s="45">
        <v>11</v>
      </c>
      <c r="U22" s="45">
        <v>11</v>
      </c>
      <c r="V22" s="45">
        <v>11</v>
      </c>
      <c r="W22" s="45">
        <v>11</v>
      </c>
      <c r="X22" s="45">
        <v>11</v>
      </c>
      <c r="Y22" s="45">
        <v>11</v>
      </c>
      <c r="Z22" s="45">
        <v>11</v>
      </c>
      <c r="AA22" s="45">
        <v>11</v>
      </c>
      <c r="AB22" s="45">
        <v>11</v>
      </c>
      <c r="AC22" s="45">
        <v>11</v>
      </c>
      <c r="AD22" s="45">
        <v>11</v>
      </c>
      <c r="AE22" s="45">
        <v>11</v>
      </c>
      <c r="AF22" s="45">
        <v>11</v>
      </c>
      <c r="AG22" s="50">
        <v>25</v>
      </c>
      <c r="AH22" s="47">
        <f t="shared" si="2"/>
        <v>11</v>
      </c>
      <c r="AI22" s="48">
        <f t="shared" si="3"/>
        <v>11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7.8</v>
      </c>
      <c r="C23" s="45">
        <v>7.8</v>
      </c>
      <c r="D23" s="45">
        <v>7.8</v>
      </c>
      <c r="E23" s="45">
        <v>7.8</v>
      </c>
      <c r="F23" s="45">
        <v>7.8</v>
      </c>
      <c r="G23" s="45">
        <v>7.8</v>
      </c>
      <c r="H23" s="45">
        <v>7.8</v>
      </c>
      <c r="I23" s="45">
        <v>7.8</v>
      </c>
      <c r="J23" s="45">
        <v>7.8</v>
      </c>
      <c r="K23" s="45">
        <v>7.8</v>
      </c>
      <c r="L23" s="45">
        <v>7.8</v>
      </c>
      <c r="M23" s="45">
        <v>7.8</v>
      </c>
      <c r="N23" s="45">
        <v>7.8</v>
      </c>
      <c r="O23" s="45">
        <v>7.8</v>
      </c>
      <c r="P23" s="45">
        <v>7.8</v>
      </c>
      <c r="Q23" s="45">
        <v>7.8</v>
      </c>
      <c r="R23" s="45">
        <v>7.8</v>
      </c>
      <c r="S23" s="45">
        <v>7.8</v>
      </c>
      <c r="T23" s="45">
        <v>7.8</v>
      </c>
      <c r="U23" s="45">
        <v>7.8</v>
      </c>
      <c r="V23" s="45">
        <v>7.8</v>
      </c>
      <c r="W23" s="45">
        <v>7.8</v>
      </c>
      <c r="X23" s="45">
        <v>7.8</v>
      </c>
      <c r="Y23" s="45">
        <v>7.8</v>
      </c>
      <c r="Z23" s="45">
        <v>7.8</v>
      </c>
      <c r="AA23" s="45">
        <v>7.8</v>
      </c>
      <c r="AB23" s="45">
        <v>7.8</v>
      </c>
      <c r="AC23" s="45">
        <v>7.8</v>
      </c>
      <c r="AD23" s="45">
        <v>7.8</v>
      </c>
      <c r="AE23" s="45">
        <v>7.8</v>
      </c>
      <c r="AF23" s="45">
        <v>7.8</v>
      </c>
      <c r="AG23" s="50">
        <v>25</v>
      </c>
      <c r="AH23" s="47">
        <f t="shared" si="2"/>
        <v>7.8</v>
      </c>
      <c r="AI23" s="48">
        <f t="shared" si="3"/>
        <v>7.8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8.1</v>
      </c>
      <c r="C24" s="45">
        <v>8.1</v>
      </c>
      <c r="D24" s="45">
        <v>7.9</v>
      </c>
      <c r="E24" s="45">
        <v>7.9</v>
      </c>
      <c r="F24" s="45">
        <v>7.9</v>
      </c>
      <c r="G24" s="45">
        <v>7.9</v>
      </c>
      <c r="H24" s="45">
        <v>7.9</v>
      </c>
      <c r="I24" s="45">
        <v>7.9</v>
      </c>
      <c r="J24" s="45">
        <v>7.9</v>
      </c>
      <c r="K24" s="45">
        <v>7.9</v>
      </c>
      <c r="L24" s="45">
        <v>7.9</v>
      </c>
      <c r="M24" s="45">
        <v>7.9</v>
      </c>
      <c r="N24" s="45">
        <v>7.9</v>
      </c>
      <c r="O24" s="45">
        <v>7.9</v>
      </c>
      <c r="P24" s="45">
        <v>7.9</v>
      </c>
      <c r="Q24" s="45">
        <v>7.9</v>
      </c>
      <c r="R24" s="45">
        <v>7.9</v>
      </c>
      <c r="S24" s="45">
        <v>7.9</v>
      </c>
      <c r="T24" s="45">
        <v>7.9</v>
      </c>
      <c r="U24" s="45">
        <v>7.9</v>
      </c>
      <c r="V24" s="45">
        <v>7.9</v>
      </c>
      <c r="W24" s="45">
        <v>7.9</v>
      </c>
      <c r="X24" s="45">
        <v>7.9</v>
      </c>
      <c r="Y24" s="45">
        <v>7.9</v>
      </c>
      <c r="Z24" s="45">
        <v>7.9</v>
      </c>
      <c r="AA24" s="45">
        <v>7.9</v>
      </c>
      <c r="AB24" s="45">
        <v>7.9</v>
      </c>
      <c r="AC24" s="45">
        <v>7.9</v>
      </c>
      <c r="AD24" s="45">
        <v>7.9</v>
      </c>
      <c r="AE24" s="45">
        <v>7.9</v>
      </c>
      <c r="AF24" s="45">
        <v>7.9</v>
      </c>
      <c r="AG24" s="50">
        <v>23.5</v>
      </c>
      <c r="AH24" s="47">
        <f t="shared" si="2"/>
        <v>8.1</v>
      </c>
      <c r="AI24" s="48">
        <f t="shared" si="3"/>
        <v>7.9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8</v>
      </c>
      <c r="C28" s="45">
        <v>8</v>
      </c>
      <c r="D28" s="45">
        <v>8</v>
      </c>
      <c r="E28" s="45">
        <v>8</v>
      </c>
      <c r="F28" s="45">
        <v>8</v>
      </c>
      <c r="G28" s="45">
        <v>8</v>
      </c>
      <c r="H28" s="45">
        <v>8</v>
      </c>
      <c r="I28" s="45">
        <v>8</v>
      </c>
      <c r="J28" s="45">
        <v>8</v>
      </c>
      <c r="K28" s="45">
        <v>8</v>
      </c>
      <c r="L28" s="45">
        <v>8</v>
      </c>
      <c r="M28" s="45">
        <v>8</v>
      </c>
      <c r="N28" s="45">
        <v>8</v>
      </c>
      <c r="O28" s="45">
        <v>8</v>
      </c>
      <c r="P28" s="45">
        <v>8</v>
      </c>
      <c r="Q28" s="45">
        <v>8</v>
      </c>
      <c r="R28" s="45">
        <v>8</v>
      </c>
      <c r="S28" s="45">
        <v>8</v>
      </c>
      <c r="T28" s="45">
        <v>8</v>
      </c>
      <c r="U28" s="45">
        <v>8</v>
      </c>
      <c r="V28" s="45">
        <v>8</v>
      </c>
      <c r="W28" s="45">
        <v>8</v>
      </c>
      <c r="X28" s="45">
        <v>8</v>
      </c>
      <c r="Y28" s="45">
        <v>8</v>
      </c>
      <c r="Z28" s="45">
        <v>8</v>
      </c>
      <c r="AA28" s="45">
        <v>8</v>
      </c>
      <c r="AB28" s="45">
        <v>8</v>
      </c>
      <c r="AC28" s="45">
        <v>8</v>
      </c>
      <c r="AD28" s="45">
        <v>8</v>
      </c>
      <c r="AE28" s="45">
        <v>8</v>
      </c>
      <c r="AF28" s="45">
        <v>8</v>
      </c>
      <c r="AG28" s="50">
        <v>22</v>
      </c>
      <c r="AH28" s="47">
        <f t="shared" si="2"/>
        <v>8</v>
      </c>
      <c r="AI28" s="48">
        <f t="shared" si="3"/>
        <v>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>
        <v>10</v>
      </c>
      <c r="L35" s="45">
        <v>10</v>
      </c>
      <c r="M35" s="45">
        <v>10</v>
      </c>
      <c r="N35" s="45">
        <v>10</v>
      </c>
      <c r="O35" s="45">
        <v>10</v>
      </c>
      <c r="P35" s="45">
        <v>10</v>
      </c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45">
        <v>10</v>
      </c>
      <c r="Z35" s="45">
        <v>10</v>
      </c>
      <c r="AA35" s="45">
        <v>10</v>
      </c>
      <c r="AB35" s="45">
        <v>10</v>
      </c>
      <c r="AC35" s="45">
        <v>10</v>
      </c>
      <c r="AD35" s="45">
        <v>10</v>
      </c>
      <c r="AE35" s="45">
        <v>10</v>
      </c>
      <c r="AF35" s="45">
        <v>10</v>
      </c>
      <c r="AG35" s="50">
        <v>12</v>
      </c>
      <c r="AH35" s="47">
        <f t="shared" si="2"/>
        <v>10</v>
      </c>
      <c r="AI35" s="48">
        <f t="shared" si="3"/>
        <v>10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100</v>
      </c>
      <c r="C42" s="56">
        <v>100</v>
      </c>
      <c r="D42" s="56">
        <v>100</v>
      </c>
      <c r="E42" s="56">
        <v>100</v>
      </c>
      <c r="F42" s="56">
        <v>100</v>
      </c>
      <c r="G42" s="56">
        <v>100</v>
      </c>
      <c r="H42" s="56">
        <v>100</v>
      </c>
      <c r="I42" s="56">
        <v>100</v>
      </c>
      <c r="J42" s="56">
        <v>100</v>
      </c>
      <c r="K42" s="56">
        <v>100</v>
      </c>
      <c r="L42" s="56">
        <v>100</v>
      </c>
      <c r="M42" s="56">
        <v>100</v>
      </c>
      <c r="N42" s="56">
        <v>100</v>
      </c>
      <c r="O42" s="56">
        <v>100</v>
      </c>
      <c r="P42" s="56">
        <v>100</v>
      </c>
      <c r="Q42" s="56">
        <v>100</v>
      </c>
      <c r="R42" s="56">
        <v>100</v>
      </c>
      <c r="S42" s="56">
        <v>100</v>
      </c>
      <c r="T42" s="56">
        <v>100</v>
      </c>
      <c r="U42" s="56">
        <v>100</v>
      </c>
      <c r="V42" s="56">
        <v>100</v>
      </c>
      <c r="W42" s="56">
        <v>100</v>
      </c>
      <c r="X42" s="56">
        <v>100</v>
      </c>
      <c r="Y42" s="56">
        <v>100</v>
      </c>
      <c r="Z42" s="56">
        <v>100</v>
      </c>
      <c r="AA42" s="56">
        <v>100</v>
      </c>
      <c r="AB42" s="56">
        <v>100</v>
      </c>
      <c r="AC42" s="56">
        <v>100</v>
      </c>
      <c r="AD42" s="56">
        <v>100</v>
      </c>
      <c r="AE42" s="56">
        <v>100</v>
      </c>
      <c r="AF42" s="56">
        <v>100</v>
      </c>
      <c r="AG42" s="54">
        <v>85</v>
      </c>
      <c r="AH42" s="47">
        <f t="shared" si="2"/>
        <v>100</v>
      </c>
      <c r="AI42" s="48">
        <f t="shared" si="3"/>
        <v>100</v>
      </c>
      <c r="AK42" s="49"/>
    </row>
    <row r="43" spans="1:88" ht="15.75" thickBot="1" x14ac:dyDescent="0.3">
      <c r="A43" s="57" t="s">
        <v>51</v>
      </c>
      <c r="B43" s="56"/>
      <c r="C43" s="56"/>
      <c r="D43" s="56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" si="4">SUM(B11:B42)</f>
        <v>362.6</v>
      </c>
      <c r="C44" s="60">
        <f t="shared" ref="C44:AG44" si="5">SUM(C11:C42)</f>
        <v>362.6</v>
      </c>
      <c r="D44" s="60">
        <f t="shared" ref="D44" si="6">SUM(D11:D42)</f>
        <v>362.6</v>
      </c>
      <c r="E44" s="60">
        <f t="shared" si="5"/>
        <v>362.6</v>
      </c>
      <c r="F44" s="60">
        <f t="shared" si="5"/>
        <v>362.6</v>
      </c>
      <c r="G44" s="60">
        <f t="shared" si="5"/>
        <v>362.6</v>
      </c>
      <c r="H44" s="60">
        <f t="shared" si="5"/>
        <v>362.6</v>
      </c>
      <c r="I44" s="60">
        <f t="shared" si="5"/>
        <v>362.6</v>
      </c>
      <c r="J44" s="60">
        <f t="shared" si="5"/>
        <v>362.6</v>
      </c>
      <c r="K44" s="60">
        <f t="shared" si="5"/>
        <v>362.6</v>
      </c>
      <c r="L44" s="60">
        <f t="shared" si="5"/>
        <v>362.6</v>
      </c>
      <c r="M44" s="60">
        <f t="shared" si="5"/>
        <v>362.6</v>
      </c>
      <c r="N44" s="60">
        <f t="shared" si="5"/>
        <v>362.6</v>
      </c>
      <c r="O44" s="60">
        <f t="shared" si="5"/>
        <v>362.6</v>
      </c>
      <c r="P44" s="60">
        <f t="shared" si="5"/>
        <v>362.6</v>
      </c>
      <c r="Q44" s="60">
        <f t="shared" si="5"/>
        <v>362.6</v>
      </c>
      <c r="R44" s="60">
        <f t="shared" si="5"/>
        <v>362.6</v>
      </c>
      <c r="S44" s="60">
        <f t="shared" si="5"/>
        <v>359.6</v>
      </c>
      <c r="T44" s="60">
        <f t="shared" si="5"/>
        <v>359.6</v>
      </c>
      <c r="U44" s="60">
        <f t="shared" si="5"/>
        <v>359.6</v>
      </c>
      <c r="V44" s="60">
        <f t="shared" si="5"/>
        <v>359.6</v>
      </c>
      <c r="W44" s="60">
        <f t="shared" si="5"/>
        <v>359.6</v>
      </c>
      <c r="X44" s="60">
        <f t="shared" si="5"/>
        <v>366.6</v>
      </c>
      <c r="Y44" s="60">
        <v>367.20000000000005</v>
      </c>
      <c r="Z44" s="60">
        <f t="shared" si="5"/>
        <v>371.6</v>
      </c>
      <c r="AA44" s="60">
        <f t="shared" si="5"/>
        <v>371.6</v>
      </c>
      <c r="AB44" s="60">
        <f t="shared" si="5"/>
        <v>371.6</v>
      </c>
      <c r="AC44" s="60">
        <f t="shared" si="5"/>
        <v>371.6</v>
      </c>
      <c r="AD44" s="60">
        <f t="shared" si="5"/>
        <v>371.6</v>
      </c>
      <c r="AE44" s="60">
        <f t="shared" si="5"/>
        <v>371.6</v>
      </c>
      <c r="AF44" s="60">
        <f t="shared" si="5"/>
        <v>371.6</v>
      </c>
      <c r="AG44" s="61">
        <f t="shared" si="5"/>
        <v>814.78000000000009</v>
      </c>
      <c r="AH44" s="47">
        <f t="shared" si="2"/>
        <v>371.6</v>
      </c>
      <c r="AI44" s="48">
        <f t="shared" si="3"/>
        <v>359.6</v>
      </c>
      <c r="AK44" s="49"/>
    </row>
    <row r="45" spans="1:88" x14ac:dyDescent="0.25">
      <c r="A45" s="62" t="s">
        <v>53</v>
      </c>
      <c r="B45" s="45">
        <v>40</v>
      </c>
      <c r="C45" s="45">
        <v>25</v>
      </c>
      <c r="D45" s="45">
        <v>25</v>
      </c>
      <c r="E45" s="45">
        <v>50</v>
      </c>
      <c r="F45" s="45">
        <v>40</v>
      </c>
      <c r="G45" s="45">
        <v>40</v>
      </c>
      <c r="H45" s="45">
        <v>50</v>
      </c>
      <c r="I45" s="45">
        <v>75</v>
      </c>
      <c r="J45" s="45">
        <v>75</v>
      </c>
      <c r="K45" s="45">
        <v>100</v>
      </c>
      <c r="L45" s="45">
        <v>150</v>
      </c>
      <c r="M45" s="63">
        <v>150</v>
      </c>
      <c r="N45" s="63">
        <v>90</v>
      </c>
      <c r="O45" s="45">
        <v>90</v>
      </c>
      <c r="P45" s="45">
        <v>80</v>
      </c>
      <c r="Q45" s="45">
        <v>70</v>
      </c>
      <c r="R45" s="45">
        <v>90</v>
      </c>
      <c r="S45" s="45">
        <v>60</v>
      </c>
      <c r="T45" s="45">
        <v>20</v>
      </c>
      <c r="U45" s="45">
        <v>40</v>
      </c>
      <c r="V45" s="45">
        <v>25</v>
      </c>
      <c r="W45" s="45">
        <v>13</v>
      </c>
      <c r="X45" s="45">
        <v>76</v>
      </c>
      <c r="Y45" s="45">
        <v>225</v>
      </c>
      <c r="Z45" s="45">
        <v>260</v>
      </c>
      <c r="AA45" s="45">
        <v>220</v>
      </c>
      <c r="AB45" s="45">
        <v>75</v>
      </c>
      <c r="AC45" s="45">
        <v>90</v>
      </c>
      <c r="AD45" s="45">
        <v>110</v>
      </c>
      <c r="AE45" s="45">
        <v>60</v>
      </c>
      <c r="AF45" s="45">
        <v>30</v>
      </c>
      <c r="AG45" s="51">
        <v>456</v>
      </c>
      <c r="AH45" s="47">
        <f t="shared" si="2"/>
        <v>260</v>
      </c>
      <c r="AI45" s="48">
        <f t="shared" si="3"/>
        <v>13</v>
      </c>
      <c r="AK45" s="49"/>
    </row>
    <row r="46" spans="1:88" x14ac:dyDescent="0.25">
      <c r="A46" s="64" t="s">
        <v>54</v>
      </c>
      <c r="B46" s="65">
        <v>28</v>
      </c>
      <c r="C46" s="65">
        <v>28</v>
      </c>
      <c r="D46" s="65">
        <v>28</v>
      </c>
      <c r="E46" s="65">
        <v>28</v>
      </c>
      <c r="F46" s="65">
        <v>28</v>
      </c>
      <c r="G46" s="65">
        <v>28</v>
      </c>
      <c r="H46" s="65">
        <v>28</v>
      </c>
      <c r="I46" s="65">
        <v>28</v>
      </c>
      <c r="J46" s="65">
        <v>28</v>
      </c>
      <c r="K46" s="65">
        <v>28</v>
      </c>
      <c r="L46" s="65">
        <v>28</v>
      </c>
      <c r="M46" s="65">
        <v>28</v>
      </c>
      <c r="N46" s="65">
        <v>28</v>
      </c>
      <c r="O46" s="65">
        <v>28</v>
      </c>
      <c r="P46" s="65">
        <v>28</v>
      </c>
      <c r="Q46" s="65">
        <v>28</v>
      </c>
      <c r="R46" s="65">
        <v>28</v>
      </c>
      <c r="S46" s="65">
        <v>28</v>
      </c>
      <c r="T46" s="65">
        <v>28</v>
      </c>
      <c r="U46" s="65">
        <v>28</v>
      </c>
      <c r="V46" s="65">
        <v>28</v>
      </c>
      <c r="W46" s="65">
        <v>7.9</v>
      </c>
      <c r="X46" s="65">
        <v>28</v>
      </c>
      <c r="Y46" s="65">
        <v>28</v>
      </c>
      <c r="Z46" s="65">
        <v>28</v>
      </c>
      <c r="AA46" s="65">
        <v>28</v>
      </c>
      <c r="AB46" s="65">
        <v>28</v>
      </c>
      <c r="AC46" s="65">
        <v>28</v>
      </c>
      <c r="AD46" s="65">
        <v>28</v>
      </c>
      <c r="AE46" s="65">
        <v>28</v>
      </c>
      <c r="AF46" s="65">
        <v>28</v>
      </c>
      <c r="AG46" s="54">
        <v>60</v>
      </c>
      <c r="AH46" s="47">
        <f t="shared" si="2"/>
        <v>28</v>
      </c>
      <c r="AI46" s="48">
        <f t="shared" si="3"/>
        <v>7.9</v>
      </c>
      <c r="AK46" s="49"/>
    </row>
    <row r="47" spans="1:88" ht="15.75" thickBot="1" x14ac:dyDescent="0.3">
      <c r="A47" s="66" t="s">
        <v>55</v>
      </c>
      <c r="B47" s="67">
        <v>9.6999999999999993</v>
      </c>
      <c r="C47" s="67">
        <v>10</v>
      </c>
      <c r="D47" s="67">
        <v>10</v>
      </c>
      <c r="E47" s="67">
        <v>10.1</v>
      </c>
      <c r="F47" s="67">
        <v>10.199999999999999</v>
      </c>
      <c r="G47" s="67">
        <v>10.199999999999999</v>
      </c>
      <c r="H47" s="67">
        <v>10.199999999999999</v>
      </c>
      <c r="I47" s="67">
        <v>10.199999999999999</v>
      </c>
      <c r="J47" s="67">
        <v>10.199999999999999</v>
      </c>
      <c r="K47" s="67">
        <v>10.199999999999999</v>
      </c>
      <c r="L47" s="67">
        <v>10.199999999999999</v>
      </c>
      <c r="M47" s="67">
        <v>10.199999999999999</v>
      </c>
      <c r="N47" s="67">
        <v>12.2</v>
      </c>
      <c r="O47" s="67">
        <v>12.2</v>
      </c>
      <c r="P47" s="67">
        <v>12.2</v>
      </c>
      <c r="Q47" s="67">
        <v>12.2</v>
      </c>
      <c r="R47" s="67">
        <v>10.5</v>
      </c>
      <c r="S47" s="67">
        <v>10.5</v>
      </c>
      <c r="T47" s="67">
        <v>10.5</v>
      </c>
      <c r="U47" s="67">
        <v>10.5</v>
      </c>
      <c r="V47" s="67">
        <v>10.5</v>
      </c>
      <c r="W47" s="67">
        <v>2.9</v>
      </c>
      <c r="X47" s="67">
        <v>10.5</v>
      </c>
      <c r="Y47" s="67">
        <v>10.5</v>
      </c>
      <c r="Z47" s="67">
        <v>10.5</v>
      </c>
      <c r="AA47" s="67">
        <v>10.5</v>
      </c>
      <c r="AB47" s="67">
        <v>17.2</v>
      </c>
      <c r="AC47" s="67">
        <v>17.2</v>
      </c>
      <c r="AD47" s="67">
        <v>10.1</v>
      </c>
      <c r="AE47" s="67">
        <v>10.199999999999999</v>
      </c>
      <c r="AF47" s="67">
        <v>10.199999999999999</v>
      </c>
      <c r="AG47" s="68">
        <v>22.1</v>
      </c>
      <c r="AH47" s="47">
        <f t="shared" si="2"/>
        <v>17.2</v>
      </c>
      <c r="AI47" s="48">
        <f t="shared" si="3"/>
        <v>2.9</v>
      </c>
      <c r="AK47" s="49"/>
    </row>
    <row r="48" spans="1:88" ht="15.75" thickBot="1" x14ac:dyDescent="0.3">
      <c r="A48" s="69" t="s">
        <v>56</v>
      </c>
      <c r="B48" s="60">
        <f t="shared" ref="B48" si="7">SUM(B45:B47)</f>
        <v>77.7</v>
      </c>
      <c r="C48" s="60">
        <f t="shared" ref="C48:AG48" si="8">SUM(C45:C47)</f>
        <v>63</v>
      </c>
      <c r="D48" s="60">
        <f t="shared" ref="D48" si="9">SUM(D45:D47)</f>
        <v>63</v>
      </c>
      <c r="E48" s="60">
        <f t="shared" si="8"/>
        <v>88.1</v>
      </c>
      <c r="F48" s="60">
        <f t="shared" si="8"/>
        <v>78.2</v>
      </c>
      <c r="G48" s="60">
        <f t="shared" si="8"/>
        <v>78.2</v>
      </c>
      <c r="H48" s="60">
        <f t="shared" si="8"/>
        <v>88.2</v>
      </c>
      <c r="I48" s="60">
        <f t="shared" si="8"/>
        <v>113.2</v>
      </c>
      <c r="J48" s="60">
        <f t="shared" si="8"/>
        <v>113.2</v>
      </c>
      <c r="K48" s="60">
        <f t="shared" si="8"/>
        <v>138.19999999999999</v>
      </c>
      <c r="L48" s="60">
        <f t="shared" si="8"/>
        <v>188.2</v>
      </c>
      <c r="M48" s="60">
        <f t="shared" si="8"/>
        <v>188.2</v>
      </c>
      <c r="N48" s="60">
        <f t="shared" si="8"/>
        <v>130.19999999999999</v>
      </c>
      <c r="O48" s="60">
        <f t="shared" si="8"/>
        <v>130.19999999999999</v>
      </c>
      <c r="P48" s="60">
        <f t="shared" si="8"/>
        <v>120.2</v>
      </c>
      <c r="Q48" s="60">
        <f t="shared" si="8"/>
        <v>110.2</v>
      </c>
      <c r="R48" s="60">
        <f t="shared" si="8"/>
        <v>128.5</v>
      </c>
      <c r="S48" s="60">
        <f t="shared" si="8"/>
        <v>98.5</v>
      </c>
      <c r="T48" s="60">
        <f t="shared" si="8"/>
        <v>58.5</v>
      </c>
      <c r="U48" s="60">
        <f t="shared" si="8"/>
        <v>78.5</v>
      </c>
      <c r="V48" s="60">
        <f t="shared" si="8"/>
        <v>63.5</v>
      </c>
      <c r="W48" s="60">
        <f t="shared" si="8"/>
        <v>23.799999999999997</v>
      </c>
      <c r="X48" s="60">
        <f t="shared" si="8"/>
        <v>114.5</v>
      </c>
      <c r="Y48" s="60">
        <v>263.5</v>
      </c>
      <c r="Z48" s="60">
        <f t="shared" si="8"/>
        <v>298.5</v>
      </c>
      <c r="AA48" s="60">
        <f t="shared" si="8"/>
        <v>258.5</v>
      </c>
      <c r="AB48" s="60">
        <f t="shared" si="8"/>
        <v>120.2</v>
      </c>
      <c r="AC48" s="60">
        <f t="shared" si="8"/>
        <v>135.19999999999999</v>
      </c>
      <c r="AD48" s="60">
        <f t="shared" si="8"/>
        <v>148.1</v>
      </c>
      <c r="AE48" s="60">
        <f t="shared" si="8"/>
        <v>98.2</v>
      </c>
      <c r="AF48" s="60">
        <f t="shared" si="8"/>
        <v>68.2</v>
      </c>
      <c r="AG48" s="61">
        <f t="shared" si="8"/>
        <v>538.1</v>
      </c>
      <c r="AH48" s="47">
        <f t="shared" si="2"/>
        <v>298.5</v>
      </c>
      <c r="AI48" s="48">
        <f t="shared" si="3"/>
        <v>23.799999999999997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48.5</v>
      </c>
      <c r="H49" s="45">
        <v>48.5</v>
      </c>
      <c r="I49" s="45">
        <v>48.5</v>
      </c>
      <c r="J49" s="45">
        <v>60</v>
      </c>
      <c r="K49" s="45">
        <v>83</v>
      </c>
      <c r="L49" s="45">
        <v>83</v>
      </c>
      <c r="M49" s="45">
        <v>83</v>
      </c>
      <c r="N49" s="45">
        <v>61</v>
      </c>
      <c r="O49" s="45">
        <v>60</v>
      </c>
      <c r="P49" s="45">
        <v>94.3</v>
      </c>
      <c r="Q49" s="45">
        <v>92.1</v>
      </c>
      <c r="R49" s="45">
        <v>78</v>
      </c>
      <c r="S49" s="45">
        <v>83</v>
      </c>
      <c r="T49" s="45">
        <v>75</v>
      </c>
      <c r="U49" s="45">
        <v>83</v>
      </c>
      <c r="V49" s="45">
        <v>60.6</v>
      </c>
      <c r="W49" s="45">
        <v>60</v>
      </c>
      <c r="X49" s="45">
        <v>92</v>
      </c>
      <c r="Y49" s="45">
        <v>136.69999999999999</v>
      </c>
      <c r="Z49" s="45">
        <v>103</v>
      </c>
      <c r="AA49" s="45">
        <v>81</v>
      </c>
      <c r="AB49" s="45">
        <v>71.2</v>
      </c>
      <c r="AC49" s="45">
        <v>71.3</v>
      </c>
      <c r="AD49" s="45">
        <v>71.3</v>
      </c>
      <c r="AE49" s="45">
        <v>60</v>
      </c>
      <c r="AF49" s="45">
        <v>30.5</v>
      </c>
      <c r="AG49" s="51">
        <v>144</v>
      </c>
      <c r="AH49" s="47">
        <f t="shared" si="2"/>
        <v>136.69999999999999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34.200000000000003</v>
      </c>
      <c r="C50" s="65">
        <v>24.6</v>
      </c>
      <c r="D50" s="65">
        <v>25.9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21.8</v>
      </c>
      <c r="N50" s="65">
        <v>35</v>
      </c>
      <c r="O50" s="65">
        <v>35</v>
      </c>
      <c r="P50" s="65">
        <v>46</v>
      </c>
      <c r="Q50" s="65">
        <v>49.4</v>
      </c>
      <c r="R50" s="45">
        <v>62.6</v>
      </c>
      <c r="S50" s="45">
        <v>60.9</v>
      </c>
      <c r="T50" s="45">
        <v>45</v>
      </c>
      <c r="U50" s="45">
        <v>60.9</v>
      </c>
      <c r="V50" s="45">
        <v>0</v>
      </c>
      <c r="W50" s="45">
        <v>0</v>
      </c>
      <c r="X50" s="45">
        <v>0</v>
      </c>
      <c r="Y50" s="45">
        <v>54.8</v>
      </c>
      <c r="Z50" s="45">
        <v>60.3</v>
      </c>
      <c r="AA50" s="45">
        <v>60</v>
      </c>
      <c r="AB50" s="65">
        <v>60.7</v>
      </c>
      <c r="AC50" s="65">
        <v>60</v>
      </c>
      <c r="AD50" s="65">
        <v>59.6</v>
      </c>
      <c r="AE50" s="65">
        <v>0</v>
      </c>
      <c r="AF50" s="65">
        <v>0</v>
      </c>
      <c r="AG50" s="54">
        <v>70</v>
      </c>
      <c r="AH50" s="47">
        <f t="shared" si="2"/>
        <v>62.6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20.6</v>
      </c>
      <c r="C51" s="65">
        <v>20.7</v>
      </c>
      <c r="D51" s="65">
        <v>20.7</v>
      </c>
      <c r="E51" s="65">
        <v>20.9</v>
      </c>
      <c r="F51" s="65">
        <v>23.2</v>
      </c>
      <c r="G51" s="65">
        <v>23.1</v>
      </c>
      <c r="H51" s="65">
        <v>23.1</v>
      </c>
      <c r="I51" s="65">
        <v>46.1</v>
      </c>
      <c r="J51" s="65">
        <v>46.2</v>
      </c>
      <c r="K51" s="65">
        <v>46.4</v>
      </c>
      <c r="L51" s="65">
        <v>46.4</v>
      </c>
      <c r="M51" s="65">
        <v>46.4</v>
      </c>
      <c r="N51" s="65">
        <v>35</v>
      </c>
      <c r="O51" s="65">
        <v>35</v>
      </c>
      <c r="P51" s="65">
        <v>34</v>
      </c>
      <c r="Q51" s="65">
        <v>34</v>
      </c>
      <c r="R51" s="45">
        <v>22</v>
      </c>
      <c r="S51" s="45">
        <v>22</v>
      </c>
      <c r="T51" s="45">
        <v>22</v>
      </c>
      <c r="U51" s="45">
        <v>22</v>
      </c>
      <c r="V51" s="45">
        <v>16.5</v>
      </c>
      <c r="W51" s="45">
        <v>16.5</v>
      </c>
      <c r="X51" s="45">
        <v>23</v>
      </c>
      <c r="Y51" s="45">
        <v>69.400000000000006</v>
      </c>
      <c r="Z51" s="45">
        <v>53.9</v>
      </c>
      <c r="AA51" s="45">
        <v>63</v>
      </c>
      <c r="AB51" s="65">
        <v>62.8</v>
      </c>
      <c r="AC51" s="65">
        <v>60.5</v>
      </c>
      <c r="AD51" s="65">
        <v>60.5</v>
      </c>
      <c r="AE51" s="65">
        <v>41.7</v>
      </c>
      <c r="AF51" s="65">
        <v>23.6</v>
      </c>
      <c r="AG51" s="54">
        <v>69</v>
      </c>
      <c r="AH51" s="47">
        <f t="shared" si="2"/>
        <v>69.400000000000006</v>
      </c>
      <c r="AI51" s="48">
        <f t="shared" si="3"/>
        <v>16.5</v>
      </c>
      <c r="AK51" s="49"/>
    </row>
    <row r="52" spans="1:41" x14ac:dyDescent="0.25">
      <c r="A52" s="53" t="s">
        <v>60</v>
      </c>
      <c r="B52" s="65">
        <v>45.3</v>
      </c>
      <c r="C52" s="56">
        <v>45.1</v>
      </c>
      <c r="D52" s="56">
        <v>41.8</v>
      </c>
      <c r="E52" s="56">
        <v>41.8</v>
      </c>
      <c r="F52" s="56">
        <v>41.8</v>
      </c>
      <c r="G52" s="56">
        <v>42.1</v>
      </c>
      <c r="H52" s="56">
        <v>42.1</v>
      </c>
      <c r="I52" s="56">
        <v>42.3</v>
      </c>
      <c r="J52" s="56">
        <v>42.3</v>
      </c>
      <c r="K52" s="56">
        <v>42.3</v>
      </c>
      <c r="L52" s="56">
        <v>42.3</v>
      </c>
      <c r="M52" s="65">
        <v>42.3</v>
      </c>
      <c r="N52" s="65">
        <v>42.3</v>
      </c>
      <c r="O52" s="65">
        <v>42.3</v>
      </c>
      <c r="P52" s="65">
        <v>42.3</v>
      </c>
      <c r="Q52" s="65">
        <v>44.1</v>
      </c>
      <c r="R52" s="45">
        <v>44.3</v>
      </c>
      <c r="S52" s="45">
        <v>44</v>
      </c>
      <c r="T52" s="45">
        <v>44</v>
      </c>
      <c r="U52" s="45">
        <v>44</v>
      </c>
      <c r="V52" s="45">
        <v>44</v>
      </c>
      <c r="W52" s="45">
        <v>44</v>
      </c>
      <c r="X52" s="45">
        <v>44</v>
      </c>
      <c r="Y52" s="65">
        <v>44</v>
      </c>
      <c r="Z52" s="65">
        <v>44</v>
      </c>
      <c r="AA52" s="65">
        <v>40.299999999999997</v>
      </c>
      <c r="AB52" s="65">
        <v>41.1</v>
      </c>
      <c r="AC52" s="65">
        <v>41.1</v>
      </c>
      <c r="AD52" s="65">
        <v>41.1</v>
      </c>
      <c r="AE52" s="65">
        <v>41.1</v>
      </c>
      <c r="AF52" s="65">
        <v>41.1</v>
      </c>
      <c r="AG52" s="54">
        <v>60</v>
      </c>
      <c r="AH52" s="47">
        <f t="shared" si="2"/>
        <v>45.3</v>
      </c>
      <c r="AI52" s="48">
        <f t="shared" si="3"/>
        <v>40.299999999999997</v>
      </c>
      <c r="AK52" s="49"/>
    </row>
    <row r="53" spans="1:41" x14ac:dyDescent="0.25">
      <c r="A53" s="53" t="s">
        <v>61</v>
      </c>
      <c r="B53" s="65">
        <v>0</v>
      </c>
      <c r="C53" s="56">
        <v>0</v>
      </c>
      <c r="D53" s="56">
        <v>0</v>
      </c>
      <c r="E53" s="56">
        <v>0</v>
      </c>
      <c r="F53" s="56">
        <v>0</v>
      </c>
      <c r="G53" s="56">
        <v>0</v>
      </c>
      <c r="H53" s="56">
        <v>0</v>
      </c>
      <c r="I53" s="56">
        <v>15</v>
      </c>
      <c r="J53" s="56">
        <v>15</v>
      </c>
      <c r="K53" s="56">
        <v>15</v>
      </c>
      <c r="L53" s="56">
        <v>15</v>
      </c>
      <c r="M53" s="65">
        <v>30</v>
      </c>
      <c r="N53" s="65">
        <v>25</v>
      </c>
      <c r="O53" s="65">
        <v>15</v>
      </c>
      <c r="P53" s="65">
        <v>15</v>
      </c>
      <c r="Q53" s="65">
        <v>15</v>
      </c>
      <c r="R53" s="65">
        <v>15</v>
      </c>
      <c r="S53" s="65">
        <v>0</v>
      </c>
      <c r="T53" s="65">
        <v>0</v>
      </c>
      <c r="U53" s="65">
        <v>0</v>
      </c>
      <c r="V53" s="45">
        <v>15</v>
      </c>
      <c r="W53" s="45">
        <v>15</v>
      </c>
      <c r="X53" s="45">
        <v>15</v>
      </c>
      <c r="Y53" s="65">
        <v>15</v>
      </c>
      <c r="Z53" s="65">
        <v>29</v>
      </c>
      <c r="AA53" s="65">
        <v>23</v>
      </c>
      <c r="AB53" s="65">
        <v>23</v>
      </c>
      <c r="AC53" s="65">
        <v>15</v>
      </c>
      <c r="AD53" s="65">
        <v>15</v>
      </c>
      <c r="AE53" s="65">
        <v>12</v>
      </c>
      <c r="AF53" s="65">
        <v>12</v>
      </c>
      <c r="AG53" s="54">
        <v>30</v>
      </c>
      <c r="AH53" s="47">
        <f t="shared" si="2"/>
        <v>30</v>
      </c>
      <c r="AI53" s="48">
        <f t="shared" si="3"/>
        <v>0</v>
      </c>
      <c r="AK53" s="49"/>
    </row>
    <row r="54" spans="1:41" x14ac:dyDescent="0.25">
      <c r="A54" s="53" t="s">
        <v>62</v>
      </c>
      <c r="B54" s="6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0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16</v>
      </c>
      <c r="C55" s="65">
        <v>16</v>
      </c>
      <c r="D55" s="65">
        <v>16</v>
      </c>
      <c r="E55" s="65">
        <v>16</v>
      </c>
      <c r="F55" s="65">
        <v>16</v>
      </c>
      <c r="G55" s="65">
        <v>16</v>
      </c>
      <c r="H55" s="65">
        <v>16</v>
      </c>
      <c r="I55" s="65">
        <v>16</v>
      </c>
      <c r="J55" s="65">
        <v>16</v>
      </c>
      <c r="K55" s="65">
        <v>16</v>
      </c>
      <c r="L55" s="65">
        <v>16</v>
      </c>
      <c r="M55" s="65">
        <v>16</v>
      </c>
      <c r="N55" s="65">
        <v>16</v>
      </c>
      <c r="O55" s="65">
        <v>16</v>
      </c>
      <c r="P55" s="65">
        <v>16</v>
      </c>
      <c r="Q55" s="65">
        <v>16</v>
      </c>
      <c r="R55" s="65">
        <v>16</v>
      </c>
      <c r="S55" s="65">
        <v>16</v>
      </c>
      <c r="T55" s="65">
        <v>16</v>
      </c>
      <c r="U55" s="65">
        <v>16</v>
      </c>
      <c r="V55" s="65">
        <v>16</v>
      </c>
      <c r="W55" s="65">
        <v>16</v>
      </c>
      <c r="X55" s="65">
        <v>16</v>
      </c>
      <c r="Y55" s="65">
        <v>16</v>
      </c>
      <c r="Z55" s="65">
        <v>16</v>
      </c>
      <c r="AA55" s="65">
        <v>16</v>
      </c>
      <c r="AB55" s="65">
        <v>16</v>
      </c>
      <c r="AC55" s="65">
        <v>16</v>
      </c>
      <c r="AD55" s="65">
        <v>16</v>
      </c>
      <c r="AE55" s="65">
        <v>16</v>
      </c>
      <c r="AF55" s="65">
        <v>16</v>
      </c>
      <c r="AG55" s="54">
        <v>24</v>
      </c>
      <c r="AH55" s="47">
        <f t="shared" si="2"/>
        <v>16</v>
      </c>
      <c r="AI55" s="48">
        <f t="shared" si="3"/>
        <v>16</v>
      </c>
      <c r="AK55" s="49"/>
    </row>
    <row r="56" spans="1:41" x14ac:dyDescent="0.25">
      <c r="A56" s="53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4">
        <v>15</v>
      </c>
      <c r="AH56" s="47">
        <f t="shared" si="2"/>
        <v>3.2</v>
      </c>
      <c r="AI56" s="48">
        <f t="shared" si="3"/>
        <v>3.2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10.6</v>
      </c>
      <c r="C57" s="65">
        <v>10.6</v>
      </c>
      <c r="D57" s="65">
        <v>10.6</v>
      </c>
      <c r="E57" s="65">
        <v>10.6</v>
      </c>
      <c r="F57" s="65">
        <v>10.6</v>
      </c>
      <c r="G57" s="65">
        <v>10.6</v>
      </c>
      <c r="H57" s="65">
        <v>10.6</v>
      </c>
      <c r="I57" s="65">
        <v>10.6</v>
      </c>
      <c r="J57" s="65">
        <v>10.6</v>
      </c>
      <c r="K57" s="65">
        <v>10.6</v>
      </c>
      <c r="L57" s="65">
        <v>10.6</v>
      </c>
      <c r="M57" s="65">
        <v>10.6</v>
      </c>
      <c r="N57" s="65">
        <v>10.6</v>
      </c>
      <c r="O57" s="65">
        <v>10.6</v>
      </c>
      <c r="P57" s="65">
        <v>10.6</v>
      </c>
      <c r="Q57" s="65">
        <v>10.6</v>
      </c>
      <c r="R57" s="65">
        <v>10.6</v>
      </c>
      <c r="S57" s="65">
        <v>10.6</v>
      </c>
      <c r="T57" s="65">
        <v>10.6</v>
      </c>
      <c r="U57" s="65">
        <v>10.6</v>
      </c>
      <c r="V57" s="65">
        <v>10.6</v>
      </c>
      <c r="W57" s="65">
        <v>10.6</v>
      </c>
      <c r="X57" s="65">
        <v>10.6</v>
      </c>
      <c r="Y57" s="65">
        <v>10.6</v>
      </c>
      <c r="Z57" s="65">
        <v>10.6</v>
      </c>
      <c r="AA57" s="65">
        <v>10.6</v>
      </c>
      <c r="AB57" s="65">
        <v>10.6</v>
      </c>
      <c r="AC57" s="65">
        <v>10.6</v>
      </c>
      <c r="AD57" s="65">
        <v>10.6</v>
      </c>
      <c r="AE57" s="65">
        <v>10.6</v>
      </c>
      <c r="AF57" s="65">
        <v>10.6</v>
      </c>
      <c r="AG57" s="54">
        <v>14.1</v>
      </c>
      <c r="AH57" s="47">
        <f t="shared" si="2"/>
        <v>10.6</v>
      </c>
      <c r="AI57" s="48">
        <f t="shared" si="3"/>
        <v>10.6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5.0999999999999996</v>
      </c>
      <c r="C58" s="65">
        <v>5.0999999999999996</v>
      </c>
      <c r="D58" s="65">
        <v>5.0999999999999996</v>
      </c>
      <c r="E58" s="65">
        <v>5.0999999999999996</v>
      </c>
      <c r="F58" s="65">
        <v>5.0999999999999996</v>
      </c>
      <c r="G58" s="65">
        <v>5.0999999999999996</v>
      </c>
      <c r="H58" s="65">
        <v>5.0999999999999996</v>
      </c>
      <c r="I58" s="65">
        <v>5.0999999999999996</v>
      </c>
      <c r="J58" s="65">
        <v>5.0999999999999996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0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  <c r="AG58" s="54">
        <v>14</v>
      </c>
      <c r="AH58" s="47">
        <f t="shared" si="2"/>
        <v>5.0999999999999996</v>
      </c>
      <c r="AI58" s="48">
        <f t="shared" si="3"/>
        <v>0</v>
      </c>
      <c r="AK58" s="49"/>
    </row>
    <row r="59" spans="1:41" x14ac:dyDescent="0.25">
      <c r="A59" s="53" t="s">
        <v>67</v>
      </c>
      <c r="B59" s="65">
        <v>4.2</v>
      </c>
      <c r="C59" s="65">
        <v>4.2</v>
      </c>
      <c r="D59" s="65">
        <v>4.2</v>
      </c>
      <c r="E59" s="65">
        <v>4.2</v>
      </c>
      <c r="F59" s="65">
        <v>4.2</v>
      </c>
      <c r="G59" s="65">
        <v>4.2</v>
      </c>
      <c r="H59" s="65">
        <v>4.2</v>
      </c>
      <c r="I59" s="65">
        <v>4.2</v>
      </c>
      <c r="J59" s="65">
        <v>4.2</v>
      </c>
      <c r="K59" s="65">
        <v>4.2</v>
      </c>
      <c r="L59" s="65">
        <v>4.2</v>
      </c>
      <c r="M59" s="65">
        <v>4.2</v>
      </c>
      <c r="N59" s="65">
        <v>4.2</v>
      </c>
      <c r="O59" s="65">
        <v>4.2</v>
      </c>
      <c r="P59" s="65">
        <v>4.2</v>
      </c>
      <c r="Q59" s="65">
        <v>4.2</v>
      </c>
      <c r="R59" s="65">
        <v>4.2</v>
      </c>
      <c r="S59" s="65">
        <v>4.2</v>
      </c>
      <c r="T59" s="65">
        <v>4.2</v>
      </c>
      <c r="U59" s="65">
        <v>4.2</v>
      </c>
      <c r="V59" s="65">
        <v>4.2</v>
      </c>
      <c r="W59" s="65">
        <v>4.2</v>
      </c>
      <c r="X59" s="65">
        <v>4.2</v>
      </c>
      <c r="Y59" s="65">
        <v>4.2</v>
      </c>
      <c r="Z59" s="65">
        <v>4.2</v>
      </c>
      <c r="AA59" s="65">
        <v>4.2</v>
      </c>
      <c r="AB59" s="65">
        <v>4.2</v>
      </c>
      <c r="AC59" s="65">
        <v>4.2</v>
      </c>
      <c r="AD59" s="65">
        <v>4.2</v>
      </c>
      <c r="AE59" s="65">
        <v>4.2</v>
      </c>
      <c r="AF59" s="65">
        <v>4.2</v>
      </c>
      <c r="AG59" s="54">
        <v>10.050000000000001</v>
      </c>
      <c r="AH59" s="47">
        <f t="shared" si="2"/>
        <v>4.2</v>
      </c>
      <c r="AI59" s="48">
        <f t="shared" si="3"/>
        <v>4.2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 t="shared" ref="B62:C62" si="10">SUM(B49:B61)</f>
        <v>145.93999999999997</v>
      </c>
      <c r="C62" s="60">
        <f t="shared" si="10"/>
        <v>136.23999999999998</v>
      </c>
      <c r="D62" s="60">
        <f t="shared" ref="D62" si="11">SUM(D49:D61)</f>
        <v>134.23999999999998</v>
      </c>
      <c r="E62" s="60">
        <f t="shared" ref="E62:AG62" si="12">SUM(E49:E61)</f>
        <v>108.53999999999999</v>
      </c>
      <c r="F62" s="60">
        <f t="shared" si="12"/>
        <v>110.84</v>
      </c>
      <c r="G62" s="60">
        <f t="shared" si="12"/>
        <v>159.53999999999994</v>
      </c>
      <c r="H62" s="60">
        <f t="shared" si="12"/>
        <v>159.53999999999994</v>
      </c>
      <c r="I62" s="60">
        <f t="shared" si="12"/>
        <v>197.73999999999992</v>
      </c>
      <c r="J62" s="60">
        <f t="shared" si="12"/>
        <v>209.33999999999995</v>
      </c>
      <c r="K62" s="60">
        <f t="shared" si="12"/>
        <v>227.43999999999994</v>
      </c>
      <c r="L62" s="60">
        <f t="shared" si="12"/>
        <v>227.43999999999994</v>
      </c>
      <c r="M62" s="60">
        <f t="shared" si="12"/>
        <v>264.24</v>
      </c>
      <c r="N62" s="60">
        <f t="shared" si="12"/>
        <v>239.03999999999996</v>
      </c>
      <c r="O62" s="60">
        <f t="shared" si="12"/>
        <v>228.03999999999996</v>
      </c>
      <c r="P62" s="60">
        <f t="shared" si="12"/>
        <v>272.34000000000003</v>
      </c>
      <c r="Q62" s="60">
        <f t="shared" si="12"/>
        <v>275.33999999999997</v>
      </c>
      <c r="R62" s="60">
        <f t="shared" si="12"/>
        <v>262.64</v>
      </c>
      <c r="S62" s="60">
        <f t="shared" si="12"/>
        <v>250.63999999999996</v>
      </c>
      <c r="T62" s="60">
        <f t="shared" si="12"/>
        <v>226.73999999999995</v>
      </c>
      <c r="U62" s="60">
        <f t="shared" si="12"/>
        <v>250.63999999999996</v>
      </c>
      <c r="V62" s="60">
        <f t="shared" si="12"/>
        <v>176.83999999999995</v>
      </c>
      <c r="W62" s="60">
        <f t="shared" si="12"/>
        <v>176.23999999999995</v>
      </c>
      <c r="X62" s="60">
        <f t="shared" si="12"/>
        <v>214.73999999999995</v>
      </c>
      <c r="Y62" s="60">
        <v>360.64</v>
      </c>
      <c r="Z62" s="60">
        <f t="shared" si="12"/>
        <v>330.94000000000005</v>
      </c>
      <c r="AA62" s="60">
        <f t="shared" si="12"/>
        <v>308.04000000000002</v>
      </c>
      <c r="AB62" s="60">
        <f t="shared" si="12"/>
        <v>299.53999999999996</v>
      </c>
      <c r="AC62" s="60">
        <f t="shared" si="12"/>
        <v>288.64</v>
      </c>
      <c r="AD62" s="60">
        <f t="shared" si="12"/>
        <v>288.24</v>
      </c>
      <c r="AE62" s="60">
        <f t="shared" si="12"/>
        <v>195.53999999999996</v>
      </c>
      <c r="AF62" s="60">
        <f t="shared" si="12"/>
        <v>147.93999999999997</v>
      </c>
      <c r="AG62" s="61">
        <f t="shared" si="12"/>
        <v>489.91</v>
      </c>
      <c r="AH62" s="47">
        <f t="shared" si="2"/>
        <v>360.64</v>
      </c>
      <c r="AI62" s="48">
        <f t="shared" si="3"/>
        <v>108.53999999999999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20.2</v>
      </c>
      <c r="J63" s="45">
        <v>20.3</v>
      </c>
      <c r="K63" s="45">
        <v>13.3</v>
      </c>
      <c r="L63" s="45">
        <v>20</v>
      </c>
      <c r="M63" s="45">
        <v>19.7</v>
      </c>
      <c r="N63" s="45">
        <v>20</v>
      </c>
      <c r="O63" s="45">
        <v>10</v>
      </c>
      <c r="P63" s="45">
        <v>14</v>
      </c>
      <c r="Q63" s="45">
        <v>10</v>
      </c>
      <c r="R63" s="45">
        <v>0</v>
      </c>
      <c r="S63" s="45">
        <v>0</v>
      </c>
      <c r="T63" s="45">
        <v>20</v>
      </c>
      <c r="U63" s="45">
        <v>29.5</v>
      </c>
      <c r="V63" s="45">
        <v>43.6</v>
      </c>
      <c r="W63" s="45">
        <v>13</v>
      </c>
      <c r="X63" s="45">
        <v>29.7</v>
      </c>
      <c r="Y63" s="45">
        <v>28.9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51">
        <v>60</v>
      </c>
      <c r="AH63" s="47">
        <f t="shared" si="2"/>
        <v>43.6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4.5999999999999996</v>
      </c>
      <c r="J64" s="65">
        <v>11.3</v>
      </c>
      <c r="K64" s="65">
        <v>5.5</v>
      </c>
      <c r="L64" s="65">
        <v>6.8</v>
      </c>
      <c r="M64" s="65">
        <v>9.6</v>
      </c>
      <c r="N64" s="65">
        <v>8</v>
      </c>
      <c r="O64" s="65">
        <v>4.2</v>
      </c>
      <c r="P64" s="65">
        <v>5.6</v>
      </c>
      <c r="Q64" s="45">
        <v>5</v>
      </c>
      <c r="R64" s="45">
        <v>0</v>
      </c>
      <c r="S64" s="65">
        <v>0</v>
      </c>
      <c r="T64" s="65">
        <v>7.4</v>
      </c>
      <c r="U64" s="65">
        <v>14.4</v>
      </c>
      <c r="V64" s="65">
        <v>19</v>
      </c>
      <c r="W64" s="65">
        <v>7.8</v>
      </c>
      <c r="X64" s="65">
        <v>7.8</v>
      </c>
      <c r="Y64" s="65">
        <v>3.6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45">
        <v>0</v>
      </c>
      <c r="AG64" s="54">
        <v>32</v>
      </c>
      <c r="AH64" s="47">
        <f t="shared" si="2"/>
        <v>19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1.7</v>
      </c>
      <c r="J65" s="67">
        <v>4.0999999999999996</v>
      </c>
      <c r="K65" s="67">
        <v>2</v>
      </c>
      <c r="L65" s="67">
        <v>2.5</v>
      </c>
      <c r="M65" s="67">
        <v>3.5</v>
      </c>
      <c r="N65" s="67">
        <v>3</v>
      </c>
      <c r="O65" s="67">
        <v>1.5</v>
      </c>
      <c r="P65" s="67">
        <v>2</v>
      </c>
      <c r="Q65" s="45">
        <v>2</v>
      </c>
      <c r="R65" s="45">
        <v>0</v>
      </c>
      <c r="S65" s="67">
        <v>0</v>
      </c>
      <c r="T65" s="67">
        <v>2.5</v>
      </c>
      <c r="U65" s="67">
        <v>5.2</v>
      </c>
      <c r="V65" s="67">
        <v>7</v>
      </c>
      <c r="W65" s="67">
        <v>2.8</v>
      </c>
      <c r="X65" s="67">
        <v>2.8</v>
      </c>
      <c r="Y65" s="67">
        <v>1.3</v>
      </c>
      <c r="Z65" s="67">
        <v>0</v>
      </c>
      <c r="AA65" s="67">
        <v>0</v>
      </c>
      <c r="AB65" s="67">
        <v>0</v>
      </c>
      <c r="AC65" s="67">
        <v>0</v>
      </c>
      <c r="AD65" s="67">
        <v>0</v>
      </c>
      <c r="AE65" s="67">
        <v>0</v>
      </c>
      <c r="AF65" s="45">
        <v>0</v>
      </c>
      <c r="AG65" s="68">
        <v>14</v>
      </c>
      <c r="AH65" s="47">
        <f t="shared" si="2"/>
        <v>7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f t="shared" ref="B66" si="13">B63+B64+B65</f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f>H63+H64+H65</f>
        <v>0</v>
      </c>
      <c r="I66" s="60">
        <f t="shared" ref="I66:L66" si="14">I63+I64+I65</f>
        <v>26.499999999999996</v>
      </c>
      <c r="J66" s="60">
        <f t="shared" si="14"/>
        <v>35.700000000000003</v>
      </c>
      <c r="K66" s="60">
        <f t="shared" si="14"/>
        <v>20.8</v>
      </c>
      <c r="L66" s="60">
        <f t="shared" si="14"/>
        <v>29.3</v>
      </c>
      <c r="M66" s="60">
        <f t="shared" ref="M66:AF66" si="15">M63+M64+M65</f>
        <v>32.799999999999997</v>
      </c>
      <c r="N66" s="60">
        <f t="shared" si="15"/>
        <v>31</v>
      </c>
      <c r="O66" s="60">
        <f t="shared" si="15"/>
        <v>15.7</v>
      </c>
      <c r="P66" s="60">
        <f t="shared" si="15"/>
        <v>21.6</v>
      </c>
      <c r="Q66" s="60">
        <f t="shared" si="15"/>
        <v>17</v>
      </c>
      <c r="R66" s="60">
        <f t="shared" si="15"/>
        <v>0</v>
      </c>
      <c r="S66" s="60">
        <f t="shared" si="15"/>
        <v>0</v>
      </c>
      <c r="T66" s="60">
        <f t="shared" si="15"/>
        <v>29.9</v>
      </c>
      <c r="U66" s="60">
        <f t="shared" si="15"/>
        <v>49.1</v>
      </c>
      <c r="V66" s="60">
        <f t="shared" si="15"/>
        <v>69.599999999999994</v>
      </c>
      <c r="W66" s="60">
        <f t="shared" si="15"/>
        <v>23.6</v>
      </c>
      <c r="X66" s="60">
        <f t="shared" si="15"/>
        <v>40.299999999999997</v>
      </c>
      <c r="Y66" s="60">
        <v>33.799999999999997</v>
      </c>
      <c r="Z66" s="60">
        <f t="shared" si="15"/>
        <v>0</v>
      </c>
      <c r="AA66" s="60">
        <f t="shared" si="15"/>
        <v>0</v>
      </c>
      <c r="AB66" s="60">
        <f t="shared" si="15"/>
        <v>0</v>
      </c>
      <c r="AC66" s="60">
        <f t="shared" si="15"/>
        <v>0</v>
      </c>
      <c r="AD66" s="60">
        <f t="shared" si="15"/>
        <v>0</v>
      </c>
      <c r="AE66" s="60">
        <f t="shared" si="15"/>
        <v>0</v>
      </c>
      <c r="AF66" s="60">
        <f t="shared" si="15"/>
        <v>0</v>
      </c>
      <c r="AG66" s="61">
        <f>SUM(AG63:AG65)</f>
        <v>106</v>
      </c>
      <c r="AH66" s="47">
        <f t="shared" si="2"/>
        <v>69.599999999999994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69.2</v>
      </c>
      <c r="C67" s="45">
        <v>64.099999999999994</v>
      </c>
      <c r="D67" s="45">
        <v>60</v>
      </c>
      <c r="E67" s="45">
        <v>69</v>
      </c>
      <c r="F67" s="45">
        <v>66.400000000000006</v>
      </c>
      <c r="G67" s="45">
        <v>68.5</v>
      </c>
      <c r="H67" s="45">
        <v>67.099999999999994</v>
      </c>
      <c r="I67" s="45">
        <v>64.599999999999994</v>
      </c>
      <c r="J67" s="45">
        <v>66</v>
      </c>
      <c r="K67" s="45">
        <v>70.3</v>
      </c>
      <c r="L67" s="45">
        <v>64.5</v>
      </c>
      <c r="M67" s="45">
        <v>62.8</v>
      </c>
      <c r="N67" s="45">
        <v>75</v>
      </c>
      <c r="O67" s="45">
        <v>73.5</v>
      </c>
      <c r="P67" s="45">
        <v>60</v>
      </c>
      <c r="Q67" s="45">
        <v>47</v>
      </c>
      <c r="R67" s="45">
        <v>69</v>
      </c>
      <c r="S67" s="45">
        <v>62</v>
      </c>
      <c r="T67" s="45">
        <v>72</v>
      </c>
      <c r="U67" s="45">
        <v>62</v>
      </c>
      <c r="V67" s="45">
        <v>54</v>
      </c>
      <c r="W67" s="45">
        <v>56</v>
      </c>
      <c r="X67" s="45">
        <v>65.8</v>
      </c>
      <c r="Y67" s="45">
        <v>45</v>
      </c>
      <c r="Z67" s="45">
        <v>44.6</v>
      </c>
      <c r="AA67" s="45">
        <v>42</v>
      </c>
      <c r="AB67" s="45">
        <v>42</v>
      </c>
      <c r="AC67" s="45">
        <v>64.400000000000006</v>
      </c>
      <c r="AD67" s="45">
        <v>53.4</v>
      </c>
      <c r="AE67" s="45">
        <v>58.7</v>
      </c>
      <c r="AF67" s="45">
        <v>61</v>
      </c>
      <c r="AG67" s="51"/>
      <c r="AH67" s="47">
        <f t="shared" si="2"/>
        <v>75</v>
      </c>
      <c r="AI67" s="48">
        <f t="shared" si="3"/>
        <v>42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345.2</v>
      </c>
      <c r="C69" s="65">
        <v>348.6</v>
      </c>
      <c r="D69" s="65">
        <v>335.6</v>
      </c>
      <c r="E69" s="65">
        <v>336.3</v>
      </c>
      <c r="F69" s="65">
        <v>338</v>
      </c>
      <c r="G69" s="65">
        <v>347.8</v>
      </c>
      <c r="H69" s="65">
        <v>366.3</v>
      </c>
      <c r="I69" s="65">
        <v>322.60000000000002</v>
      </c>
      <c r="J69" s="65">
        <v>344</v>
      </c>
      <c r="K69" s="65">
        <v>280</v>
      </c>
      <c r="L69" s="65">
        <v>165</v>
      </c>
      <c r="M69" s="65">
        <v>173.1</v>
      </c>
      <c r="N69" s="65">
        <v>294</v>
      </c>
      <c r="O69" s="65">
        <v>294</v>
      </c>
      <c r="P69" s="65">
        <v>326</v>
      </c>
      <c r="Q69" s="65">
        <v>358</v>
      </c>
      <c r="R69" s="65">
        <v>334</v>
      </c>
      <c r="S69" s="65">
        <v>346</v>
      </c>
      <c r="T69" s="65">
        <v>335</v>
      </c>
      <c r="U69" s="65">
        <v>330</v>
      </c>
      <c r="V69" s="65">
        <v>335</v>
      </c>
      <c r="W69" s="65">
        <v>335</v>
      </c>
      <c r="X69" s="65">
        <v>293</v>
      </c>
      <c r="Y69" s="65">
        <v>185</v>
      </c>
      <c r="Z69" s="65">
        <v>120</v>
      </c>
      <c r="AA69" s="65">
        <v>160</v>
      </c>
      <c r="AB69" s="65">
        <v>257</v>
      </c>
      <c r="AC69" s="65">
        <v>292.2</v>
      </c>
      <c r="AD69" s="65">
        <v>281.8</v>
      </c>
      <c r="AE69" s="65">
        <v>332.1</v>
      </c>
      <c r="AF69" s="65">
        <v>321.5</v>
      </c>
      <c r="AG69" s="75"/>
      <c r="AH69" s="47">
        <f t="shared" si="2"/>
        <v>366.3</v>
      </c>
      <c r="AI69" s="48">
        <f t="shared" si="3"/>
        <v>120</v>
      </c>
      <c r="AK69" s="49"/>
    </row>
    <row r="70" spans="1:40" x14ac:dyDescent="0.25">
      <c r="A70" s="53" t="s">
        <v>78</v>
      </c>
      <c r="B70" s="65">
        <v>50.5</v>
      </c>
      <c r="C70" s="76">
        <v>50</v>
      </c>
      <c r="D70" s="76">
        <v>60.5</v>
      </c>
      <c r="E70" s="76">
        <v>59.1</v>
      </c>
      <c r="F70" s="76">
        <v>61.1</v>
      </c>
      <c r="G70" s="76">
        <v>61.1</v>
      </c>
      <c r="H70" s="76">
        <v>60.4</v>
      </c>
      <c r="I70" s="76">
        <v>63.4</v>
      </c>
      <c r="J70" s="76">
        <v>53</v>
      </c>
      <c r="K70" s="76">
        <v>40.799999999999997</v>
      </c>
      <c r="L70" s="76">
        <v>33.700000000000003</v>
      </c>
      <c r="M70" s="76">
        <v>33.9</v>
      </c>
      <c r="N70" s="76">
        <v>33.6</v>
      </c>
      <c r="O70" s="76">
        <v>30.9</v>
      </c>
      <c r="P70" s="76">
        <v>25.8</v>
      </c>
      <c r="Q70" s="76">
        <v>25.8</v>
      </c>
      <c r="R70" s="76">
        <v>54</v>
      </c>
      <c r="S70" s="76">
        <v>59</v>
      </c>
      <c r="T70" s="76">
        <v>59</v>
      </c>
      <c r="U70" s="76">
        <v>59</v>
      </c>
      <c r="V70" s="76">
        <v>59</v>
      </c>
      <c r="W70" s="76">
        <v>59</v>
      </c>
      <c r="X70" s="76">
        <v>59</v>
      </c>
      <c r="Y70" s="65">
        <v>50</v>
      </c>
      <c r="Z70" s="65">
        <v>50</v>
      </c>
      <c r="AA70" s="65">
        <v>55</v>
      </c>
      <c r="AB70" s="65">
        <v>55</v>
      </c>
      <c r="AC70" s="65">
        <v>54.8</v>
      </c>
      <c r="AD70" s="65">
        <v>51.8</v>
      </c>
      <c r="AE70" s="65">
        <v>53.9</v>
      </c>
      <c r="AF70" s="65">
        <v>52.6</v>
      </c>
      <c r="AG70" s="75"/>
      <c r="AH70" s="47">
        <f t="shared" si="2"/>
        <v>63.4</v>
      </c>
      <c r="AI70" s="48">
        <f t="shared" si="3"/>
        <v>25.8</v>
      </c>
      <c r="AK70" s="49"/>
    </row>
    <row r="71" spans="1:40" x14ac:dyDescent="0.25">
      <c r="A71" s="53" t="s">
        <v>79</v>
      </c>
      <c r="B71" s="45">
        <v>24</v>
      </c>
      <c r="C71" s="45">
        <v>24</v>
      </c>
      <c r="D71" s="45">
        <v>24</v>
      </c>
      <c r="E71" s="45">
        <v>22</v>
      </c>
      <c r="F71" s="45">
        <v>22</v>
      </c>
      <c r="G71" s="45">
        <v>21</v>
      </c>
      <c r="H71" s="45">
        <v>20</v>
      </c>
      <c r="I71" s="45">
        <v>22</v>
      </c>
      <c r="J71" s="45">
        <v>21</v>
      </c>
      <c r="K71" s="45">
        <v>20.5</v>
      </c>
      <c r="L71" s="45">
        <v>55</v>
      </c>
      <c r="M71" s="45">
        <v>60</v>
      </c>
      <c r="N71" s="45">
        <v>60</v>
      </c>
      <c r="O71" s="45">
        <v>60</v>
      </c>
      <c r="P71" s="45">
        <v>30</v>
      </c>
      <c r="Q71" s="45">
        <v>30</v>
      </c>
      <c r="R71" s="45">
        <v>30</v>
      </c>
      <c r="S71" s="45">
        <v>30</v>
      </c>
      <c r="T71" s="45">
        <v>30</v>
      </c>
      <c r="U71" s="45">
        <v>30</v>
      </c>
      <c r="V71" s="45">
        <v>30</v>
      </c>
      <c r="W71" s="45">
        <v>30</v>
      </c>
      <c r="X71" s="45">
        <v>30</v>
      </c>
      <c r="Y71" s="45">
        <v>30</v>
      </c>
      <c r="Z71" s="45">
        <v>30</v>
      </c>
      <c r="AA71" s="45">
        <v>60</v>
      </c>
      <c r="AB71" s="45">
        <v>60</v>
      </c>
      <c r="AC71" s="45">
        <v>20.5</v>
      </c>
      <c r="AD71" s="45">
        <v>20.5</v>
      </c>
      <c r="AE71" s="45">
        <v>20</v>
      </c>
      <c r="AF71" s="45">
        <v>20</v>
      </c>
      <c r="AG71" s="75"/>
      <c r="AH71" s="47">
        <f t="shared" si="2"/>
        <v>60</v>
      </c>
      <c r="AI71" s="48">
        <f t="shared" si="3"/>
        <v>20</v>
      </c>
      <c r="AK71" s="49"/>
    </row>
    <row r="72" spans="1:40" x14ac:dyDescent="0.25">
      <c r="A72" s="53" t="s">
        <v>80</v>
      </c>
      <c r="B72" s="77">
        <v>0</v>
      </c>
      <c r="C72" s="77">
        <v>0</v>
      </c>
      <c r="D72" s="77">
        <v>0</v>
      </c>
      <c r="E72" s="77">
        <v>0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0</v>
      </c>
      <c r="AG72" s="75"/>
      <c r="AH72" s="47">
        <f t="shared" si="2"/>
        <v>5</v>
      </c>
      <c r="AI72" s="48">
        <f t="shared" si="3"/>
        <v>0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16">MAX(B75:AF75)</f>
        <v>0</v>
      </c>
      <c r="AI75" s="48">
        <f t="shared" ref="AI75:AI113" si="17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16"/>
        <v>0</v>
      </c>
      <c r="AI76" s="48">
        <f t="shared" si="17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16"/>
        <v>0</v>
      </c>
      <c r="AI77" s="48">
        <f t="shared" si="17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" si="18">SUMIF(B67:B77,"&gt;0")</f>
        <v>488.9</v>
      </c>
      <c r="C78" s="60">
        <f t="shared" ref="C78:AF78" si="19">SUMIF(C67:C77,"&gt;0")</f>
        <v>486.70000000000005</v>
      </c>
      <c r="D78" s="60">
        <f t="shared" ref="D78" si="20">SUMIF(D67:D77,"&gt;0")</f>
        <v>480.1</v>
      </c>
      <c r="E78" s="60">
        <f t="shared" si="19"/>
        <v>486.40000000000003</v>
      </c>
      <c r="F78" s="60">
        <f t="shared" si="19"/>
        <v>492.5</v>
      </c>
      <c r="G78" s="60">
        <f t="shared" si="19"/>
        <v>503.40000000000003</v>
      </c>
      <c r="H78" s="60">
        <f t="shared" si="19"/>
        <v>518.79999999999995</v>
      </c>
      <c r="I78" s="60">
        <f t="shared" si="19"/>
        <v>477.6</v>
      </c>
      <c r="J78" s="60">
        <f t="shared" si="19"/>
        <v>489</v>
      </c>
      <c r="K78" s="60">
        <f t="shared" si="19"/>
        <v>416.6</v>
      </c>
      <c r="L78" s="60">
        <f t="shared" si="19"/>
        <v>323.2</v>
      </c>
      <c r="M78" s="60">
        <f t="shared" si="19"/>
        <v>334.79999999999995</v>
      </c>
      <c r="N78" s="60">
        <f t="shared" si="19"/>
        <v>467.6</v>
      </c>
      <c r="O78" s="60">
        <f t="shared" si="19"/>
        <v>463.4</v>
      </c>
      <c r="P78" s="60">
        <f t="shared" si="19"/>
        <v>446.8</v>
      </c>
      <c r="Q78" s="60">
        <f t="shared" si="19"/>
        <v>465.8</v>
      </c>
      <c r="R78" s="60">
        <f t="shared" si="19"/>
        <v>492</v>
      </c>
      <c r="S78" s="60">
        <f t="shared" si="19"/>
        <v>502</v>
      </c>
      <c r="T78" s="60">
        <f t="shared" si="19"/>
        <v>501</v>
      </c>
      <c r="U78" s="60">
        <f t="shared" si="19"/>
        <v>486</v>
      </c>
      <c r="V78" s="60">
        <f t="shared" si="19"/>
        <v>483</v>
      </c>
      <c r="W78" s="60">
        <f t="shared" si="19"/>
        <v>485</v>
      </c>
      <c r="X78" s="60">
        <f t="shared" si="19"/>
        <v>452.8</v>
      </c>
      <c r="Y78" s="60">
        <v>315</v>
      </c>
      <c r="Z78" s="60">
        <f t="shared" si="19"/>
        <v>249.6</v>
      </c>
      <c r="AA78" s="60">
        <f t="shared" si="19"/>
        <v>322</v>
      </c>
      <c r="AB78" s="60">
        <f t="shared" si="19"/>
        <v>419</v>
      </c>
      <c r="AC78" s="60">
        <f t="shared" si="19"/>
        <v>436.90000000000003</v>
      </c>
      <c r="AD78" s="60">
        <f t="shared" si="19"/>
        <v>412.5</v>
      </c>
      <c r="AE78" s="60">
        <f t="shared" si="19"/>
        <v>469.7</v>
      </c>
      <c r="AF78" s="60">
        <f t="shared" si="19"/>
        <v>455.1</v>
      </c>
      <c r="AG78" s="88">
        <f>SUM(AG67:AG77)</f>
        <v>0</v>
      </c>
      <c r="AH78" s="47">
        <f t="shared" si="16"/>
        <v>518.79999999999995</v>
      </c>
      <c r="AI78" s="48">
        <f t="shared" si="17"/>
        <v>249.6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16"/>
        <v>0</v>
      </c>
      <c r="AI79" s="48">
        <f t="shared" si="17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16"/>
        <v>0</v>
      </c>
      <c r="AI80" s="48">
        <f t="shared" si="17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16"/>
        <v>0</v>
      </c>
      <c r="AI81" s="48">
        <f t="shared" si="17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>
        <v>0</v>
      </c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16"/>
        <v>0</v>
      </c>
      <c r="AI82" s="48">
        <f t="shared" si="17"/>
        <v>0</v>
      </c>
    </row>
    <row r="83" spans="1:37" ht="15.75" thickBot="1" x14ac:dyDescent="0.3">
      <c r="A83" s="74" t="s">
        <v>94</v>
      </c>
      <c r="B83" s="95">
        <f t="shared" ref="B83" si="21">B44+B48+B66+B62+B78+B82</f>
        <v>1075.1399999999999</v>
      </c>
      <c r="C83" s="95">
        <f t="shared" ref="C83:AG83" si="22">C44+C48+C66+C62+C78+C82</f>
        <v>1048.54</v>
      </c>
      <c r="D83" s="95">
        <f t="shared" ref="D83" si="23">D44+D48+D66+D62+D78+D82</f>
        <v>1039.94</v>
      </c>
      <c r="E83" s="95">
        <f t="shared" si="22"/>
        <v>1045.6400000000001</v>
      </c>
      <c r="F83" s="95">
        <f t="shared" si="22"/>
        <v>1044.1399999999999</v>
      </c>
      <c r="G83" s="95">
        <f t="shared" si="22"/>
        <v>1103.74</v>
      </c>
      <c r="H83" s="95">
        <f t="shared" si="22"/>
        <v>1129.1399999999999</v>
      </c>
      <c r="I83" s="95">
        <f t="shared" si="22"/>
        <v>1177.6399999999999</v>
      </c>
      <c r="J83" s="95">
        <f t="shared" si="22"/>
        <v>1209.8399999999999</v>
      </c>
      <c r="K83" s="95">
        <f t="shared" si="22"/>
        <v>1165.6399999999999</v>
      </c>
      <c r="L83" s="95">
        <f t="shared" si="22"/>
        <v>1130.7399999999998</v>
      </c>
      <c r="M83" s="95">
        <f t="shared" si="22"/>
        <v>1182.6399999999999</v>
      </c>
      <c r="N83" s="95">
        <f t="shared" si="22"/>
        <v>1230.44</v>
      </c>
      <c r="O83" s="95">
        <f t="shared" si="22"/>
        <v>1199.94</v>
      </c>
      <c r="P83" s="95">
        <f t="shared" si="22"/>
        <v>1223.54</v>
      </c>
      <c r="Q83" s="95">
        <f t="shared" si="22"/>
        <v>1230.94</v>
      </c>
      <c r="R83" s="95">
        <f t="shared" si="22"/>
        <v>1245.74</v>
      </c>
      <c r="S83" s="95">
        <f t="shared" si="22"/>
        <v>1210.74</v>
      </c>
      <c r="T83" s="95">
        <f t="shared" si="22"/>
        <v>1175.74</v>
      </c>
      <c r="U83" s="95">
        <f t="shared" si="22"/>
        <v>1223.8400000000001</v>
      </c>
      <c r="V83" s="95">
        <f t="shared" si="22"/>
        <v>1152.54</v>
      </c>
      <c r="W83" s="95">
        <f t="shared" si="22"/>
        <v>1068.24</v>
      </c>
      <c r="X83" s="95">
        <f t="shared" si="22"/>
        <v>1188.9399999999998</v>
      </c>
      <c r="Y83" s="95">
        <v>1340.14</v>
      </c>
      <c r="Z83" s="95">
        <f t="shared" si="22"/>
        <v>1250.6400000000001</v>
      </c>
      <c r="AA83" s="95">
        <f t="shared" si="22"/>
        <v>1260.1400000000001</v>
      </c>
      <c r="AB83" s="95">
        <f t="shared" si="22"/>
        <v>1210.3399999999999</v>
      </c>
      <c r="AC83" s="95">
        <f t="shared" si="22"/>
        <v>1232.3400000000001</v>
      </c>
      <c r="AD83" s="95">
        <f t="shared" si="22"/>
        <v>1220.44</v>
      </c>
      <c r="AE83" s="95">
        <f t="shared" si="22"/>
        <v>1135.04</v>
      </c>
      <c r="AF83" s="95">
        <f t="shared" si="22"/>
        <v>1042.8400000000001</v>
      </c>
      <c r="AG83" s="61">
        <f t="shared" si="22"/>
        <v>2004.1900000000003</v>
      </c>
      <c r="AH83" s="47">
        <f>MAX(B83:AF83)</f>
        <v>1340.14</v>
      </c>
      <c r="AI83" s="48">
        <f>MIN(B83:AF83)</f>
        <v>1039.94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>
        <v>150</v>
      </c>
      <c r="M84" s="97">
        <v>150</v>
      </c>
      <c r="N84" s="97">
        <v>150</v>
      </c>
      <c r="O84" s="97">
        <v>150</v>
      </c>
      <c r="P84" s="97"/>
      <c r="Q84" s="97"/>
      <c r="R84" s="97"/>
      <c r="S84" s="97"/>
      <c r="T84" s="97"/>
      <c r="U84" s="97"/>
      <c r="V84" s="97"/>
      <c r="W84" s="97">
        <v>150</v>
      </c>
      <c r="X84" s="97">
        <v>150</v>
      </c>
      <c r="Y84" s="97">
        <v>170</v>
      </c>
      <c r="Z84" s="97">
        <v>150</v>
      </c>
      <c r="AA84" s="97">
        <v>120</v>
      </c>
      <c r="AB84" s="97">
        <v>100</v>
      </c>
      <c r="AC84" s="97"/>
      <c r="AD84" s="97"/>
      <c r="AE84" s="97"/>
      <c r="AF84" s="97"/>
      <c r="AG84" s="88"/>
      <c r="AH84" s="47">
        <f t="shared" si="16"/>
        <v>170</v>
      </c>
      <c r="AI84" s="48">
        <f t="shared" si="17"/>
        <v>100</v>
      </c>
    </row>
    <row r="85" spans="1:37" ht="15.75" thickBot="1" x14ac:dyDescent="0.3">
      <c r="A85" s="74" t="s">
        <v>96</v>
      </c>
      <c r="B85" s="95">
        <f t="shared" ref="B85" si="24">B83+B84</f>
        <v>1075.1399999999999</v>
      </c>
      <c r="C85" s="95">
        <f t="shared" ref="C85:AF85" si="25">C83+C84</f>
        <v>1048.54</v>
      </c>
      <c r="D85" s="95">
        <f t="shared" ref="D85" si="26">D83+D84</f>
        <v>1039.94</v>
      </c>
      <c r="E85" s="95">
        <f t="shared" si="25"/>
        <v>1045.6400000000001</v>
      </c>
      <c r="F85" s="95">
        <f t="shared" si="25"/>
        <v>1044.1399999999999</v>
      </c>
      <c r="G85" s="95">
        <f t="shared" si="25"/>
        <v>1103.74</v>
      </c>
      <c r="H85" s="95">
        <f t="shared" si="25"/>
        <v>1129.1399999999999</v>
      </c>
      <c r="I85" s="95">
        <f t="shared" si="25"/>
        <v>1177.6399999999999</v>
      </c>
      <c r="J85" s="95">
        <f t="shared" si="25"/>
        <v>1209.8399999999999</v>
      </c>
      <c r="K85" s="95">
        <f t="shared" si="25"/>
        <v>1165.6399999999999</v>
      </c>
      <c r="L85" s="95">
        <f t="shared" si="25"/>
        <v>1280.7399999999998</v>
      </c>
      <c r="M85" s="95">
        <f t="shared" si="25"/>
        <v>1332.6399999999999</v>
      </c>
      <c r="N85" s="95">
        <f t="shared" si="25"/>
        <v>1380.44</v>
      </c>
      <c r="O85" s="95">
        <f t="shared" si="25"/>
        <v>1349.94</v>
      </c>
      <c r="P85" s="95">
        <f t="shared" si="25"/>
        <v>1223.54</v>
      </c>
      <c r="Q85" s="95">
        <f t="shared" si="25"/>
        <v>1230.94</v>
      </c>
      <c r="R85" s="95">
        <f t="shared" si="25"/>
        <v>1245.74</v>
      </c>
      <c r="S85" s="95">
        <f t="shared" si="25"/>
        <v>1210.74</v>
      </c>
      <c r="T85" s="95">
        <f t="shared" si="25"/>
        <v>1175.74</v>
      </c>
      <c r="U85" s="95">
        <f t="shared" si="25"/>
        <v>1223.8400000000001</v>
      </c>
      <c r="V85" s="95">
        <f t="shared" si="25"/>
        <v>1152.54</v>
      </c>
      <c r="W85" s="95">
        <f t="shared" si="25"/>
        <v>1218.24</v>
      </c>
      <c r="X85" s="95">
        <f t="shared" si="25"/>
        <v>1338.9399999999998</v>
      </c>
      <c r="Y85" s="95">
        <v>1510.14</v>
      </c>
      <c r="Z85" s="95">
        <f t="shared" si="25"/>
        <v>1400.64</v>
      </c>
      <c r="AA85" s="95">
        <f t="shared" si="25"/>
        <v>1380.14</v>
      </c>
      <c r="AB85" s="95">
        <f t="shared" si="25"/>
        <v>1310.3399999999999</v>
      </c>
      <c r="AC85" s="95">
        <f t="shared" si="25"/>
        <v>1232.3400000000001</v>
      </c>
      <c r="AD85" s="95">
        <f t="shared" si="25"/>
        <v>1220.44</v>
      </c>
      <c r="AE85" s="95">
        <f t="shared" si="25"/>
        <v>1135.04</v>
      </c>
      <c r="AF85" s="95">
        <f t="shared" si="25"/>
        <v>1042.8400000000001</v>
      </c>
      <c r="AG85" s="88">
        <f>AG82+AG78+AG66+AG62+AG44+AG84</f>
        <v>1466.0900000000001</v>
      </c>
      <c r="AH85" s="47">
        <f t="shared" si="16"/>
        <v>1510.14</v>
      </c>
      <c r="AI85" s="48">
        <f t="shared" si="17"/>
        <v>1039.94</v>
      </c>
    </row>
    <row r="86" spans="1:37" ht="15.75" thickBot="1" x14ac:dyDescent="0.3">
      <c r="A86" s="74" t="s">
        <v>97</v>
      </c>
      <c r="B86" s="95">
        <f t="shared" ref="B86" si="27">B85-B93</f>
        <v>1075.1399999999999</v>
      </c>
      <c r="C86" s="95">
        <f t="shared" ref="C86:AF86" si="28">C85-C93</f>
        <v>1048.54</v>
      </c>
      <c r="D86" s="95">
        <f t="shared" ref="D86" si="29">D85-D93</f>
        <v>1039.94</v>
      </c>
      <c r="E86" s="95">
        <f t="shared" si="28"/>
        <v>1045.6400000000001</v>
      </c>
      <c r="F86" s="95">
        <f t="shared" si="28"/>
        <v>1044.1399999999999</v>
      </c>
      <c r="G86" s="95">
        <f t="shared" si="28"/>
        <v>1103.74</v>
      </c>
      <c r="H86" s="95">
        <f t="shared" si="28"/>
        <v>1129.1399999999999</v>
      </c>
      <c r="I86" s="95">
        <f t="shared" si="28"/>
        <v>1177.6399999999999</v>
      </c>
      <c r="J86" s="95">
        <f t="shared" si="28"/>
        <v>1209.8399999999999</v>
      </c>
      <c r="K86" s="95">
        <f t="shared" si="28"/>
        <v>1165.6399999999999</v>
      </c>
      <c r="L86" s="95">
        <f t="shared" si="28"/>
        <v>1280.7399999999998</v>
      </c>
      <c r="M86" s="95">
        <f t="shared" si="28"/>
        <v>1332.6399999999999</v>
      </c>
      <c r="N86" s="95">
        <f t="shared" si="28"/>
        <v>1380.44</v>
      </c>
      <c r="O86" s="95">
        <f t="shared" si="28"/>
        <v>1349.94</v>
      </c>
      <c r="P86" s="95">
        <f t="shared" si="28"/>
        <v>1223.54</v>
      </c>
      <c r="Q86" s="95">
        <f t="shared" si="28"/>
        <v>1230.94</v>
      </c>
      <c r="R86" s="95">
        <f t="shared" si="28"/>
        <v>1245.74</v>
      </c>
      <c r="S86" s="95">
        <f t="shared" si="28"/>
        <v>1210.74</v>
      </c>
      <c r="T86" s="95">
        <f t="shared" si="28"/>
        <v>1175.74</v>
      </c>
      <c r="U86" s="95">
        <f t="shared" si="28"/>
        <v>1223.8400000000001</v>
      </c>
      <c r="V86" s="95">
        <f t="shared" si="28"/>
        <v>1152.54</v>
      </c>
      <c r="W86" s="95">
        <f t="shared" si="28"/>
        <v>1218.24</v>
      </c>
      <c r="X86" s="95">
        <f t="shared" si="28"/>
        <v>1338.9399999999998</v>
      </c>
      <c r="Y86" s="95">
        <v>1510.14</v>
      </c>
      <c r="Z86" s="95">
        <f t="shared" si="28"/>
        <v>1400.64</v>
      </c>
      <c r="AA86" s="95">
        <f t="shared" si="28"/>
        <v>1380.14</v>
      </c>
      <c r="AB86" s="95">
        <f t="shared" si="28"/>
        <v>1310.3399999999999</v>
      </c>
      <c r="AC86" s="95">
        <f t="shared" si="28"/>
        <v>1232.3400000000001</v>
      </c>
      <c r="AD86" s="95">
        <f t="shared" si="28"/>
        <v>1220.44</v>
      </c>
      <c r="AE86" s="95">
        <f t="shared" si="28"/>
        <v>1135.04</v>
      </c>
      <c r="AF86" s="95">
        <f t="shared" si="28"/>
        <v>1042.8400000000001</v>
      </c>
      <c r="AG86" s="88"/>
      <c r="AH86" s="47">
        <f t="shared" si="16"/>
        <v>1510.14</v>
      </c>
      <c r="AI86" s="48">
        <f t="shared" si="17"/>
        <v>1039.94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16"/>
        <v>0</v>
      </c>
      <c r="AI87" s="48">
        <f t="shared" si="17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16"/>
        <v>0</v>
      </c>
      <c r="AI88" s="48">
        <f t="shared" si="17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16"/>
        <v>0</v>
      </c>
      <c r="AI89" s="48">
        <f t="shared" si="17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16"/>
        <v>0</v>
      </c>
      <c r="AI90" s="48">
        <f t="shared" si="17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16"/>
        <v>0</v>
      </c>
      <c r="AI91" s="48">
        <f t="shared" si="17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16"/>
        <v>0</v>
      </c>
      <c r="AI92" s="48">
        <f t="shared" si="17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>
        <v>0</v>
      </c>
      <c r="Z93" s="60"/>
      <c r="AA93" s="60"/>
      <c r="AB93" s="60"/>
      <c r="AC93" s="60"/>
      <c r="AD93" s="60"/>
      <c r="AE93" s="60"/>
      <c r="AF93" s="60"/>
      <c r="AG93" s="88"/>
      <c r="AH93" s="47">
        <f t="shared" si="16"/>
        <v>0</v>
      </c>
      <c r="AI93" s="48">
        <f t="shared" si="17"/>
        <v>0</v>
      </c>
      <c r="AK93" s="49"/>
    </row>
    <row r="94" spans="1:37" ht="15.75" thickBot="1" x14ac:dyDescent="0.3">
      <c r="A94" s="74" t="s">
        <v>102</v>
      </c>
      <c r="B94" s="60">
        <f t="shared" ref="B94" si="30">B78-B93</f>
        <v>488.9</v>
      </c>
      <c r="C94" s="60">
        <f t="shared" ref="C94:AF94" si="31">C78-C93</f>
        <v>486.70000000000005</v>
      </c>
      <c r="D94" s="60">
        <f t="shared" ref="D94" si="32">D78-D93</f>
        <v>480.1</v>
      </c>
      <c r="E94" s="60">
        <f t="shared" si="31"/>
        <v>486.40000000000003</v>
      </c>
      <c r="F94" s="60">
        <f t="shared" si="31"/>
        <v>492.5</v>
      </c>
      <c r="G94" s="60">
        <f t="shared" si="31"/>
        <v>503.40000000000003</v>
      </c>
      <c r="H94" s="60">
        <f t="shared" si="31"/>
        <v>518.79999999999995</v>
      </c>
      <c r="I94" s="60">
        <f t="shared" si="31"/>
        <v>477.6</v>
      </c>
      <c r="J94" s="60">
        <f t="shared" si="31"/>
        <v>489</v>
      </c>
      <c r="K94" s="60">
        <f t="shared" si="31"/>
        <v>416.6</v>
      </c>
      <c r="L94" s="60">
        <f t="shared" si="31"/>
        <v>323.2</v>
      </c>
      <c r="M94" s="60">
        <f t="shared" si="31"/>
        <v>334.79999999999995</v>
      </c>
      <c r="N94" s="60">
        <f t="shared" si="31"/>
        <v>467.6</v>
      </c>
      <c r="O94" s="60">
        <f t="shared" si="31"/>
        <v>463.4</v>
      </c>
      <c r="P94" s="60">
        <f t="shared" si="31"/>
        <v>446.8</v>
      </c>
      <c r="Q94" s="60">
        <f t="shared" si="31"/>
        <v>465.8</v>
      </c>
      <c r="R94" s="60">
        <f t="shared" si="31"/>
        <v>492</v>
      </c>
      <c r="S94" s="60">
        <f t="shared" si="31"/>
        <v>502</v>
      </c>
      <c r="T94" s="60">
        <f t="shared" si="31"/>
        <v>501</v>
      </c>
      <c r="U94" s="60">
        <f t="shared" si="31"/>
        <v>486</v>
      </c>
      <c r="V94" s="60">
        <f t="shared" si="31"/>
        <v>483</v>
      </c>
      <c r="W94" s="60">
        <f t="shared" si="31"/>
        <v>485</v>
      </c>
      <c r="X94" s="60">
        <f t="shared" si="31"/>
        <v>452.8</v>
      </c>
      <c r="Y94" s="60">
        <v>315</v>
      </c>
      <c r="Z94" s="60">
        <f t="shared" si="31"/>
        <v>249.6</v>
      </c>
      <c r="AA94" s="60">
        <f t="shared" si="31"/>
        <v>322</v>
      </c>
      <c r="AB94" s="60">
        <f t="shared" si="31"/>
        <v>419</v>
      </c>
      <c r="AC94" s="60">
        <f t="shared" si="31"/>
        <v>436.90000000000003</v>
      </c>
      <c r="AD94" s="60">
        <f t="shared" si="31"/>
        <v>412.5</v>
      </c>
      <c r="AE94" s="60">
        <f t="shared" si="31"/>
        <v>469.7</v>
      </c>
      <c r="AF94" s="60">
        <f t="shared" si="31"/>
        <v>455.1</v>
      </c>
      <c r="AG94" s="88"/>
      <c r="AH94" s="47">
        <f t="shared" si="16"/>
        <v>518.79999999999995</v>
      </c>
      <c r="AI94" s="48">
        <f t="shared" si="17"/>
        <v>249.6</v>
      </c>
    </row>
    <row r="95" spans="1:37" x14ac:dyDescent="0.25">
      <c r="A95" s="100" t="s">
        <v>103</v>
      </c>
      <c r="B95" s="101">
        <v>50.04</v>
      </c>
      <c r="C95" s="101">
        <v>50.01</v>
      </c>
      <c r="D95" s="101">
        <v>49.92</v>
      </c>
      <c r="E95" s="101">
        <v>50.008000000000003</v>
      </c>
      <c r="F95" s="101">
        <v>50.014299999999999</v>
      </c>
      <c r="G95" s="101">
        <v>49.939</v>
      </c>
      <c r="H95" s="101">
        <v>50.115000000000002</v>
      </c>
      <c r="I95" s="101">
        <v>49.972000000000001</v>
      </c>
      <c r="J95" s="101">
        <v>49.98</v>
      </c>
      <c r="K95" s="101">
        <v>50.088999999999999</v>
      </c>
      <c r="L95" s="101">
        <v>49.957000000000001</v>
      </c>
      <c r="M95" s="101">
        <v>50.006999999999998</v>
      </c>
      <c r="N95" s="101">
        <v>49.774999999999999</v>
      </c>
      <c r="O95" s="101">
        <v>50.023000000000003</v>
      </c>
      <c r="P95" s="101">
        <v>49.942</v>
      </c>
      <c r="Q95" s="101">
        <v>50.009</v>
      </c>
      <c r="R95" s="101">
        <v>50.103999999999999</v>
      </c>
      <c r="S95" s="101">
        <v>49.98</v>
      </c>
      <c r="T95" s="101">
        <v>49.98</v>
      </c>
      <c r="U95" s="101">
        <v>49.9</v>
      </c>
      <c r="V95" s="101">
        <v>49.98</v>
      </c>
      <c r="W95" s="101">
        <v>49.98</v>
      </c>
      <c r="X95" s="101">
        <v>49.93</v>
      </c>
      <c r="Y95" s="101">
        <v>49.97</v>
      </c>
      <c r="Z95" s="101">
        <v>49.98</v>
      </c>
      <c r="AA95" s="101">
        <v>49.97</v>
      </c>
      <c r="AB95" s="101">
        <v>50.107999999999997</v>
      </c>
      <c r="AC95" s="101">
        <v>49.97</v>
      </c>
      <c r="AD95" s="101">
        <v>50.064999999999998</v>
      </c>
      <c r="AE95" s="101">
        <v>50.002000000000002</v>
      </c>
      <c r="AF95" s="101">
        <v>49.838999999999999</v>
      </c>
      <c r="AG95" s="102"/>
      <c r="AH95" s="47">
        <f t="shared" si="16"/>
        <v>50.115000000000002</v>
      </c>
      <c r="AI95" s="48">
        <f t="shared" si="17"/>
        <v>49.774999999999999</v>
      </c>
    </row>
    <row r="96" spans="1:37" x14ac:dyDescent="0.25">
      <c r="A96" s="103" t="s">
        <v>104</v>
      </c>
      <c r="B96" s="65">
        <v>126.5</v>
      </c>
      <c r="C96" s="65">
        <v>128.5</v>
      </c>
      <c r="D96" s="65">
        <v>127.8</v>
      </c>
      <c r="E96" s="65">
        <v>127.7</v>
      </c>
      <c r="F96" s="65">
        <v>128</v>
      </c>
      <c r="G96" s="65">
        <v>128.1</v>
      </c>
      <c r="H96" s="65">
        <v>126.9</v>
      </c>
      <c r="I96" s="65">
        <v>127.9</v>
      </c>
      <c r="J96" s="65">
        <v>128</v>
      </c>
      <c r="K96" s="65">
        <v>129.69999999999999</v>
      </c>
      <c r="L96" s="65">
        <v>128.69999999999999</v>
      </c>
      <c r="M96" s="65">
        <v>128.4</v>
      </c>
      <c r="N96" s="65">
        <v>126.4</v>
      </c>
      <c r="O96" s="65">
        <v>127.4</v>
      </c>
      <c r="P96" s="65">
        <v>121.1</v>
      </c>
      <c r="Q96" s="65">
        <v>124.6</v>
      </c>
      <c r="R96" s="65">
        <v>124</v>
      </c>
      <c r="S96" s="65">
        <v>124</v>
      </c>
      <c r="T96" s="65">
        <v>124</v>
      </c>
      <c r="U96" s="65">
        <v>126.9</v>
      </c>
      <c r="V96" s="65">
        <v>128.19999999999999</v>
      </c>
      <c r="W96" s="65">
        <v>128.4</v>
      </c>
      <c r="X96" s="65">
        <v>129.4</v>
      </c>
      <c r="Y96" s="65">
        <v>128.69999999999999</v>
      </c>
      <c r="Z96" s="65">
        <v>127.8</v>
      </c>
      <c r="AA96" s="65">
        <v>127.8</v>
      </c>
      <c r="AB96" s="65">
        <v>130.4</v>
      </c>
      <c r="AC96" s="65">
        <v>127.5</v>
      </c>
      <c r="AD96" s="65">
        <v>128.6</v>
      </c>
      <c r="AE96" s="65">
        <v>127.5</v>
      </c>
      <c r="AF96" s="65">
        <v>129.69999999999999</v>
      </c>
      <c r="AG96" s="104"/>
      <c r="AH96" s="47">
        <f t="shared" si="16"/>
        <v>130.4</v>
      </c>
      <c r="AI96" s="48">
        <f t="shared" si="17"/>
        <v>121.1</v>
      </c>
    </row>
    <row r="97" spans="1:35" x14ac:dyDescent="0.25">
      <c r="A97" s="103" t="s">
        <v>105</v>
      </c>
      <c r="B97" s="65">
        <v>130.69999999999999</v>
      </c>
      <c r="C97" s="65">
        <v>132.6</v>
      </c>
      <c r="D97" s="65">
        <v>131.9</v>
      </c>
      <c r="E97" s="65">
        <v>131.9</v>
      </c>
      <c r="F97" s="65">
        <v>131.80000000000001</v>
      </c>
      <c r="G97" s="65">
        <v>131.9</v>
      </c>
      <c r="H97" s="65">
        <v>130.4</v>
      </c>
      <c r="I97" s="65">
        <v>131.30000000000001</v>
      </c>
      <c r="J97" s="65">
        <v>130.80000000000001</v>
      </c>
      <c r="K97" s="65">
        <v>131.19999999999999</v>
      </c>
      <c r="L97" s="65">
        <v>129.69999999999999</v>
      </c>
      <c r="M97" s="65">
        <v>129.5</v>
      </c>
      <c r="N97" s="65">
        <v>127.7</v>
      </c>
      <c r="O97" s="65">
        <v>128.6</v>
      </c>
      <c r="P97" s="65">
        <v>126.5</v>
      </c>
      <c r="Q97" s="65">
        <v>128.19999999999999</v>
      </c>
      <c r="R97" s="65">
        <v>1327.7</v>
      </c>
      <c r="S97" s="65">
        <v>128.4</v>
      </c>
      <c r="T97" s="65">
        <v>128.4</v>
      </c>
      <c r="U97" s="65">
        <v>130.30000000000001</v>
      </c>
      <c r="V97" s="65">
        <v>131.1</v>
      </c>
      <c r="W97" s="65">
        <v>132.1</v>
      </c>
      <c r="X97" s="65">
        <v>130.69999999999999</v>
      </c>
      <c r="Y97" s="65">
        <v>130.19999999999999</v>
      </c>
      <c r="Z97" s="65">
        <v>129.4</v>
      </c>
      <c r="AA97" s="65">
        <v>129.4</v>
      </c>
      <c r="AB97" s="65">
        <v>131.80000000000001</v>
      </c>
      <c r="AC97" s="65">
        <v>130.19999999999999</v>
      </c>
      <c r="AD97" s="65">
        <v>131.1</v>
      </c>
      <c r="AE97" s="65">
        <v>131.30000000000001</v>
      </c>
      <c r="AF97" s="65">
        <v>132.80000000000001</v>
      </c>
      <c r="AG97" s="104"/>
      <c r="AH97" s="47">
        <f t="shared" si="16"/>
        <v>1327.7</v>
      </c>
      <c r="AI97" s="48">
        <f t="shared" si="17"/>
        <v>126.5</v>
      </c>
    </row>
    <row r="98" spans="1:35" x14ac:dyDescent="0.25">
      <c r="A98" s="103" t="s">
        <v>106</v>
      </c>
      <c r="B98" s="65">
        <v>130.6</v>
      </c>
      <c r="C98" s="65">
        <v>132</v>
      </c>
      <c r="D98" s="65">
        <v>132.69999999999999</v>
      </c>
      <c r="E98" s="65">
        <v>132.1</v>
      </c>
      <c r="F98" s="65">
        <v>131</v>
      </c>
      <c r="G98" s="65">
        <v>130.1</v>
      </c>
      <c r="H98" s="65">
        <v>128.1</v>
      </c>
      <c r="I98" s="65">
        <v>130.5</v>
      </c>
      <c r="J98" s="65">
        <v>129.69999999999999</v>
      </c>
      <c r="K98" s="65">
        <v>132.4</v>
      </c>
      <c r="L98" s="65">
        <v>129</v>
      </c>
      <c r="M98" s="65">
        <v>129</v>
      </c>
      <c r="N98" s="65">
        <v>128.9</v>
      </c>
      <c r="O98" s="65">
        <v>128.19999999999999</v>
      </c>
      <c r="P98" s="65">
        <v>128.30000000000001</v>
      </c>
      <c r="Q98" s="65">
        <v>129.30000000000001</v>
      </c>
      <c r="R98" s="65">
        <v>129.69999999999999</v>
      </c>
      <c r="S98" s="65">
        <v>128</v>
      </c>
      <c r="T98" s="65">
        <v>128</v>
      </c>
      <c r="U98" s="65">
        <v>131.6</v>
      </c>
      <c r="V98" s="65">
        <v>133.5</v>
      </c>
      <c r="W98" s="65">
        <v>133.5</v>
      </c>
      <c r="X98" s="65">
        <v>133.30000000000001</v>
      </c>
      <c r="Y98" s="65">
        <v>132.4</v>
      </c>
      <c r="Z98" s="65">
        <v>133.9</v>
      </c>
      <c r="AA98" s="65">
        <v>133.9</v>
      </c>
      <c r="AB98" s="65">
        <v>132.1</v>
      </c>
      <c r="AC98" s="65">
        <v>129.9</v>
      </c>
      <c r="AD98" s="65">
        <v>132.4</v>
      </c>
      <c r="AE98" s="65">
        <v>131.4</v>
      </c>
      <c r="AF98" s="65">
        <v>132.80000000000001</v>
      </c>
      <c r="AG98" s="104"/>
      <c r="AH98" s="47">
        <f t="shared" si="16"/>
        <v>133.9</v>
      </c>
      <c r="AI98" s="48">
        <f t="shared" si="17"/>
        <v>128</v>
      </c>
    </row>
    <row r="99" spans="1:35" x14ac:dyDescent="0.25">
      <c r="A99" s="105" t="s">
        <v>107</v>
      </c>
      <c r="B99" s="65">
        <v>133.1</v>
      </c>
      <c r="C99" s="65">
        <v>134</v>
      </c>
      <c r="D99" s="65">
        <v>134.69999999999999</v>
      </c>
      <c r="E99" s="65">
        <v>134.80000000000001</v>
      </c>
      <c r="F99" s="65">
        <v>132.80000000000001</v>
      </c>
      <c r="G99" s="65">
        <v>132.19999999999999</v>
      </c>
      <c r="H99" s="65">
        <v>129.9</v>
      </c>
      <c r="I99" s="65">
        <v>131.30000000000001</v>
      </c>
      <c r="J99" s="65">
        <v>131.69999999999999</v>
      </c>
      <c r="K99" s="65">
        <v>133.1</v>
      </c>
      <c r="L99" s="65">
        <v>129.5</v>
      </c>
      <c r="M99" s="65">
        <v>131</v>
      </c>
      <c r="N99" s="65">
        <v>131.80000000000001</v>
      </c>
      <c r="O99" s="65">
        <v>130.5</v>
      </c>
      <c r="P99" s="65">
        <v>131.5</v>
      </c>
      <c r="Q99" s="65">
        <v>132.80000000000001</v>
      </c>
      <c r="R99" s="65">
        <v>131.6</v>
      </c>
      <c r="S99" s="65">
        <v>131</v>
      </c>
      <c r="T99" s="65">
        <v>131</v>
      </c>
      <c r="U99" s="65">
        <v>132.69999999999999</v>
      </c>
      <c r="V99" s="65">
        <v>134.1</v>
      </c>
      <c r="W99" s="65">
        <v>134.1</v>
      </c>
      <c r="X99" s="65">
        <v>133.4</v>
      </c>
      <c r="Y99" s="65">
        <v>133.1</v>
      </c>
      <c r="Z99" s="65">
        <v>135.19999999999999</v>
      </c>
      <c r="AA99" s="65">
        <v>135.19999999999999</v>
      </c>
      <c r="AB99" s="65">
        <v>135.5</v>
      </c>
      <c r="AC99" s="65">
        <v>132.30000000000001</v>
      </c>
      <c r="AD99" s="65">
        <v>134.5</v>
      </c>
      <c r="AE99" s="65">
        <v>134.30000000000001</v>
      </c>
      <c r="AF99" s="65">
        <v>135.4</v>
      </c>
      <c r="AG99" s="104"/>
      <c r="AH99" s="47">
        <f t="shared" si="16"/>
        <v>135.5</v>
      </c>
      <c r="AI99" s="48">
        <f t="shared" si="17"/>
        <v>129.5</v>
      </c>
    </row>
    <row r="100" spans="1:35" x14ac:dyDescent="0.25">
      <c r="A100" s="105" t="s">
        <v>108</v>
      </c>
      <c r="B100" s="106">
        <v>130.6</v>
      </c>
      <c r="C100" s="106">
        <v>133.4</v>
      </c>
      <c r="D100" s="106">
        <v>133.6</v>
      </c>
      <c r="E100" s="106">
        <v>133</v>
      </c>
      <c r="F100" s="106">
        <v>133.69999999999999</v>
      </c>
      <c r="G100" s="106">
        <v>134.5</v>
      </c>
      <c r="H100" s="106">
        <v>133.19999999999999</v>
      </c>
      <c r="I100" s="106">
        <v>133.4</v>
      </c>
      <c r="J100" s="106">
        <v>133.1</v>
      </c>
      <c r="K100" s="106">
        <v>135.9</v>
      </c>
      <c r="L100" s="106">
        <v>130.80000000000001</v>
      </c>
      <c r="M100" s="106">
        <v>130.19999999999999</v>
      </c>
      <c r="N100" s="106">
        <v>131</v>
      </c>
      <c r="O100" s="106">
        <v>135.1</v>
      </c>
      <c r="P100" s="106">
        <v>132.5</v>
      </c>
      <c r="Q100" s="106">
        <v>131.5</v>
      </c>
      <c r="R100" s="106">
        <v>129</v>
      </c>
      <c r="S100" s="106">
        <v>131</v>
      </c>
      <c r="T100" s="106">
        <v>131</v>
      </c>
      <c r="U100" s="106">
        <v>131.5</v>
      </c>
      <c r="V100" s="106">
        <v>130.6</v>
      </c>
      <c r="W100" s="106">
        <v>130.6</v>
      </c>
      <c r="X100" s="106">
        <v>134.6</v>
      </c>
      <c r="Y100" s="106">
        <v>132</v>
      </c>
      <c r="Z100" s="106">
        <v>132.1</v>
      </c>
      <c r="AA100" s="106">
        <v>132.1</v>
      </c>
      <c r="AB100" s="106">
        <v>135.5</v>
      </c>
      <c r="AC100" s="106">
        <v>133.30000000000001</v>
      </c>
      <c r="AD100" s="106">
        <v>132.30000000000001</v>
      </c>
      <c r="AE100" s="106">
        <v>131.19999999999999</v>
      </c>
      <c r="AF100" s="106">
        <v>130.69999999999999</v>
      </c>
      <c r="AG100" s="107"/>
      <c r="AH100" s="47">
        <f t="shared" si="16"/>
        <v>135.9</v>
      </c>
      <c r="AI100" s="48">
        <f t="shared" si="17"/>
        <v>129</v>
      </c>
    </row>
    <row r="101" spans="1:35" x14ac:dyDescent="0.25">
      <c r="A101" s="103" t="s">
        <v>109</v>
      </c>
      <c r="B101" s="65">
        <v>132.6</v>
      </c>
      <c r="C101" s="65">
        <v>134.1</v>
      </c>
      <c r="D101" s="65">
        <v>134.30000000000001</v>
      </c>
      <c r="E101" s="65">
        <v>137</v>
      </c>
      <c r="F101" s="65">
        <v>137.69999999999999</v>
      </c>
      <c r="G101" s="65">
        <v>134.6</v>
      </c>
      <c r="H101" s="65">
        <v>133.4</v>
      </c>
      <c r="I101" s="65">
        <v>131.19999999999999</v>
      </c>
      <c r="J101" s="65">
        <v>131.80000000000001</v>
      </c>
      <c r="K101" s="65">
        <v>131.5</v>
      </c>
      <c r="L101" s="65">
        <v>130.1</v>
      </c>
      <c r="M101" s="65">
        <v>128.5</v>
      </c>
      <c r="N101" s="65">
        <v>132.1</v>
      </c>
      <c r="O101" s="65">
        <v>127</v>
      </c>
      <c r="P101" s="65">
        <v>134.19999999999999</v>
      </c>
      <c r="Q101" s="65">
        <v>126.9</v>
      </c>
      <c r="R101" s="65">
        <v>129.9</v>
      </c>
      <c r="S101" s="65">
        <v>135</v>
      </c>
      <c r="T101" s="65">
        <v>135</v>
      </c>
      <c r="U101" s="65">
        <v>128.9</v>
      </c>
      <c r="V101" s="65">
        <v>126.5</v>
      </c>
      <c r="W101" s="65">
        <v>126.5</v>
      </c>
      <c r="X101" s="65">
        <v>130.5</v>
      </c>
      <c r="Y101" s="65">
        <v>136</v>
      </c>
      <c r="Z101" s="65">
        <v>134.30000000000001</v>
      </c>
      <c r="AA101" s="65">
        <v>134.30000000000001</v>
      </c>
      <c r="AB101" s="65">
        <v>127.3</v>
      </c>
      <c r="AC101" s="65">
        <v>129.19999999999999</v>
      </c>
      <c r="AD101" s="65">
        <v>133.80000000000001</v>
      </c>
      <c r="AE101" s="65">
        <v>134.1</v>
      </c>
      <c r="AF101" s="65">
        <v>131.4</v>
      </c>
      <c r="AG101" s="104"/>
      <c r="AH101" s="47">
        <f t="shared" si="16"/>
        <v>137.69999999999999</v>
      </c>
      <c r="AI101" s="48">
        <f t="shared" si="17"/>
        <v>126.5</v>
      </c>
    </row>
    <row r="102" spans="1:35" ht="15.75" thickBot="1" x14ac:dyDescent="0.3">
      <c r="A102" s="103" t="s">
        <v>110</v>
      </c>
      <c r="B102" s="92">
        <v>65.8</v>
      </c>
      <c r="C102" s="92">
        <v>66.599999999999994</v>
      </c>
      <c r="D102" s="92">
        <v>66.400000000000006</v>
      </c>
      <c r="E102" s="92">
        <v>66.5</v>
      </c>
      <c r="F102" s="92">
        <v>66.400000000000006</v>
      </c>
      <c r="G102" s="92">
        <v>66.5</v>
      </c>
      <c r="H102" s="92">
        <v>65.7</v>
      </c>
      <c r="I102" s="92">
        <v>66</v>
      </c>
      <c r="J102" s="92">
        <v>65.8</v>
      </c>
      <c r="K102" s="92">
        <v>66.2</v>
      </c>
      <c r="L102" s="92">
        <v>65.099999999999994</v>
      </c>
      <c r="M102" s="92">
        <v>65</v>
      </c>
      <c r="N102" s="92">
        <v>63.9</v>
      </c>
      <c r="O102" s="92">
        <v>64.3</v>
      </c>
      <c r="P102" s="92">
        <v>63.5</v>
      </c>
      <c r="Q102" s="92">
        <v>64.099999999999994</v>
      </c>
      <c r="R102" s="92">
        <v>64</v>
      </c>
      <c r="S102" s="92">
        <v>64.400000000000006</v>
      </c>
      <c r="T102" s="92">
        <v>64.400000000000006</v>
      </c>
      <c r="U102" s="92">
        <v>65.599999999999994</v>
      </c>
      <c r="V102" s="92">
        <v>66</v>
      </c>
      <c r="W102" s="92">
        <v>65.900000000000006</v>
      </c>
      <c r="X102" s="92">
        <v>65.7</v>
      </c>
      <c r="Y102" s="92">
        <v>66.5</v>
      </c>
      <c r="Z102" s="92">
        <v>64.900000000000006</v>
      </c>
      <c r="AA102" s="92">
        <v>64.900000000000006</v>
      </c>
      <c r="AB102" s="92">
        <v>66.2</v>
      </c>
      <c r="AC102" s="92">
        <v>65.400000000000006</v>
      </c>
      <c r="AD102" s="92">
        <v>66</v>
      </c>
      <c r="AE102" s="92">
        <v>66.3</v>
      </c>
      <c r="AF102" s="92">
        <v>67.099999999999994</v>
      </c>
      <c r="AG102" s="108"/>
      <c r="AH102" s="47">
        <f t="shared" si="16"/>
        <v>67.099999999999994</v>
      </c>
      <c r="AI102" s="48">
        <f t="shared" si="17"/>
        <v>63.5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 t="s">
        <v>529</v>
      </c>
      <c r="Z103" s="92"/>
      <c r="AA103" s="92"/>
      <c r="AB103" s="92"/>
      <c r="AC103" s="92"/>
      <c r="AD103" s="92"/>
      <c r="AE103" s="92"/>
      <c r="AF103" s="92"/>
      <c r="AG103" s="108"/>
      <c r="AH103" s="47">
        <f t="shared" si="16"/>
        <v>0</v>
      </c>
      <c r="AI103" s="48">
        <f t="shared" si="17"/>
        <v>0</v>
      </c>
    </row>
    <row r="104" spans="1:35" ht="15.75" thickBot="1" x14ac:dyDescent="0.3">
      <c r="A104" s="110" t="s">
        <v>112</v>
      </c>
      <c r="B104" s="111">
        <f t="shared" ref="B104" si="33">SUM(B16,B22,B25:B26,B52,B54:B55,B57,B59,B105:B109,B131,B137,B143,B152,B154,B166,B173,B176:B177,B184,B186,B188,B192:B194,B196:B198,B203,B209:B210,B212:B214,B222,B227)</f>
        <v>152.5</v>
      </c>
      <c r="C104" s="111">
        <f t="shared" ref="C104:AF104" si="34">SUM(C16,C22,C25:C26,C52,C54:C55,C57,C59,C105:C109,C131,C137,C143,C152,C154,C166,C173,C176:C177,C184,C186,C188,C192:C194,C196:C198,C203,C209:C210,C212:C214,C222,C227)</f>
        <v>138.54000000000002</v>
      </c>
      <c r="D104" s="111">
        <f t="shared" ref="D104" si="35">SUM(D16,D22,D25:D26,D52,D54:D55,D57,D59,D105:D109,D131,D137,D143,D152,D154,D166,D173,D176:D177,D184,D186,D188,D192:D194,D196:D198,D203,D209:D210,D212:D214,D222,D227)</f>
        <v>129.63999999999999</v>
      </c>
      <c r="E104" s="111">
        <f t="shared" si="34"/>
        <v>130.13999999999999</v>
      </c>
      <c r="F104" s="111">
        <f t="shared" si="34"/>
        <v>133.74</v>
      </c>
      <c r="G104" s="111">
        <f t="shared" si="34"/>
        <v>156.73999999999998</v>
      </c>
      <c r="H104" s="111">
        <f t="shared" si="34"/>
        <v>194.64</v>
      </c>
      <c r="I104" s="111">
        <f t="shared" si="34"/>
        <v>198.33999999999997</v>
      </c>
      <c r="J104" s="111">
        <f t="shared" si="34"/>
        <v>198.33999999999997</v>
      </c>
      <c r="K104" s="111">
        <f t="shared" si="34"/>
        <v>276.24</v>
      </c>
      <c r="L104" s="111">
        <f t="shared" si="34"/>
        <v>318.64</v>
      </c>
      <c r="M104" s="111">
        <f t="shared" si="34"/>
        <v>357.03999999999996</v>
      </c>
      <c r="N104" s="111">
        <f t="shared" si="34"/>
        <v>348.03999999999996</v>
      </c>
      <c r="O104" s="111">
        <f t="shared" si="34"/>
        <v>340.74</v>
      </c>
      <c r="P104" s="111">
        <v>42</v>
      </c>
      <c r="Q104" s="111">
        <f t="shared" si="34"/>
        <v>285.7</v>
      </c>
      <c r="R104" s="111">
        <f t="shared" si="34"/>
        <v>224.5</v>
      </c>
      <c r="S104" s="111">
        <f t="shared" si="34"/>
        <v>246.8</v>
      </c>
      <c r="T104" s="111">
        <f t="shared" si="34"/>
        <v>246.8</v>
      </c>
      <c r="U104" s="111">
        <f t="shared" si="34"/>
        <v>293.2</v>
      </c>
      <c r="V104" s="111">
        <f t="shared" si="34"/>
        <v>214.5</v>
      </c>
      <c r="W104" s="111">
        <f t="shared" si="34"/>
        <v>214.5</v>
      </c>
      <c r="X104" s="111">
        <f t="shared" si="34"/>
        <v>304.39999999999998</v>
      </c>
      <c r="Y104" s="111">
        <v>430.8970833333334</v>
      </c>
      <c r="Z104" s="111">
        <f t="shared" si="34"/>
        <v>416.4</v>
      </c>
      <c r="AA104" s="111">
        <f t="shared" si="34"/>
        <v>340.9</v>
      </c>
      <c r="AB104" s="111">
        <f t="shared" si="34"/>
        <v>226.79999999999998</v>
      </c>
      <c r="AC104" s="111">
        <f t="shared" si="34"/>
        <v>310.29999999999995</v>
      </c>
      <c r="AD104" s="111">
        <f t="shared" si="34"/>
        <v>283.39999999999998</v>
      </c>
      <c r="AE104" s="111">
        <f t="shared" si="34"/>
        <v>206.89999999999998</v>
      </c>
      <c r="AF104" s="111">
        <f t="shared" si="34"/>
        <v>160.60000000000002</v>
      </c>
      <c r="AG104" s="112"/>
      <c r="AH104" s="47">
        <f t="shared" si="16"/>
        <v>430.8970833333334</v>
      </c>
      <c r="AI104" s="48">
        <f t="shared" si="17"/>
        <v>42</v>
      </c>
    </row>
    <row r="105" spans="1:35" x14ac:dyDescent="0.25">
      <c r="A105" s="100" t="s">
        <v>113</v>
      </c>
      <c r="B105" s="113">
        <v>-8.8000000000000007</v>
      </c>
      <c r="C105" s="113">
        <v>-12.2</v>
      </c>
      <c r="D105" s="113">
        <v>-10.199999999999999</v>
      </c>
      <c r="E105" s="113">
        <v>-17.7</v>
      </c>
      <c r="F105" s="113">
        <v>-16.8</v>
      </c>
      <c r="G105" s="113">
        <v>-6.4</v>
      </c>
      <c r="H105" s="113">
        <v>-10.1</v>
      </c>
      <c r="I105" s="113">
        <v>-4.8</v>
      </c>
      <c r="J105" s="113">
        <v>-4.8</v>
      </c>
      <c r="K105" s="113">
        <v>11.4</v>
      </c>
      <c r="L105" s="113">
        <v>19.5</v>
      </c>
      <c r="M105" s="113">
        <v>21.7</v>
      </c>
      <c r="N105" s="113">
        <v>6.5</v>
      </c>
      <c r="O105" s="113">
        <v>12.7</v>
      </c>
      <c r="P105" s="113">
        <v>36.1</v>
      </c>
      <c r="Q105" s="113">
        <v>31.7</v>
      </c>
      <c r="R105" s="113">
        <v>-17</v>
      </c>
      <c r="S105" s="113">
        <v>19</v>
      </c>
      <c r="T105" s="113">
        <v>19</v>
      </c>
      <c r="U105" s="113">
        <v>0</v>
      </c>
      <c r="V105" s="113">
        <v>-6.9</v>
      </c>
      <c r="W105" s="113">
        <v>-6.9</v>
      </c>
      <c r="X105" s="113">
        <v>13.5</v>
      </c>
      <c r="Y105" s="113">
        <v>34.700000000000003</v>
      </c>
      <c r="Z105" s="113">
        <v>30.3</v>
      </c>
      <c r="AA105" s="113">
        <v>33</v>
      </c>
      <c r="AB105" s="113">
        <v>32</v>
      </c>
      <c r="AC105" s="113">
        <v>31</v>
      </c>
      <c r="AD105" s="113">
        <v>32.5</v>
      </c>
      <c r="AE105" s="113">
        <v>6.6</v>
      </c>
      <c r="AF105" s="113">
        <v>-14.3</v>
      </c>
      <c r="AG105" s="114">
        <v>75</v>
      </c>
      <c r="AH105" s="47">
        <f t="shared" si="16"/>
        <v>36.1</v>
      </c>
      <c r="AI105" s="48">
        <f t="shared" si="17"/>
        <v>-17.7</v>
      </c>
    </row>
    <row r="106" spans="1:35" x14ac:dyDescent="0.25">
      <c r="A106" s="103" t="s">
        <v>114</v>
      </c>
      <c r="B106" s="115">
        <v>-6.1</v>
      </c>
      <c r="C106" s="115">
        <v>-11.3</v>
      </c>
      <c r="D106" s="115">
        <v>-9.4</v>
      </c>
      <c r="E106" s="115">
        <v>-19.399999999999999</v>
      </c>
      <c r="F106" s="115">
        <v>-19.3</v>
      </c>
      <c r="G106" s="115">
        <v>-5.9</v>
      </c>
      <c r="H106" s="115">
        <v>-10.7</v>
      </c>
      <c r="I106" s="115">
        <v>-4.2</v>
      </c>
      <c r="J106" s="115">
        <v>-4.2</v>
      </c>
      <c r="K106" s="115">
        <v>9.6999999999999993</v>
      </c>
      <c r="L106" s="115">
        <v>19.3</v>
      </c>
      <c r="M106" s="115">
        <v>22.2</v>
      </c>
      <c r="N106" s="115">
        <v>0.8</v>
      </c>
      <c r="O106" s="115">
        <v>11.9</v>
      </c>
      <c r="P106" s="115">
        <v>54.6</v>
      </c>
      <c r="Q106" s="115">
        <v>48.7</v>
      </c>
      <c r="R106" s="115">
        <v>30.1</v>
      </c>
      <c r="S106" s="115">
        <v>33</v>
      </c>
      <c r="T106" s="115">
        <v>33</v>
      </c>
      <c r="U106" s="115">
        <v>3.9</v>
      </c>
      <c r="V106" s="115">
        <v>-11.1</v>
      </c>
      <c r="W106" s="115">
        <v>-11.1</v>
      </c>
      <c r="X106" s="115">
        <v>13</v>
      </c>
      <c r="Y106" s="115">
        <v>41.2</v>
      </c>
      <c r="Z106" s="115">
        <v>35.1</v>
      </c>
      <c r="AA106" s="115">
        <v>37</v>
      </c>
      <c r="AB106" s="115">
        <v>34.1</v>
      </c>
      <c r="AC106" s="115">
        <v>37.700000000000003</v>
      </c>
      <c r="AD106" s="115">
        <v>40.4</v>
      </c>
      <c r="AE106" s="115">
        <v>7.6</v>
      </c>
      <c r="AF106" s="115">
        <v>-16</v>
      </c>
      <c r="AG106" s="114">
        <v>240</v>
      </c>
      <c r="AH106" s="47">
        <f t="shared" si="16"/>
        <v>54.6</v>
      </c>
      <c r="AI106" s="48">
        <f t="shared" si="17"/>
        <v>-19.399999999999999</v>
      </c>
    </row>
    <row r="107" spans="1:35" x14ac:dyDescent="0.25">
      <c r="A107" s="103" t="s">
        <v>115</v>
      </c>
      <c r="B107" s="115">
        <f>-15.5-17.1</f>
        <v>-32.6</v>
      </c>
      <c r="C107" s="115">
        <f>-16.4-17.7</f>
        <v>-34.099999999999994</v>
      </c>
      <c r="D107" s="115">
        <f>-18.6-20.2</f>
        <v>-38.799999999999997</v>
      </c>
      <c r="E107" s="115">
        <v>-30</v>
      </c>
      <c r="F107" s="115">
        <v>-30.9</v>
      </c>
      <c r="G107" s="115">
        <v>-30</v>
      </c>
      <c r="H107" s="115">
        <v>-12</v>
      </c>
      <c r="I107" s="115">
        <v>-19.7</v>
      </c>
      <c r="J107" s="115">
        <v>-19.7</v>
      </c>
      <c r="K107" s="115">
        <v>18.5</v>
      </c>
      <c r="L107" s="115">
        <v>40</v>
      </c>
      <c r="M107" s="115">
        <v>75</v>
      </c>
      <c r="N107" s="115">
        <f>38.8+39</f>
        <v>77.8</v>
      </c>
      <c r="O107" s="115">
        <f>33+35</f>
        <v>68</v>
      </c>
      <c r="P107" s="115">
        <v>-30</v>
      </c>
      <c r="Q107" s="115">
        <v>-21</v>
      </c>
      <c r="R107" s="115">
        <v>-14</v>
      </c>
      <c r="S107" s="115">
        <v>-21</v>
      </c>
      <c r="T107" s="115">
        <v>-21</v>
      </c>
      <c r="U107" s="115">
        <f>-16.8-0</f>
        <v>-16.8</v>
      </c>
      <c r="V107" s="115">
        <f>-15.3+5.5</f>
        <v>-9.8000000000000007</v>
      </c>
      <c r="W107" s="115">
        <f t="shared" ref="W107" si="36">-15.3+5.5</f>
        <v>-9.8000000000000007</v>
      </c>
      <c r="X107" s="115">
        <f>14.2+26.5</f>
        <v>40.700000000000003</v>
      </c>
      <c r="Y107" s="115">
        <v>51.7</v>
      </c>
      <c r="Z107" s="115">
        <f>31.5+36.7</f>
        <v>68.2</v>
      </c>
      <c r="AA107" s="115">
        <v>60</v>
      </c>
      <c r="AB107" s="115">
        <v>-43</v>
      </c>
      <c r="AC107" s="115">
        <v>15.8</v>
      </c>
      <c r="AD107" s="115">
        <v>-5</v>
      </c>
      <c r="AE107" s="115">
        <v>-18</v>
      </c>
      <c r="AF107" s="115">
        <v>-14.8</v>
      </c>
      <c r="AG107" s="114">
        <v>240</v>
      </c>
      <c r="AH107" s="47">
        <f t="shared" si="16"/>
        <v>77.8</v>
      </c>
      <c r="AI107" s="48">
        <f t="shared" si="17"/>
        <v>-43</v>
      </c>
    </row>
    <row r="108" spans="1:35" x14ac:dyDescent="0.25">
      <c r="A108" s="103" t="s">
        <v>116</v>
      </c>
      <c r="B108" s="115">
        <v>-3.2</v>
      </c>
      <c r="C108" s="115">
        <v>-1.8</v>
      </c>
      <c r="D108" s="115">
        <v>-5.4</v>
      </c>
      <c r="E108" s="115">
        <v>-4.8</v>
      </c>
      <c r="F108" s="115">
        <v>-3.9</v>
      </c>
      <c r="G108" s="115">
        <v>2.4</v>
      </c>
      <c r="H108" s="115">
        <v>4.9000000000000004</v>
      </c>
      <c r="I108" s="115">
        <v>16.100000000000001</v>
      </c>
      <c r="J108" s="115">
        <v>16.100000000000001</v>
      </c>
      <c r="K108" s="115">
        <v>23.4</v>
      </c>
      <c r="L108" s="115">
        <v>34.4</v>
      </c>
      <c r="M108" s="115">
        <v>34.4</v>
      </c>
      <c r="N108" s="115">
        <v>40.200000000000003</v>
      </c>
      <c r="O108" s="115">
        <v>33</v>
      </c>
      <c r="P108" s="115">
        <v>19.3</v>
      </c>
      <c r="Q108" s="115">
        <v>19</v>
      </c>
      <c r="R108" s="115">
        <v>9.1999999999999993</v>
      </c>
      <c r="S108" s="115">
        <v>6.3</v>
      </c>
      <c r="T108" s="115">
        <v>6.3</v>
      </c>
      <c r="U108" s="115">
        <v>99.1</v>
      </c>
      <c r="V108" s="115">
        <v>35.5</v>
      </c>
      <c r="W108" s="115">
        <v>35.5</v>
      </c>
      <c r="X108" s="115">
        <v>37.4</v>
      </c>
      <c r="Y108" s="115">
        <v>35</v>
      </c>
      <c r="Z108" s="115">
        <v>87.6</v>
      </c>
      <c r="AA108" s="115">
        <v>26</v>
      </c>
      <c r="AB108" s="115">
        <v>26</v>
      </c>
      <c r="AC108" s="115">
        <v>19.600000000000001</v>
      </c>
      <c r="AD108" s="115">
        <v>13.4</v>
      </c>
      <c r="AE108" s="115">
        <v>6.4</v>
      </c>
      <c r="AF108" s="115">
        <v>4.5999999999999996</v>
      </c>
      <c r="AG108" s="114">
        <v>60</v>
      </c>
      <c r="AH108" s="47">
        <f t="shared" si="16"/>
        <v>99.1</v>
      </c>
      <c r="AI108" s="48">
        <f t="shared" si="17"/>
        <v>-5.4</v>
      </c>
    </row>
    <row r="109" spans="1:35" x14ac:dyDescent="0.25">
      <c r="A109" s="116" t="s">
        <v>117</v>
      </c>
      <c r="B109" s="117">
        <v>93.5</v>
      </c>
      <c r="C109" s="117">
        <v>87.5</v>
      </c>
      <c r="D109" s="117">
        <v>88.2</v>
      </c>
      <c r="E109" s="117">
        <v>96.8</v>
      </c>
      <c r="F109" s="117">
        <v>99.4</v>
      </c>
      <c r="G109" s="117">
        <v>91.1</v>
      </c>
      <c r="H109" s="117">
        <v>117</v>
      </c>
      <c r="I109" s="117">
        <v>105.2</v>
      </c>
      <c r="J109" s="117">
        <v>105.2</v>
      </c>
      <c r="K109" s="117">
        <v>107.5</v>
      </c>
      <c r="L109" s="117">
        <v>99.7</v>
      </c>
      <c r="M109" s="117">
        <v>98</v>
      </c>
      <c r="N109" s="117">
        <v>117</v>
      </c>
      <c r="O109" s="117">
        <v>109.4</v>
      </c>
      <c r="P109" s="117">
        <v>109</v>
      </c>
      <c r="Q109" s="117">
        <v>100.7</v>
      </c>
      <c r="R109" s="117">
        <v>109.4</v>
      </c>
      <c r="S109" s="117">
        <v>103</v>
      </c>
      <c r="T109" s="117">
        <v>103</v>
      </c>
      <c r="U109" s="117">
        <v>100.5</v>
      </c>
      <c r="V109" s="117">
        <v>100.3</v>
      </c>
      <c r="W109" s="117">
        <v>100.3</v>
      </c>
      <c r="X109" s="117">
        <v>93.3</v>
      </c>
      <c r="Y109" s="117">
        <v>100</v>
      </c>
      <c r="Z109" s="117">
        <v>87.6</v>
      </c>
      <c r="AA109" s="117">
        <v>81</v>
      </c>
      <c r="AB109" s="117">
        <v>73</v>
      </c>
      <c r="AC109" s="117">
        <v>101.5</v>
      </c>
      <c r="AD109" s="117">
        <v>97.4</v>
      </c>
      <c r="AE109" s="117">
        <v>99.6</v>
      </c>
      <c r="AF109" s="117">
        <v>96.4</v>
      </c>
      <c r="AG109" s="118">
        <v>120</v>
      </c>
      <c r="AH109" s="47">
        <f t="shared" si="16"/>
        <v>117</v>
      </c>
      <c r="AI109" s="48">
        <f t="shared" si="17"/>
        <v>73</v>
      </c>
    </row>
    <row r="110" spans="1:35" x14ac:dyDescent="0.25">
      <c r="A110" s="116" t="s">
        <v>118</v>
      </c>
      <c r="B110" s="117">
        <v>96.7</v>
      </c>
      <c r="C110" s="117">
        <v>92.2</v>
      </c>
      <c r="D110" s="117">
        <v>98.7</v>
      </c>
      <c r="E110" s="117">
        <v>101.5</v>
      </c>
      <c r="F110" s="117">
        <v>104</v>
      </c>
      <c r="G110" s="117">
        <v>96</v>
      </c>
      <c r="H110" s="117">
        <v>108</v>
      </c>
      <c r="I110" s="117">
        <v>101.3</v>
      </c>
      <c r="J110" s="117">
        <v>101.3</v>
      </c>
      <c r="K110" s="117">
        <v>90.1</v>
      </c>
      <c r="L110" s="117">
        <v>62.2</v>
      </c>
      <c r="M110" s="117">
        <v>60.3</v>
      </c>
      <c r="N110" s="117">
        <v>80</v>
      </c>
      <c r="O110" s="117">
        <v>75.5</v>
      </c>
      <c r="P110" s="117">
        <v>108.75</v>
      </c>
      <c r="Q110" s="117">
        <v>99.1</v>
      </c>
      <c r="R110" s="117">
        <v>102</v>
      </c>
      <c r="S110" s="117">
        <v>100</v>
      </c>
      <c r="T110" s="117">
        <v>100</v>
      </c>
      <c r="U110" s="117">
        <v>93.8</v>
      </c>
      <c r="V110" s="117">
        <v>91</v>
      </c>
      <c r="W110" s="117">
        <v>91</v>
      </c>
      <c r="X110" s="117">
        <v>60</v>
      </c>
      <c r="Y110" s="117">
        <v>76</v>
      </c>
      <c r="Z110" s="117">
        <v>85.6</v>
      </c>
      <c r="AA110" s="117">
        <v>76</v>
      </c>
      <c r="AB110" s="117">
        <v>71</v>
      </c>
      <c r="AC110" s="117">
        <v>82.7</v>
      </c>
      <c r="AD110" s="117">
        <v>84.9</v>
      </c>
      <c r="AE110" s="117">
        <v>99.3</v>
      </c>
      <c r="AF110" s="117">
        <v>95.3</v>
      </c>
      <c r="AG110" s="118"/>
      <c r="AH110" s="47">
        <f t="shared" si="16"/>
        <v>108.75</v>
      </c>
      <c r="AI110" s="48">
        <f t="shared" si="17"/>
        <v>60</v>
      </c>
    </row>
    <row r="111" spans="1:35" x14ac:dyDescent="0.25">
      <c r="A111" s="116" t="s">
        <v>119</v>
      </c>
      <c r="B111" s="117">
        <v>42.5</v>
      </c>
      <c r="C111" s="117">
        <v>44.8</v>
      </c>
      <c r="D111" s="117">
        <v>39.799999999999997</v>
      </c>
      <c r="E111" s="117">
        <v>43.4</v>
      </c>
      <c r="F111" s="117">
        <v>40.700000000000003</v>
      </c>
      <c r="G111" s="117">
        <v>29.1</v>
      </c>
      <c r="H111" s="117">
        <v>31.6</v>
      </c>
      <c r="I111" s="117">
        <v>34.200000000000003</v>
      </c>
      <c r="J111" s="117">
        <v>34.200000000000003</v>
      </c>
      <c r="K111" s="117">
        <v>15.6</v>
      </c>
      <c r="L111" s="117">
        <v>0</v>
      </c>
      <c r="M111" s="117">
        <v>0</v>
      </c>
      <c r="N111" s="117">
        <v>0.1</v>
      </c>
      <c r="O111" s="117">
        <v>0</v>
      </c>
      <c r="P111" s="117">
        <v>6.3</v>
      </c>
      <c r="Q111" s="117"/>
      <c r="R111" s="117"/>
      <c r="S111" s="117">
        <v>14</v>
      </c>
      <c r="T111" s="117">
        <v>14</v>
      </c>
      <c r="U111" s="117"/>
      <c r="V111" s="117"/>
      <c r="W111" s="117"/>
      <c r="X111" s="117"/>
      <c r="Y111" s="117"/>
      <c r="Z111" s="117"/>
      <c r="AA111" s="117"/>
      <c r="AB111" s="117"/>
      <c r="AC111" s="117">
        <v>18.899999999999999</v>
      </c>
      <c r="AD111" s="117"/>
      <c r="AE111" s="117">
        <v>23.8</v>
      </c>
      <c r="AF111" s="117"/>
      <c r="AG111" s="119"/>
      <c r="AH111" s="47">
        <f t="shared" si="16"/>
        <v>44.8</v>
      </c>
      <c r="AI111" s="48">
        <f t="shared" si="17"/>
        <v>0</v>
      </c>
    </row>
    <row r="112" spans="1:35" x14ac:dyDescent="0.25">
      <c r="A112" s="120" t="s">
        <v>120</v>
      </c>
      <c r="B112" s="106">
        <v>13.8</v>
      </c>
      <c r="C112" s="106">
        <v>17.3</v>
      </c>
      <c r="D112" s="106">
        <v>19.5</v>
      </c>
      <c r="E112" s="106">
        <v>20.5</v>
      </c>
      <c r="F112" s="106">
        <v>19.600000000000001</v>
      </c>
      <c r="G112" s="106">
        <v>14</v>
      </c>
      <c r="H112" s="106">
        <v>3</v>
      </c>
      <c r="I112" s="106">
        <v>0</v>
      </c>
      <c r="J112" s="106">
        <v>0</v>
      </c>
      <c r="K112" s="106">
        <v>-20.399999999999999</v>
      </c>
      <c r="L112" s="106">
        <v>-29.2</v>
      </c>
      <c r="M112" s="106">
        <v>-32.700000000000003</v>
      </c>
      <c r="N112" s="106">
        <v>-31.6</v>
      </c>
      <c r="O112" s="106">
        <v>-15.9</v>
      </c>
      <c r="P112" s="106">
        <v>0</v>
      </c>
      <c r="Q112" s="106">
        <v>2.4</v>
      </c>
      <c r="R112" s="106">
        <v>5.8</v>
      </c>
      <c r="S112" s="106">
        <v>7.5</v>
      </c>
      <c r="T112" s="106">
        <v>7.5</v>
      </c>
      <c r="U112" s="106">
        <v>-8.6</v>
      </c>
      <c r="V112" s="106">
        <v>-16.3</v>
      </c>
      <c r="W112" s="106">
        <v>-16.3</v>
      </c>
      <c r="X112" s="106">
        <v>-50.4</v>
      </c>
      <c r="Y112" s="106">
        <v>-62</v>
      </c>
      <c r="Z112" s="106">
        <v>-38.4</v>
      </c>
      <c r="AA112" s="106">
        <v>30</v>
      </c>
      <c r="AB112" s="106">
        <v>-17.899999999999999</v>
      </c>
      <c r="AC112" s="106">
        <v>-14.3</v>
      </c>
      <c r="AD112" s="106">
        <v>-8.6</v>
      </c>
      <c r="AE112" s="106">
        <v>13.3</v>
      </c>
      <c r="AF112" s="106">
        <v>14.1</v>
      </c>
      <c r="AG112" s="119"/>
      <c r="AH112" s="47">
        <f t="shared" si="16"/>
        <v>30</v>
      </c>
      <c r="AI112" s="48">
        <f t="shared" si="17"/>
        <v>-62</v>
      </c>
    </row>
    <row r="113" spans="1:37" ht="15.75" thickBot="1" x14ac:dyDescent="0.3">
      <c r="A113" s="120" t="s">
        <v>715</v>
      </c>
      <c r="B113" s="106">
        <v>72.900000000000006</v>
      </c>
      <c r="C113" s="106">
        <v>72.2</v>
      </c>
      <c r="D113" s="106">
        <v>67.099999999999994</v>
      </c>
      <c r="E113" s="106">
        <v>65.599999999999994</v>
      </c>
      <c r="F113" s="106">
        <v>70.5</v>
      </c>
      <c r="G113" s="106">
        <v>71.900000000000006</v>
      </c>
      <c r="H113" s="106">
        <v>75.7</v>
      </c>
      <c r="I113" s="106">
        <v>69.599999999999994</v>
      </c>
      <c r="J113" s="106">
        <v>69.599999999999994</v>
      </c>
      <c r="K113" s="106">
        <v>59.8</v>
      </c>
      <c r="L113" s="106">
        <v>67.099999999999994</v>
      </c>
      <c r="M113" s="106">
        <v>69.5</v>
      </c>
      <c r="N113" s="106">
        <v>73</v>
      </c>
      <c r="O113" s="106">
        <v>73.8</v>
      </c>
      <c r="P113" s="106">
        <v>65.2</v>
      </c>
      <c r="Q113" s="106">
        <v>78</v>
      </c>
      <c r="R113" s="106">
        <v>78.3</v>
      </c>
      <c r="S113" s="106">
        <v>79</v>
      </c>
      <c r="T113" s="106">
        <v>79</v>
      </c>
      <c r="U113" s="106">
        <v>69.599999999999994</v>
      </c>
      <c r="V113" s="106">
        <v>71.099999999999994</v>
      </c>
      <c r="W113" s="106">
        <v>71.099999999999994</v>
      </c>
      <c r="X113" s="106">
        <v>73.400000000000006</v>
      </c>
      <c r="Y113" s="106">
        <v>90.8</v>
      </c>
      <c r="Z113" s="106">
        <v>75.599999999999994</v>
      </c>
      <c r="AA113" s="106">
        <v>76</v>
      </c>
      <c r="AB113" s="106">
        <v>71.900000000000006</v>
      </c>
      <c r="AC113" s="106">
        <v>74.900000000000006</v>
      </c>
      <c r="AD113" s="106">
        <v>76.3</v>
      </c>
      <c r="AE113" s="106">
        <v>62.7</v>
      </c>
      <c r="AF113" s="106">
        <v>60.5</v>
      </c>
      <c r="AG113" s="119"/>
      <c r="AH113" s="47">
        <f t="shared" si="16"/>
        <v>90.8</v>
      </c>
      <c r="AI113" s="48">
        <f t="shared" si="17"/>
        <v>59.8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37">SUM(B115:B219)</f>
        <v>0</v>
      </c>
      <c r="C220" s="136">
        <f t="shared" si="37"/>
        <v>0</v>
      </c>
      <c r="D220" s="136">
        <f t="shared" si="37"/>
        <v>0</v>
      </c>
      <c r="E220" s="136">
        <f t="shared" si="37"/>
        <v>0</v>
      </c>
      <c r="F220" s="136">
        <f t="shared" si="37"/>
        <v>0</v>
      </c>
      <c r="G220" s="136">
        <f t="shared" si="37"/>
        <v>0</v>
      </c>
      <c r="H220" s="136">
        <f t="shared" si="37"/>
        <v>0</v>
      </c>
      <c r="I220" s="136">
        <f t="shared" si="37"/>
        <v>0</v>
      </c>
      <c r="J220" s="136">
        <f t="shared" si="37"/>
        <v>0</v>
      </c>
      <c r="K220" s="136">
        <f t="shared" si="37"/>
        <v>0</v>
      </c>
      <c r="L220" s="136">
        <f t="shared" si="37"/>
        <v>0</v>
      </c>
      <c r="M220" s="136">
        <f t="shared" si="37"/>
        <v>0</v>
      </c>
      <c r="N220" s="136">
        <f t="shared" si="37"/>
        <v>0</v>
      </c>
      <c r="O220" s="136">
        <f t="shared" si="37"/>
        <v>0</v>
      </c>
      <c r="P220" s="136">
        <f t="shared" si="37"/>
        <v>0</v>
      </c>
      <c r="Q220" s="136">
        <f t="shared" si="37"/>
        <v>0</v>
      </c>
      <c r="R220" s="136">
        <f t="shared" si="37"/>
        <v>0</v>
      </c>
      <c r="S220" s="136">
        <f t="shared" si="37"/>
        <v>0</v>
      </c>
      <c r="T220" s="136">
        <f t="shared" si="37"/>
        <v>0</v>
      </c>
      <c r="U220" s="136">
        <f t="shared" si="37"/>
        <v>0</v>
      </c>
      <c r="V220" s="136">
        <f t="shared" si="37"/>
        <v>0</v>
      </c>
      <c r="W220" s="136">
        <f t="shared" si="37"/>
        <v>0</v>
      </c>
      <c r="X220" s="136">
        <f t="shared" si="37"/>
        <v>0</v>
      </c>
      <c r="Y220" s="136">
        <f t="shared" si="37"/>
        <v>0</v>
      </c>
      <c r="Z220" s="136">
        <f t="shared" si="37"/>
        <v>0</v>
      </c>
      <c r="AA220" s="136">
        <f t="shared" si="37"/>
        <v>0</v>
      </c>
      <c r="AB220" s="136">
        <f t="shared" si="37"/>
        <v>0</v>
      </c>
      <c r="AC220" s="136">
        <f t="shared" si="37"/>
        <v>0</v>
      </c>
      <c r="AD220" s="136">
        <f t="shared" si="37"/>
        <v>0</v>
      </c>
      <c r="AE220" s="136">
        <f t="shared" si="37"/>
        <v>0</v>
      </c>
      <c r="AF220" s="137">
        <f t="shared" si="37"/>
        <v>0</v>
      </c>
      <c r="AG220" s="138">
        <f t="shared" si="37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38">AF222</f>
        <v>0</v>
      </c>
      <c r="C222" s="140">
        <v>0.3</v>
      </c>
      <c r="D222" s="140">
        <f t="shared" ref="D222:P227" si="39">C222</f>
        <v>0.3</v>
      </c>
      <c r="E222" s="140">
        <f t="shared" si="39"/>
        <v>0.3</v>
      </c>
      <c r="F222" s="140">
        <f t="shared" si="39"/>
        <v>0.3</v>
      </c>
      <c r="G222" s="140">
        <f t="shared" si="39"/>
        <v>0.3</v>
      </c>
      <c r="H222" s="140">
        <f t="shared" si="39"/>
        <v>0.3</v>
      </c>
      <c r="I222" s="140">
        <f t="shared" si="39"/>
        <v>0.3</v>
      </c>
      <c r="J222" s="140">
        <f t="shared" si="39"/>
        <v>0.3</v>
      </c>
      <c r="K222" s="140">
        <f t="shared" si="39"/>
        <v>0.3</v>
      </c>
      <c r="L222" s="140">
        <f t="shared" si="39"/>
        <v>0.3</v>
      </c>
      <c r="M222" s="140">
        <f t="shared" si="39"/>
        <v>0.3</v>
      </c>
      <c r="N222" s="140">
        <f t="shared" si="39"/>
        <v>0.3</v>
      </c>
      <c r="O222" s="140">
        <f t="shared" si="39"/>
        <v>0.3</v>
      </c>
      <c r="P222" s="140">
        <f t="shared" si="39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38"/>
        <v>0</v>
      </c>
      <c r="C223" s="128">
        <v>0.4</v>
      </c>
      <c r="D223" s="128">
        <f t="shared" si="39"/>
        <v>0.4</v>
      </c>
      <c r="E223" s="128">
        <f t="shared" si="39"/>
        <v>0.4</v>
      </c>
      <c r="F223" s="128">
        <f t="shared" si="39"/>
        <v>0.4</v>
      </c>
      <c r="G223" s="128">
        <f t="shared" si="39"/>
        <v>0.4</v>
      </c>
      <c r="H223" s="128">
        <f t="shared" si="39"/>
        <v>0.4</v>
      </c>
      <c r="I223" s="128">
        <f t="shared" si="39"/>
        <v>0.4</v>
      </c>
      <c r="J223" s="128">
        <f t="shared" si="39"/>
        <v>0.4</v>
      </c>
      <c r="K223" s="128">
        <f t="shared" si="39"/>
        <v>0.4</v>
      </c>
      <c r="L223" s="128">
        <f t="shared" si="39"/>
        <v>0.4</v>
      </c>
      <c r="M223" s="128">
        <f t="shared" si="39"/>
        <v>0.4</v>
      </c>
      <c r="N223" s="128">
        <f t="shared" si="39"/>
        <v>0.4</v>
      </c>
      <c r="O223" s="128">
        <f t="shared" si="39"/>
        <v>0.4</v>
      </c>
      <c r="P223" s="128">
        <f t="shared" si="39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38"/>
        <v>0</v>
      </c>
      <c r="C224" s="128">
        <v>1.5</v>
      </c>
      <c r="D224" s="128">
        <f t="shared" si="39"/>
        <v>1.5</v>
      </c>
      <c r="E224" s="128">
        <f t="shared" si="39"/>
        <v>1.5</v>
      </c>
      <c r="F224" s="128">
        <f t="shared" si="39"/>
        <v>1.5</v>
      </c>
      <c r="G224" s="128">
        <f t="shared" si="39"/>
        <v>1.5</v>
      </c>
      <c r="H224" s="128">
        <f t="shared" si="39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39"/>
        <v>1.5</v>
      </c>
      <c r="K224" s="128">
        <f t="shared" ca="1" si="39"/>
        <v>1.5</v>
      </c>
      <c r="L224" s="128">
        <f t="shared" ca="1" si="39"/>
        <v>1.5</v>
      </c>
      <c r="M224" s="128">
        <f t="shared" ca="1" si="39"/>
        <v>1.5</v>
      </c>
      <c r="N224" s="128">
        <f t="shared" ca="1" si="39"/>
        <v>1.5</v>
      </c>
      <c r="O224" s="128">
        <f t="shared" ca="1" si="39"/>
        <v>1.5</v>
      </c>
      <c r="P224" s="128">
        <f t="shared" ca="1" si="39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38"/>
        <v>0</v>
      </c>
      <c r="C225" s="128">
        <v>0.3</v>
      </c>
      <c r="D225" s="128">
        <f t="shared" si="39"/>
        <v>0.3</v>
      </c>
      <c r="E225" s="128">
        <f t="shared" si="39"/>
        <v>0.3</v>
      </c>
      <c r="F225" s="128">
        <f t="shared" si="39"/>
        <v>0.3</v>
      </c>
      <c r="G225" s="128">
        <f t="shared" si="39"/>
        <v>0.3</v>
      </c>
      <c r="H225" s="128">
        <f t="shared" si="39"/>
        <v>0.3</v>
      </c>
      <c r="I225" s="128">
        <f t="shared" si="39"/>
        <v>0.3</v>
      </c>
      <c r="J225" s="128">
        <f t="shared" si="39"/>
        <v>0.3</v>
      </c>
      <c r="K225" s="128">
        <f t="shared" si="39"/>
        <v>0.3</v>
      </c>
      <c r="L225" s="128">
        <f t="shared" si="39"/>
        <v>0.3</v>
      </c>
      <c r="M225" s="128">
        <f t="shared" si="39"/>
        <v>0.3</v>
      </c>
      <c r="N225" s="128">
        <f t="shared" si="39"/>
        <v>0.3</v>
      </c>
      <c r="O225" s="128">
        <f t="shared" si="39"/>
        <v>0.3</v>
      </c>
      <c r="P225" s="128">
        <f t="shared" si="39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38"/>
        <v>0</v>
      </c>
      <c r="C226" s="128">
        <v>0.4</v>
      </c>
      <c r="D226" s="128">
        <f t="shared" si="39"/>
        <v>0.4</v>
      </c>
      <c r="E226" s="128">
        <f t="shared" si="39"/>
        <v>0.4</v>
      </c>
      <c r="F226" s="128">
        <f t="shared" si="39"/>
        <v>0.4</v>
      </c>
      <c r="G226" s="128">
        <f t="shared" si="39"/>
        <v>0.4</v>
      </c>
      <c r="H226" s="128">
        <f t="shared" si="39"/>
        <v>0.4</v>
      </c>
      <c r="I226" s="128">
        <f t="shared" si="39"/>
        <v>0.4</v>
      </c>
      <c r="J226" s="128">
        <f t="shared" si="39"/>
        <v>0.4</v>
      </c>
      <c r="K226" s="128">
        <f t="shared" si="39"/>
        <v>0.4</v>
      </c>
      <c r="L226" s="128">
        <f t="shared" si="39"/>
        <v>0.4</v>
      </c>
      <c r="M226" s="128">
        <f t="shared" si="39"/>
        <v>0.4</v>
      </c>
      <c r="N226" s="128">
        <f t="shared" si="39"/>
        <v>0.4</v>
      </c>
      <c r="O226" s="128">
        <f t="shared" si="39"/>
        <v>0.4</v>
      </c>
      <c r="P226" s="128">
        <f t="shared" si="39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38"/>
        <v>0</v>
      </c>
      <c r="C227" s="132">
        <v>0.64</v>
      </c>
      <c r="D227" s="132">
        <f t="shared" si="39"/>
        <v>0.64</v>
      </c>
      <c r="E227" s="132">
        <f t="shared" si="39"/>
        <v>0.64</v>
      </c>
      <c r="F227" s="132">
        <f t="shared" si="39"/>
        <v>0.64</v>
      </c>
      <c r="G227" s="132">
        <f t="shared" si="39"/>
        <v>0.64</v>
      </c>
      <c r="H227" s="132">
        <f t="shared" si="39"/>
        <v>0.64</v>
      </c>
      <c r="I227" s="132">
        <f t="shared" si="39"/>
        <v>0.64</v>
      </c>
      <c r="J227" s="132">
        <f t="shared" si="39"/>
        <v>0.64</v>
      </c>
      <c r="K227" s="132">
        <f t="shared" si="39"/>
        <v>0.64</v>
      </c>
      <c r="L227" s="132">
        <f t="shared" si="39"/>
        <v>0.64</v>
      </c>
      <c r="M227" s="132">
        <f t="shared" si="39"/>
        <v>0.64</v>
      </c>
      <c r="N227" s="132">
        <f t="shared" si="39"/>
        <v>0.64</v>
      </c>
      <c r="O227" s="132">
        <f t="shared" si="39"/>
        <v>0.64</v>
      </c>
      <c r="P227" s="132">
        <f t="shared" si="39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40">SUM(B222:B227)</f>
        <v>0</v>
      </c>
      <c r="C228" s="136">
        <f t="shared" si="40"/>
        <v>3.54</v>
      </c>
      <c r="D228" s="136">
        <f t="shared" si="40"/>
        <v>3.54</v>
      </c>
      <c r="E228" s="136">
        <f t="shared" si="40"/>
        <v>3.54</v>
      </c>
      <c r="F228" s="136">
        <f t="shared" si="40"/>
        <v>3.54</v>
      </c>
      <c r="G228" s="136">
        <f t="shared" si="40"/>
        <v>3.54</v>
      </c>
      <c r="H228" s="136">
        <f t="shared" si="40"/>
        <v>3.54</v>
      </c>
      <c r="I228" s="136">
        <f t="shared" ca="1" si="40"/>
        <v>3.54</v>
      </c>
      <c r="J228" s="136">
        <f t="shared" ca="1" si="40"/>
        <v>3.54</v>
      </c>
      <c r="K228" s="136">
        <f t="shared" ca="1" si="40"/>
        <v>3.54</v>
      </c>
      <c r="L228" s="136">
        <f t="shared" ca="1" si="40"/>
        <v>3.54</v>
      </c>
      <c r="M228" s="136">
        <f t="shared" ca="1" si="40"/>
        <v>3.54</v>
      </c>
      <c r="N228" s="136">
        <f t="shared" ca="1" si="40"/>
        <v>3.54</v>
      </c>
      <c r="O228" s="136">
        <f t="shared" ca="1" si="40"/>
        <v>3.54</v>
      </c>
      <c r="P228" s="136">
        <f t="shared" ca="1" si="40"/>
        <v>3.54</v>
      </c>
      <c r="Q228" s="136">
        <f t="shared" si="40"/>
        <v>0</v>
      </c>
      <c r="R228" s="136">
        <f t="shared" si="40"/>
        <v>0</v>
      </c>
      <c r="S228" s="136">
        <f t="shared" si="40"/>
        <v>0</v>
      </c>
      <c r="T228" s="136">
        <f t="shared" si="40"/>
        <v>0</v>
      </c>
      <c r="U228" s="136">
        <f t="shared" si="40"/>
        <v>0</v>
      </c>
      <c r="V228" s="136">
        <f t="shared" si="40"/>
        <v>0</v>
      </c>
      <c r="W228" s="136">
        <f t="shared" si="40"/>
        <v>0</v>
      </c>
      <c r="X228" s="136">
        <f t="shared" si="40"/>
        <v>0</v>
      </c>
      <c r="Y228" s="136">
        <f t="shared" si="40"/>
        <v>0</v>
      </c>
      <c r="Z228" s="136">
        <f t="shared" si="40"/>
        <v>0</v>
      </c>
      <c r="AA228" s="136">
        <f t="shared" si="40"/>
        <v>0</v>
      </c>
      <c r="AB228" s="136">
        <f t="shared" si="40"/>
        <v>0</v>
      </c>
      <c r="AC228" s="136">
        <f t="shared" si="40"/>
        <v>0</v>
      </c>
      <c r="AD228" s="136">
        <f t="shared" si="40"/>
        <v>0</v>
      </c>
      <c r="AE228" s="136">
        <f t="shared" si="40"/>
        <v>0</v>
      </c>
      <c r="AF228" s="136">
        <f t="shared" si="40"/>
        <v>0</v>
      </c>
      <c r="AG228" s="145">
        <f t="shared" si="40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1380.44</v>
      </c>
      <c r="C237" s="161">
        <f>INDEX(G9:N9,1,MATCH(MAX(G85:N85),G85:N85,0))</f>
        <v>0.375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28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str">
        <f ca="1">"Pie Chart of Daily Peak Demand(Inclusive of Export) of Nepal ("&amp;A4&amp;" "&amp;B4&amp;")"</f>
        <v>Pie Chart of Daily Peak Demand(Inclusive of Export) of Nepal (Nepali Date: 2079/10/28)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2079/10/28)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41">B85</f>
        <v>1075.1399999999999</v>
      </c>
      <c r="U242" s="170">
        <f t="shared" si="41"/>
        <v>1048.54</v>
      </c>
      <c r="V242" s="170">
        <f t="shared" si="41"/>
        <v>1039.94</v>
      </c>
      <c r="W242" s="170">
        <f t="shared" si="41"/>
        <v>1045.6400000000001</v>
      </c>
      <c r="X242" s="170">
        <f t="shared" si="41"/>
        <v>1044.1399999999999</v>
      </c>
      <c r="Y242" s="170">
        <f t="shared" si="41"/>
        <v>1103.74</v>
      </c>
      <c r="Z242" s="170">
        <f t="shared" si="41"/>
        <v>1129.1399999999999</v>
      </c>
      <c r="AA242" s="170">
        <f t="shared" si="41"/>
        <v>1177.6399999999999</v>
      </c>
      <c r="AB242" s="170">
        <f t="shared" si="41"/>
        <v>1209.8399999999999</v>
      </c>
      <c r="AC242" s="170">
        <f t="shared" si="41"/>
        <v>1165.6399999999999</v>
      </c>
      <c r="AD242" s="170">
        <f t="shared" si="41"/>
        <v>1280.7399999999998</v>
      </c>
      <c r="AE242" s="170">
        <f t="shared" si="41"/>
        <v>1332.6399999999999</v>
      </c>
      <c r="AF242" s="170">
        <f t="shared" si="41"/>
        <v>1380.44</v>
      </c>
      <c r="AG242" s="170">
        <f t="shared" si="41"/>
        <v>1349.94</v>
      </c>
      <c r="AH242" s="170">
        <f t="shared" si="41"/>
        <v>1223.54</v>
      </c>
      <c r="AI242" s="170">
        <f t="shared" si="41"/>
        <v>1230.94</v>
      </c>
      <c r="AJ242" s="170">
        <f t="shared" si="41"/>
        <v>1245.74</v>
      </c>
      <c r="AK242" s="170">
        <f t="shared" si="41"/>
        <v>1210.74</v>
      </c>
      <c r="AL242" s="170">
        <f t="shared" si="41"/>
        <v>1175.74</v>
      </c>
      <c r="AM242" s="170">
        <f t="shared" si="41"/>
        <v>1223.8400000000001</v>
      </c>
      <c r="AN242" s="170">
        <f t="shared" si="41"/>
        <v>1152.54</v>
      </c>
      <c r="AO242" s="170">
        <f t="shared" si="41"/>
        <v>1218.24</v>
      </c>
      <c r="AP242" s="170">
        <f t="shared" si="41"/>
        <v>1338.9399999999998</v>
      </c>
      <c r="AQ242" s="170">
        <f t="shared" si="41"/>
        <v>1510.14</v>
      </c>
      <c r="AR242" s="170">
        <f t="shared" si="41"/>
        <v>1400.64</v>
      </c>
      <c r="AS242" s="170">
        <f t="shared" si="41"/>
        <v>1380.14</v>
      </c>
      <c r="AT242" s="170">
        <f t="shared" si="41"/>
        <v>1310.3399999999999</v>
      </c>
      <c r="AU242" s="170">
        <f t="shared" si="41"/>
        <v>1232.3400000000001</v>
      </c>
      <c r="AV242" s="170">
        <f t="shared" si="41"/>
        <v>1220.44</v>
      </c>
      <c r="AW242" s="170">
        <f t="shared" si="41"/>
        <v>1135.04</v>
      </c>
      <c r="AX242" s="170">
        <f t="shared" si="41"/>
        <v>1042.8400000000001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42">C227</f>
        <v>0.64</v>
      </c>
      <c r="C263" s="173">
        <f t="shared" si="42"/>
        <v>0.64</v>
      </c>
      <c r="D263" s="173">
        <f t="shared" si="42"/>
        <v>0.64</v>
      </c>
      <c r="E263" s="173">
        <f t="shared" si="42"/>
        <v>0.64</v>
      </c>
      <c r="F263" s="173">
        <f t="shared" si="42"/>
        <v>0.64</v>
      </c>
      <c r="G263" s="173">
        <f t="shared" si="42"/>
        <v>0.64</v>
      </c>
      <c r="H263" s="173">
        <f t="shared" si="42"/>
        <v>0.64</v>
      </c>
      <c r="I263" s="173">
        <f t="shared" si="42"/>
        <v>0.64</v>
      </c>
      <c r="J263" s="173">
        <f t="shared" si="42"/>
        <v>0.64</v>
      </c>
      <c r="K263" s="173">
        <f t="shared" si="42"/>
        <v>0.64</v>
      </c>
      <c r="L263" s="173">
        <f t="shared" si="42"/>
        <v>0.64</v>
      </c>
      <c r="M263" s="173">
        <f t="shared" si="42"/>
        <v>0.64</v>
      </c>
      <c r="N263" s="173">
        <f t="shared" si="42"/>
        <v>0.64</v>
      </c>
      <c r="O263" s="173">
        <f t="shared" si="42"/>
        <v>0.64</v>
      </c>
      <c r="P263" s="173">
        <f t="shared" si="42"/>
        <v>0</v>
      </c>
      <c r="Q263" s="173">
        <f t="shared" si="42"/>
        <v>0</v>
      </c>
      <c r="R263" s="173">
        <f t="shared" si="42"/>
        <v>0</v>
      </c>
      <c r="S263" s="173">
        <f t="shared" si="42"/>
        <v>0</v>
      </c>
      <c r="T263" s="173">
        <f t="shared" si="42"/>
        <v>0</v>
      </c>
      <c r="U263" s="173">
        <f t="shared" si="42"/>
        <v>0</v>
      </c>
      <c r="V263" s="173">
        <f t="shared" si="42"/>
        <v>0</v>
      </c>
      <c r="W263" s="173">
        <f t="shared" si="42"/>
        <v>0</v>
      </c>
      <c r="X263" s="173">
        <f t="shared" si="42"/>
        <v>0</v>
      </c>
      <c r="Y263" s="173">
        <f t="shared" si="42"/>
        <v>0</v>
      </c>
      <c r="Z263" s="173">
        <f t="shared" si="42"/>
        <v>0</v>
      </c>
      <c r="AA263" s="173">
        <f t="shared" si="42"/>
        <v>0</v>
      </c>
      <c r="AB263" s="173">
        <f t="shared" si="42"/>
        <v>0</v>
      </c>
      <c r="AC263" s="173">
        <f t="shared" si="42"/>
        <v>0</v>
      </c>
      <c r="AD263" s="173">
        <f t="shared" si="42"/>
        <v>0</v>
      </c>
      <c r="AE263" s="173">
        <f t="shared" si="42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43">IF(B231&lt;100,"",B231-520)</f>
        <v/>
      </c>
      <c r="C264" s="174" t="str">
        <f t="shared" si="43"/>
        <v/>
      </c>
      <c r="D264" s="174" t="str">
        <f t="shared" si="43"/>
        <v/>
      </c>
      <c r="E264" s="174" t="str">
        <f t="shared" si="43"/>
        <v/>
      </c>
      <c r="F264" s="174" t="str">
        <f t="shared" si="43"/>
        <v/>
      </c>
      <c r="G264" s="174" t="str">
        <f t="shared" si="43"/>
        <v/>
      </c>
      <c r="H264" s="174" t="str">
        <f t="shared" si="43"/>
        <v/>
      </c>
      <c r="I264" s="174" t="str">
        <f t="shared" si="43"/>
        <v/>
      </c>
      <c r="J264" s="174" t="str">
        <f t="shared" si="43"/>
        <v/>
      </c>
      <c r="K264" s="174" t="str">
        <f t="shared" si="43"/>
        <v/>
      </c>
      <c r="L264" s="174" t="str">
        <f t="shared" si="43"/>
        <v/>
      </c>
      <c r="M264" s="174" t="str">
        <f t="shared" si="43"/>
        <v/>
      </c>
      <c r="N264" s="174" t="str">
        <f t="shared" si="43"/>
        <v/>
      </c>
      <c r="O264" s="174" t="str">
        <f t="shared" si="43"/>
        <v/>
      </c>
      <c r="P264" s="174" t="str">
        <f t="shared" si="43"/>
        <v/>
      </c>
      <c r="Q264" s="174" t="str">
        <f t="shared" si="43"/>
        <v/>
      </c>
      <c r="R264" s="174" t="str">
        <f t="shared" si="43"/>
        <v/>
      </c>
      <c r="S264" s="174" t="str">
        <f t="shared" si="43"/>
        <v/>
      </c>
      <c r="T264" s="174" t="str">
        <f t="shared" si="43"/>
        <v/>
      </c>
      <c r="U264" s="174" t="str">
        <f t="shared" si="43"/>
        <v/>
      </c>
      <c r="V264" s="174" t="str">
        <f t="shared" si="43"/>
        <v/>
      </c>
      <c r="W264" s="174" t="str">
        <f t="shared" si="43"/>
        <v/>
      </c>
      <c r="X264" s="174" t="str">
        <f t="shared" si="43"/>
        <v/>
      </c>
      <c r="Y264" s="174" t="str">
        <f t="shared" si="43"/>
        <v/>
      </c>
      <c r="Z264" s="174" t="str">
        <f t="shared" si="43"/>
        <v/>
      </c>
      <c r="AA264" s="174" t="str">
        <f t="shared" si="43"/>
        <v/>
      </c>
      <c r="AB264" s="174" t="str">
        <f t="shared" si="43"/>
        <v/>
      </c>
      <c r="AC264" s="174" t="str">
        <f t="shared" si="43"/>
        <v/>
      </c>
      <c r="AD264" s="174" t="str">
        <f t="shared" si="43"/>
        <v/>
      </c>
      <c r="AE264" s="174" t="str">
        <f t="shared" si="43"/>
        <v/>
      </c>
      <c r="AF264" s="174" t="str">
        <f t="shared" si="43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44">IF(B232&lt;100,"",B232-620)</f>
        <v/>
      </c>
      <c r="C265" s="174" t="str">
        <f t="shared" si="44"/>
        <v/>
      </c>
      <c r="D265" s="174" t="str">
        <f t="shared" si="44"/>
        <v/>
      </c>
      <c r="E265" s="174" t="str">
        <f t="shared" si="44"/>
        <v/>
      </c>
      <c r="F265" s="174" t="str">
        <f t="shared" si="44"/>
        <v/>
      </c>
      <c r="G265" s="174" t="str">
        <f t="shared" si="44"/>
        <v/>
      </c>
      <c r="H265" s="174" t="str">
        <f t="shared" si="44"/>
        <v/>
      </c>
      <c r="I265" s="174" t="str">
        <f t="shared" si="44"/>
        <v/>
      </c>
      <c r="J265" s="174" t="str">
        <f t="shared" si="44"/>
        <v/>
      </c>
      <c r="K265" s="174" t="str">
        <f t="shared" si="44"/>
        <v/>
      </c>
      <c r="L265" s="174" t="str">
        <f t="shared" si="44"/>
        <v/>
      </c>
      <c r="M265" s="174" t="str">
        <f t="shared" si="44"/>
        <v/>
      </c>
      <c r="N265" s="174" t="str">
        <f t="shared" si="44"/>
        <v/>
      </c>
      <c r="O265" s="174" t="str">
        <f t="shared" si="44"/>
        <v/>
      </c>
      <c r="P265" s="174" t="str">
        <f t="shared" si="44"/>
        <v/>
      </c>
      <c r="Q265" s="174" t="str">
        <f t="shared" si="44"/>
        <v/>
      </c>
      <c r="R265" s="174" t="str">
        <f t="shared" si="44"/>
        <v/>
      </c>
      <c r="S265" s="174" t="str">
        <f t="shared" si="44"/>
        <v/>
      </c>
      <c r="T265" s="174" t="str">
        <f t="shared" si="44"/>
        <v/>
      </c>
      <c r="U265" s="174" t="str">
        <f t="shared" si="44"/>
        <v/>
      </c>
      <c r="V265" s="174" t="str">
        <f t="shared" si="44"/>
        <v/>
      </c>
      <c r="W265" s="174" t="str">
        <f t="shared" si="44"/>
        <v/>
      </c>
      <c r="X265" s="174" t="str">
        <f t="shared" si="44"/>
        <v/>
      </c>
      <c r="Y265" s="174" t="str">
        <f t="shared" si="44"/>
        <v/>
      </c>
      <c r="Z265" s="174" t="str">
        <f t="shared" si="44"/>
        <v/>
      </c>
      <c r="AA265" s="174" t="str">
        <f t="shared" si="44"/>
        <v/>
      </c>
      <c r="AB265" s="174" t="str">
        <f t="shared" si="44"/>
        <v/>
      </c>
      <c r="AC265" s="174" t="str">
        <f t="shared" si="44"/>
        <v/>
      </c>
      <c r="AD265" s="174" t="str">
        <f t="shared" si="44"/>
        <v/>
      </c>
      <c r="AE265" s="174" t="str">
        <f t="shared" si="44"/>
        <v/>
      </c>
      <c r="AF265" s="174" t="str">
        <f t="shared" si="44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45">IF(B233&lt;100,"",B233-330)</f>
        <v/>
      </c>
      <c r="C266" s="174" t="str">
        <f t="shared" si="45"/>
        <v/>
      </c>
      <c r="D266" s="174" t="str">
        <f t="shared" si="45"/>
        <v/>
      </c>
      <c r="E266" s="174" t="str">
        <f t="shared" si="45"/>
        <v/>
      </c>
      <c r="F266" s="174" t="str">
        <f t="shared" si="45"/>
        <v/>
      </c>
      <c r="G266" s="174" t="str">
        <f t="shared" si="45"/>
        <v/>
      </c>
      <c r="H266" s="174" t="str">
        <f t="shared" si="45"/>
        <v/>
      </c>
      <c r="I266" s="174" t="str">
        <f t="shared" si="45"/>
        <v/>
      </c>
      <c r="J266" s="174" t="str">
        <f t="shared" si="45"/>
        <v/>
      </c>
      <c r="K266" s="174" t="str">
        <f t="shared" si="45"/>
        <v/>
      </c>
      <c r="L266" s="174" t="str">
        <f t="shared" si="45"/>
        <v/>
      </c>
      <c r="M266" s="174" t="str">
        <f t="shared" si="45"/>
        <v/>
      </c>
      <c r="N266" s="174" t="str">
        <f t="shared" si="45"/>
        <v/>
      </c>
      <c r="O266" s="174" t="str">
        <f t="shared" si="45"/>
        <v/>
      </c>
      <c r="P266" s="174" t="str">
        <f t="shared" si="45"/>
        <v/>
      </c>
      <c r="Q266" s="174" t="str">
        <f t="shared" si="45"/>
        <v/>
      </c>
      <c r="R266" s="174" t="str">
        <f t="shared" si="45"/>
        <v/>
      </c>
      <c r="S266" s="174" t="str">
        <f t="shared" si="45"/>
        <v/>
      </c>
      <c r="T266" s="174" t="str">
        <f t="shared" si="45"/>
        <v/>
      </c>
      <c r="U266" s="174" t="str">
        <f t="shared" si="45"/>
        <v/>
      </c>
      <c r="V266" s="174" t="str">
        <f t="shared" si="45"/>
        <v/>
      </c>
      <c r="W266" s="174" t="str">
        <f t="shared" si="45"/>
        <v/>
      </c>
      <c r="X266" s="174" t="str">
        <f t="shared" si="45"/>
        <v/>
      </c>
      <c r="Y266" s="174" t="str">
        <f t="shared" si="45"/>
        <v/>
      </c>
      <c r="Z266" s="174" t="str">
        <f t="shared" si="45"/>
        <v/>
      </c>
      <c r="AA266" s="174" t="str">
        <f t="shared" si="45"/>
        <v/>
      </c>
      <c r="AB266" s="174" t="str">
        <f t="shared" si="45"/>
        <v/>
      </c>
      <c r="AC266" s="174" t="str">
        <f t="shared" si="45"/>
        <v/>
      </c>
      <c r="AD266" s="174" t="str">
        <f t="shared" si="45"/>
        <v/>
      </c>
      <c r="AE266" s="174" t="str">
        <f t="shared" si="45"/>
        <v/>
      </c>
      <c r="AF266" s="174" t="str">
        <f t="shared" si="45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46">IF(B234&lt;100,"",B234-1500)</f>
        <v/>
      </c>
      <c r="C267" s="174" t="str">
        <f t="shared" si="46"/>
        <v/>
      </c>
      <c r="D267" s="174" t="str">
        <f t="shared" si="46"/>
        <v/>
      </c>
      <c r="E267" s="174" t="str">
        <f t="shared" si="46"/>
        <v/>
      </c>
      <c r="F267" s="174" t="str">
        <f t="shared" si="46"/>
        <v/>
      </c>
      <c r="G267" s="174" t="str">
        <f t="shared" si="46"/>
        <v/>
      </c>
      <c r="H267" s="174" t="str">
        <f t="shared" si="46"/>
        <v/>
      </c>
      <c r="I267" s="174" t="str">
        <f t="shared" si="46"/>
        <v/>
      </c>
      <c r="J267" s="174" t="str">
        <f t="shared" si="46"/>
        <v/>
      </c>
      <c r="K267" s="174" t="str">
        <f t="shared" si="46"/>
        <v/>
      </c>
      <c r="L267" s="174" t="str">
        <f t="shared" si="46"/>
        <v/>
      </c>
      <c r="M267" s="174" t="str">
        <f t="shared" si="46"/>
        <v/>
      </c>
      <c r="N267" s="174" t="str">
        <f t="shared" si="46"/>
        <v/>
      </c>
      <c r="O267" s="174" t="str">
        <f t="shared" si="46"/>
        <v/>
      </c>
      <c r="P267" s="174" t="str">
        <f t="shared" si="46"/>
        <v/>
      </c>
      <c r="Q267" s="174" t="str">
        <f t="shared" si="46"/>
        <v/>
      </c>
      <c r="R267" s="174" t="str">
        <f t="shared" si="46"/>
        <v/>
      </c>
      <c r="S267" s="174" t="str">
        <f t="shared" si="46"/>
        <v/>
      </c>
      <c r="T267" s="174" t="str">
        <f t="shared" si="46"/>
        <v/>
      </c>
      <c r="U267" s="174" t="str">
        <f t="shared" si="46"/>
        <v/>
      </c>
      <c r="V267" s="174" t="str">
        <f t="shared" si="46"/>
        <v/>
      </c>
      <c r="W267" s="174" t="str">
        <f t="shared" si="46"/>
        <v/>
      </c>
      <c r="X267" s="174" t="str">
        <f t="shared" si="46"/>
        <v/>
      </c>
      <c r="Y267" s="174" t="str">
        <f t="shared" si="46"/>
        <v/>
      </c>
      <c r="Z267" s="174" t="str">
        <f t="shared" si="46"/>
        <v/>
      </c>
      <c r="AA267" s="174" t="str">
        <f t="shared" si="46"/>
        <v/>
      </c>
      <c r="AB267" s="174" t="str">
        <f t="shared" si="46"/>
        <v/>
      </c>
      <c r="AC267" s="174" t="str">
        <f t="shared" si="46"/>
        <v/>
      </c>
      <c r="AD267" s="174" t="str">
        <f t="shared" si="46"/>
        <v/>
      </c>
      <c r="AE267" s="174" t="str">
        <f t="shared" si="46"/>
        <v/>
      </c>
      <c r="AF267" s="174" t="str">
        <f t="shared" si="46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33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32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E105:AF105 E107:AF112 Y11:AF41">
    <cfRule type="expression" dxfId="2266" priority="328">
      <formula>B$9&gt;=20/24</formula>
    </cfRule>
    <cfRule type="expression" dxfId="2265" priority="329">
      <formula>AND(B$9&gt;=14/24,B$9&lt;20/24)</formula>
    </cfRule>
    <cfRule type="expression" dxfId="2264" priority="330">
      <formula>AND(B$9&gt;=8/24,B$9&lt;14/24)</formula>
    </cfRule>
    <cfRule type="expression" dxfId="2263" priority="331">
      <formula>B$9&lt;8/24</formula>
    </cfRule>
  </conditionalFormatting>
  <conditionalFormatting sqref="AL4:AL6">
    <cfRule type="iconSet" priority="327">
      <iconSet iconSet="3TrafficLights2" reverse="1">
        <cfvo type="percent" val="0"/>
        <cfvo type="num" val="1"/>
        <cfvo type="num" val="1"/>
      </iconSet>
    </cfRule>
  </conditionalFormatting>
  <conditionalFormatting sqref="AG61 Y11:AF41">
    <cfRule type="expression" dxfId="2262" priority="326">
      <formula>Y11&gt;$AG11</formula>
    </cfRule>
  </conditionalFormatting>
  <conditionalFormatting sqref="A95:A105 A55:A82 A91:A93 A198:A228 A42:A53 A114:A185 A38:A39 A87:A89 A84:A85 A107:A109 A35:A36 A17:A18 A11:A15 A20:A33">
    <cfRule type="expression" dxfId="2261" priority="325">
      <formula>$AH11=0</formula>
    </cfRule>
  </conditionalFormatting>
  <conditionalFormatting sqref="A110">
    <cfRule type="expression" dxfId="2260" priority="324">
      <formula>$AH110=0</formula>
    </cfRule>
  </conditionalFormatting>
  <conditionalFormatting sqref="AL39">
    <cfRule type="iconSet" priority="323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2259" priority="322">
      <formula>$AH41=0</formula>
    </cfRule>
  </conditionalFormatting>
  <conditionalFormatting sqref="A94">
    <cfRule type="expression" dxfId="2258" priority="321">
      <formula>$AH94=0</formula>
    </cfRule>
  </conditionalFormatting>
  <conditionalFormatting sqref="A16">
    <cfRule type="expression" dxfId="2257" priority="320">
      <formula>$AH16=0</formula>
    </cfRule>
  </conditionalFormatting>
  <conditionalFormatting sqref="A192:A197">
    <cfRule type="expression" dxfId="2256" priority="319">
      <formula>$AH192=0</formula>
    </cfRule>
  </conditionalFormatting>
  <conditionalFormatting sqref="A186:A191">
    <cfRule type="expression" dxfId="2255" priority="318">
      <formula>$AH186=0</formula>
    </cfRule>
  </conditionalFormatting>
  <conditionalFormatting sqref="A54">
    <cfRule type="expression" dxfId="2254" priority="317">
      <formula>$AH54=0</formula>
    </cfRule>
  </conditionalFormatting>
  <conditionalFormatting sqref="A90">
    <cfRule type="expression" dxfId="2253" priority="316">
      <formula>$AH90=0</formula>
    </cfRule>
  </conditionalFormatting>
  <conditionalFormatting sqref="AD95:AF95 E95:X95">
    <cfRule type="expression" dxfId="2252" priority="312">
      <formula>E$9&gt;=20/24</formula>
    </cfRule>
    <cfRule type="expression" dxfId="2251" priority="313">
      <formula>AND(E$9&gt;=14/24,E$9&lt;20/24)</formula>
    </cfRule>
    <cfRule type="expression" dxfId="2250" priority="314">
      <formula>AND(E$9&gt;=8/24,E$9&lt;14/24)</formula>
    </cfRule>
    <cfRule type="expression" dxfId="2249" priority="315">
      <formula>E$9&lt;8/24</formula>
    </cfRule>
  </conditionalFormatting>
  <conditionalFormatting sqref="AL40">
    <cfRule type="iconSet" priority="31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248" priority="334">
      <formula>C$9&gt;=20/24</formula>
    </cfRule>
    <cfRule type="expression" dxfId="2247" priority="335">
      <formula>AND(C$9&gt;=14/24,C$9&lt;20/24)</formula>
    </cfRule>
    <cfRule type="expression" dxfId="2246" priority="336">
      <formula>AND(C$9&gt;=8/24,C$9&lt;14/24)</formula>
    </cfRule>
    <cfRule type="expression" dxfId="2245" priority="337">
      <formula>C$9&lt;8/24</formula>
    </cfRule>
  </conditionalFormatting>
  <conditionalFormatting sqref="A229">
    <cfRule type="expression" dxfId="2244" priority="338">
      <formula>$AH229=0</formula>
    </cfRule>
  </conditionalFormatting>
  <conditionalFormatting sqref="AG241">
    <cfRule type="expression" dxfId="2243" priority="339">
      <formula>B$9&gt;=20/24</formula>
    </cfRule>
    <cfRule type="expression" dxfId="2242" priority="340">
      <formula>AND(B$9&gt;=14/24,B$9&lt;20/24)</formula>
    </cfRule>
    <cfRule type="expression" dxfId="2241" priority="341">
      <formula>AND(B$9&gt;=8/24,B$9&lt;14/24)</formula>
    </cfRule>
    <cfRule type="expression" dxfId="2240" priority="342">
      <formula>B$9&lt;8/24</formula>
    </cfRule>
  </conditionalFormatting>
  <conditionalFormatting sqref="S8">
    <cfRule type="expression" dxfId="2239" priority="307">
      <formula>U$9&gt;=20/24</formula>
    </cfRule>
    <cfRule type="expression" dxfId="2238" priority="308">
      <formula>AND(U$9&gt;=14/24,U$9&lt;20/24)</formula>
    </cfRule>
    <cfRule type="expression" dxfId="2237" priority="309">
      <formula>AND(U$9&gt;=8/24,U$9&lt;14/24)</formula>
    </cfRule>
    <cfRule type="expression" dxfId="2236" priority="310">
      <formula>U$9&lt;8/24</formula>
    </cfRule>
  </conditionalFormatting>
  <conditionalFormatting sqref="AB8">
    <cfRule type="expression" dxfId="2235" priority="303">
      <formula>AD$9&gt;=20/24</formula>
    </cfRule>
    <cfRule type="expression" dxfId="2234" priority="304">
      <formula>AND(AD$9&gt;=14/24,AD$9&lt;20/24)</formula>
    </cfRule>
    <cfRule type="expression" dxfId="2233" priority="305">
      <formula>AND(AD$9&gt;=8/24,AD$9&lt;14/24)</formula>
    </cfRule>
    <cfRule type="expression" dxfId="2232" priority="306">
      <formula>AD$9&lt;8/24</formula>
    </cfRule>
  </conditionalFormatting>
  <conditionalFormatting sqref="AH241:AX241">
    <cfRule type="expression" dxfId="2231" priority="343">
      <formula>AG$9&gt;=20/24</formula>
    </cfRule>
    <cfRule type="expression" dxfId="2230" priority="344">
      <formula>AND(AG$9&gt;=14/24,AG$9&lt;20/24)</formula>
    </cfRule>
    <cfRule type="expression" dxfId="2229" priority="345">
      <formula>AND(AG$9&gt;=8/24,AG$9&lt;14/24)</formula>
    </cfRule>
    <cfRule type="expression" dxfId="2228" priority="346">
      <formula>AG$9&lt;8/24</formula>
    </cfRule>
  </conditionalFormatting>
  <conditionalFormatting sqref="T241">
    <cfRule type="expression" dxfId="2227" priority="347">
      <formula>AX$9&gt;=20/24</formula>
    </cfRule>
    <cfRule type="expression" dxfId="2226" priority="348">
      <formula>AND(AX$9&gt;=14/24,AX$9&lt;20/24)</formula>
    </cfRule>
    <cfRule type="expression" dxfId="2225" priority="349">
      <formula>AND(AX$9&gt;=8/24,AX$9&lt;14/24)</formula>
    </cfRule>
    <cfRule type="expression" dxfId="2224" priority="350">
      <formula>AX$9&lt;8/24</formula>
    </cfRule>
  </conditionalFormatting>
  <conditionalFormatting sqref="A111:A112">
    <cfRule type="expression" dxfId="2223" priority="302">
      <formula>$AH111=0</formula>
    </cfRule>
  </conditionalFormatting>
  <conditionalFormatting sqref="Q50:Q52 E67:AF67 AB50:AF51 Y52:AF53">
    <cfRule type="expression" dxfId="2222" priority="298">
      <formula>E$9&gt;=20/24</formula>
    </cfRule>
    <cfRule type="expression" dxfId="2221" priority="299">
      <formula>AND(E$9&gt;=14/24,E$9&lt;20/24)</formula>
    </cfRule>
    <cfRule type="expression" dxfId="2220" priority="300">
      <formula>AND(E$9&gt;=8/24,E$9&lt;14/24)</formula>
    </cfRule>
    <cfRule type="expression" dxfId="2219" priority="301">
      <formula>E$9&lt;8/24</formula>
    </cfRule>
  </conditionalFormatting>
  <conditionalFormatting sqref="Q49 AB49:AF49">
    <cfRule type="expression" dxfId="2218" priority="294">
      <formula>Q$9&gt;=20/24</formula>
    </cfRule>
    <cfRule type="expression" dxfId="2217" priority="295">
      <formula>AND(Q$9&gt;=14/24,Q$9&lt;20/24)</formula>
    </cfRule>
    <cfRule type="expression" dxfId="2216" priority="296">
      <formula>AND(Q$9&gt;=8/24,Q$9&lt;14/24)</formula>
    </cfRule>
    <cfRule type="expression" dxfId="2215" priority="297">
      <formula>Q$9&lt;8/24</formula>
    </cfRule>
  </conditionalFormatting>
  <conditionalFormatting sqref="Q49:Q52 AB49:AF51 Y52:AF53">
    <cfRule type="expression" dxfId="2214" priority="293">
      <formula>Q49&gt;$AG49</formula>
    </cfRule>
  </conditionalFormatting>
  <conditionalFormatting sqref="E82:AF82 X43:AF43 Y63:AF65 X92:AF92 AD96:AF102 E68:AA69 M96:X102 Y70:AA70 AB68:AF70">
    <cfRule type="expression" dxfId="2213" priority="289">
      <formula>E$9&gt;=20/24</formula>
    </cfRule>
    <cfRule type="expression" dxfId="2212" priority="290">
      <formula>AND(E$9&gt;=14/24,E$9&lt;20/24)</formula>
    </cfRule>
    <cfRule type="expression" dxfId="2211" priority="291">
      <formula>AND(E$9&gt;=8/24,E$9&lt;14/24)</formula>
    </cfRule>
    <cfRule type="expression" dxfId="2210" priority="292">
      <formula>E$9&lt;8/24</formula>
    </cfRule>
  </conditionalFormatting>
  <conditionalFormatting sqref="X43:AF43 Y63:AF65">
    <cfRule type="expression" dxfId="2209" priority="288">
      <formula>X43&gt;$AG43</formula>
    </cfRule>
  </conditionalFormatting>
  <conditionalFormatting sqref="R49:U52 V49:X53 Y49:AA51">
    <cfRule type="expression" dxfId="2208" priority="284">
      <formula>R$9&gt;=20/24</formula>
    </cfRule>
    <cfRule type="expression" dxfId="2207" priority="285">
      <formula>AND(R$9&gt;=14/24,R$9&lt;20/24)</formula>
    </cfRule>
    <cfRule type="expression" dxfId="2206" priority="286">
      <formula>AND(R$9&gt;=8/24,R$9&lt;14/24)</formula>
    </cfRule>
    <cfRule type="expression" dxfId="2205" priority="287">
      <formula>R$9&lt;8/24</formula>
    </cfRule>
  </conditionalFormatting>
  <conditionalFormatting sqref="R49:U52 V49:X53 Y49:AA51">
    <cfRule type="expression" dxfId="2204" priority="283">
      <formula>R49&gt;$AG49</formula>
    </cfRule>
  </conditionalFormatting>
  <conditionalFormatting sqref="C84:AF84 C93:AF93">
    <cfRule type="expression" dxfId="2203" priority="279">
      <formula>C$9&gt;=20/24</formula>
    </cfRule>
    <cfRule type="expression" dxfId="2202" priority="280">
      <formula>AND(C$9&gt;=14/24,C$9&lt;20/24)</formula>
    </cfRule>
    <cfRule type="expression" dxfId="2201" priority="281">
      <formula>AND(C$9&gt;=8/24,C$9&lt;14/24)</formula>
    </cfRule>
    <cfRule type="expression" dxfId="2200" priority="282">
      <formula>C$9&lt;8/24</formula>
    </cfRule>
  </conditionalFormatting>
  <conditionalFormatting sqref="T43:W43">
    <cfRule type="expression" dxfId="2199" priority="275">
      <formula>T$9&gt;=20/24</formula>
    </cfRule>
    <cfRule type="expression" dxfId="2198" priority="276">
      <formula>AND(T$9&gt;=14/24,T$9&lt;20/24)</formula>
    </cfRule>
    <cfRule type="expression" dxfId="2197" priority="277">
      <formula>AND(T$9&gt;=8/24,T$9&lt;14/24)</formula>
    </cfRule>
    <cfRule type="expression" dxfId="2196" priority="278">
      <formula>T$9&lt;8/24</formula>
    </cfRule>
  </conditionalFormatting>
  <conditionalFormatting sqref="T43:W43">
    <cfRule type="expression" dxfId="2195" priority="274">
      <formula>T43&gt;$AG43</formula>
    </cfRule>
  </conditionalFormatting>
  <conditionalFormatting sqref="F50:P51 Y42:AF42">
    <cfRule type="expression" dxfId="2194" priority="270">
      <formula>F$9&gt;=20/24</formula>
    </cfRule>
    <cfRule type="expression" dxfId="2193" priority="271">
      <formula>AND(F$9&gt;=14/24,F$9&lt;20/24)</formula>
    </cfRule>
    <cfRule type="expression" dxfId="2192" priority="272">
      <formula>AND(F$9&gt;=8/24,F$9&lt;14/24)</formula>
    </cfRule>
    <cfRule type="expression" dxfId="2191" priority="273">
      <formula>F$9&lt;8/24</formula>
    </cfRule>
  </conditionalFormatting>
  <conditionalFormatting sqref="F49:P49">
    <cfRule type="expression" dxfId="2190" priority="266">
      <formula>F$9&gt;=20/24</formula>
    </cfRule>
    <cfRule type="expression" dxfId="2189" priority="267">
      <formula>AND(F$9&gt;=14/24,F$9&lt;20/24)</formula>
    </cfRule>
    <cfRule type="expression" dxfId="2188" priority="268">
      <formula>AND(F$9&gt;=8/24,F$9&lt;14/24)</formula>
    </cfRule>
    <cfRule type="expression" dxfId="2187" priority="269">
      <formula>F$9&lt;8/24</formula>
    </cfRule>
  </conditionalFormatting>
  <conditionalFormatting sqref="F49:P51 Y42:AF42">
    <cfRule type="expression" dxfId="2186" priority="265">
      <formula>F42&gt;$AG42</formula>
    </cfRule>
  </conditionalFormatting>
  <conditionalFormatting sqref="AG66 AG83 E96:L102 Q63:X65">
    <cfRule type="expression" dxfId="2185" priority="261">
      <formula>E$9&gt;=20/24</formula>
    </cfRule>
    <cfRule type="expression" dxfId="2184" priority="262">
      <formula>AND(E$9&gt;=14/24,E$9&lt;20/24)</formula>
    </cfRule>
    <cfRule type="expression" dxfId="2183" priority="263">
      <formula>AND(E$9&gt;=8/24,E$9&lt;14/24)</formula>
    </cfRule>
    <cfRule type="expression" dxfId="2182" priority="264">
      <formula>E$9&lt;8/24</formula>
    </cfRule>
  </conditionalFormatting>
  <conditionalFormatting sqref="AG44 AG62 AG66 Q63:X65">
    <cfRule type="expression" dxfId="2181" priority="260">
      <formula>Q44&gt;$AG44</formula>
    </cfRule>
  </conditionalFormatting>
  <conditionalFormatting sqref="Y54:AF54">
    <cfRule type="expression" dxfId="2180" priority="256">
      <formula>Y$9&gt;=20/24</formula>
    </cfRule>
    <cfRule type="expression" dxfId="2179" priority="257">
      <formula>AND(Y$9&gt;=14/24,Y$9&lt;20/24)</formula>
    </cfRule>
    <cfRule type="expression" dxfId="2178" priority="258">
      <formula>AND(Y$9&gt;=8/24,Y$9&lt;14/24)</formula>
    </cfRule>
    <cfRule type="expression" dxfId="2177" priority="259">
      <formula>Y$9&lt;8/24</formula>
    </cfRule>
  </conditionalFormatting>
  <conditionalFormatting sqref="Y54:AF54">
    <cfRule type="expression" dxfId="2176" priority="255">
      <formula>Y54&gt;$AG54</formula>
    </cfRule>
  </conditionalFormatting>
  <conditionalFormatting sqref="A40">
    <cfRule type="expression" dxfId="2175" priority="254">
      <formula>$AH40=0</formula>
    </cfRule>
  </conditionalFormatting>
  <conditionalFormatting sqref="X87:AF91">
    <cfRule type="expression" dxfId="2174" priority="250">
      <formula>X$9&gt;=20/24</formula>
    </cfRule>
    <cfRule type="expression" dxfId="2173" priority="251">
      <formula>AND(X$9&gt;=14/24,X$9&lt;20/24)</formula>
    </cfRule>
    <cfRule type="expression" dxfId="2172" priority="252">
      <formula>AND(X$9&gt;=8/24,X$9&lt;14/24)</formula>
    </cfRule>
    <cfRule type="expression" dxfId="2171" priority="253">
      <formula>X$9&lt;8/24</formula>
    </cfRule>
  </conditionalFormatting>
  <conditionalFormatting sqref="AL41 AL38 AL20:AL33 AL35:AL36 AL7:AL18">
    <cfRule type="iconSet" priority="351">
      <iconSet iconSet="3TrafficLights2" reverse="1">
        <cfvo type="percent" val="0"/>
        <cfvo type="num" val="1"/>
        <cfvo type="num" val="1"/>
      </iconSet>
    </cfRule>
  </conditionalFormatting>
  <conditionalFormatting sqref="E45:AF47">
    <cfRule type="expression" dxfId="2170" priority="246">
      <formula>E$9&gt;=20/24</formula>
    </cfRule>
    <cfRule type="expression" dxfId="2169" priority="247">
      <formula>AND(E$9&gt;=14/24,E$9&lt;20/24)</formula>
    </cfRule>
    <cfRule type="expression" dxfId="2168" priority="248">
      <formula>AND(E$9&gt;=8/24,E$9&lt;14/24)</formula>
    </cfRule>
    <cfRule type="expression" dxfId="2167" priority="249">
      <formula>E$9&lt;8/24</formula>
    </cfRule>
  </conditionalFormatting>
  <conditionalFormatting sqref="E45:AF47">
    <cfRule type="expression" dxfId="2166" priority="245">
      <formula>E45&gt;$AG45</formula>
    </cfRule>
  </conditionalFormatting>
  <conditionalFormatting sqref="AG48">
    <cfRule type="expression" dxfId="2165" priority="241">
      <formula>AG$9&gt;=20/24</formula>
    </cfRule>
    <cfRule type="expression" dxfId="2164" priority="242">
      <formula>AND(AG$9&gt;=14/24,AG$9&lt;20/24)</formula>
    </cfRule>
    <cfRule type="expression" dxfId="2163" priority="243">
      <formula>AND(AG$9&gt;=8/24,AG$9&lt;14/24)</formula>
    </cfRule>
    <cfRule type="expression" dxfId="2162" priority="244">
      <formula>AG$9&lt;8/24</formula>
    </cfRule>
  </conditionalFormatting>
  <conditionalFormatting sqref="AG48">
    <cfRule type="expression" dxfId="2161" priority="240">
      <formula>AG48&gt;$AG48</formula>
    </cfRule>
  </conditionalFormatting>
  <conditionalFormatting sqref="C103:AF103">
    <cfRule type="expression" dxfId="2160" priority="236">
      <formula>C$9&gt;=20/24</formula>
    </cfRule>
    <cfRule type="expression" dxfId="2159" priority="237">
      <formula>AND(C$9&gt;=14/24,C$9&lt;20/24)</formula>
    </cfRule>
    <cfRule type="expression" dxfId="2158" priority="238">
      <formula>AND(C$9&gt;=8/24,C$9&lt;14/24)</formula>
    </cfRule>
    <cfRule type="expression" dxfId="2157" priority="239">
      <formula>C$9&lt;8/24</formula>
    </cfRule>
  </conditionalFormatting>
  <conditionalFormatting sqref="AL37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2156" priority="234">
      <formula>$AH37=0</formula>
    </cfRule>
  </conditionalFormatting>
  <conditionalFormatting sqref="A86">
    <cfRule type="expression" dxfId="2155" priority="232">
      <formula>$AH86=0</formula>
    </cfRule>
  </conditionalFormatting>
  <conditionalFormatting sqref="A83">
    <cfRule type="expression" dxfId="2154" priority="233">
      <formula>$AH83=0</formula>
    </cfRule>
  </conditionalFormatting>
  <conditionalFormatting sqref="E106:AF106">
    <cfRule type="expression" dxfId="2153" priority="220">
      <formula>E$9&gt;=20/24</formula>
    </cfRule>
    <cfRule type="expression" dxfId="2152" priority="221">
      <formula>AND(E$9&gt;=14/24,E$9&lt;20/24)</formula>
    </cfRule>
    <cfRule type="expression" dxfId="2151" priority="222">
      <formula>AND(E$9&gt;=8/24,E$9&lt;14/24)</formula>
    </cfRule>
    <cfRule type="expression" dxfId="2150" priority="223">
      <formula>E$9&lt;8/24</formula>
    </cfRule>
  </conditionalFormatting>
  <conditionalFormatting sqref="A106">
    <cfRule type="expression" dxfId="2149" priority="219">
      <formula>$AH106=0</formula>
    </cfRule>
  </conditionalFormatting>
  <conditionalFormatting sqref="A19">
    <cfRule type="expression" dxfId="2148" priority="217">
      <formula>$AH19=0</formula>
    </cfRule>
  </conditionalFormatting>
  <conditionalFormatting sqref="AL19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2147" priority="215">
      <formula>$AH34=0</formula>
    </cfRule>
  </conditionalFormatting>
  <conditionalFormatting sqref="AL34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2146" priority="211">
      <formula>Y$9&gt;=20/24</formula>
    </cfRule>
    <cfRule type="expression" dxfId="2145" priority="212">
      <formula>AND(Y$9&gt;=14/24,Y$9&lt;20/24)</formula>
    </cfRule>
    <cfRule type="expression" dxfId="2144" priority="213">
      <formula>AND(Y$9&gt;=8/24,Y$9&lt;14/24)</formula>
    </cfRule>
    <cfRule type="expression" dxfId="2143" priority="214">
      <formula>Y$9&lt;8/24</formula>
    </cfRule>
  </conditionalFormatting>
  <conditionalFormatting sqref="Y96:AC102">
    <cfRule type="expression" dxfId="2142" priority="207">
      <formula>Y$9&gt;=20/24</formula>
    </cfRule>
    <cfRule type="expression" dxfId="2141" priority="208">
      <formula>AND(Y$9&gt;=14/24,Y$9&lt;20/24)</formula>
    </cfRule>
    <cfRule type="expression" dxfId="2140" priority="209">
      <formula>AND(Y$9&gt;=8/24,Y$9&lt;14/24)</formula>
    </cfRule>
    <cfRule type="expression" dxfId="2139" priority="210">
      <formula>Y$9&lt;8/24</formula>
    </cfRule>
  </conditionalFormatting>
  <conditionalFormatting sqref="C105:D105 C107:D112">
    <cfRule type="expression" dxfId="2138" priority="203">
      <formula>C$9&gt;=20/24</formula>
    </cfRule>
    <cfRule type="expression" dxfId="2137" priority="204">
      <formula>AND(C$9&gt;=14/24,C$9&lt;20/24)</formula>
    </cfRule>
    <cfRule type="expression" dxfId="2136" priority="205">
      <formula>AND(C$9&gt;=8/24,C$9&lt;14/24)</formula>
    </cfRule>
    <cfRule type="expression" dxfId="2135" priority="206">
      <formula>C$9&lt;8/24</formula>
    </cfRule>
  </conditionalFormatting>
  <conditionalFormatting sqref="E43:S43">
    <cfRule type="expression" dxfId="2134" priority="199">
      <formula>E$9&gt;=20/24</formula>
    </cfRule>
    <cfRule type="expression" dxfId="2133" priority="200">
      <formula>AND(E$9&gt;=14/24,E$9&lt;20/24)</formula>
    </cfRule>
    <cfRule type="expression" dxfId="2132" priority="201">
      <formula>AND(E$9&gt;=8/24,E$9&lt;14/24)</formula>
    </cfRule>
    <cfRule type="expression" dxfId="2131" priority="202">
      <formula>E$9&lt;8/24</formula>
    </cfRule>
  </conditionalFormatting>
  <conditionalFormatting sqref="E43:S43">
    <cfRule type="expression" dxfId="2130" priority="198">
      <formula>E43&gt;$AG43</formula>
    </cfRule>
  </conditionalFormatting>
  <conditionalFormatting sqref="C95:D95">
    <cfRule type="expression" dxfId="2129" priority="194">
      <formula>C$9&gt;=20/24</formula>
    </cfRule>
    <cfRule type="expression" dxfId="2128" priority="195">
      <formula>AND(C$9&gt;=14/24,C$9&lt;20/24)</formula>
    </cfRule>
    <cfRule type="expression" dxfId="2127" priority="196">
      <formula>AND(C$9&gt;=8/24,C$9&lt;14/24)</formula>
    </cfRule>
    <cfRule type="expression" dxfId="2126" priority="197">
      <formula>C$9&lt;8/24</formula>
    </cfRule>
  </conditionalFormatting>
  <conditionalFormatting sqref="C67:D67 C50:E51">
    <cfRule type="expression" dxfId="2125" priority="190">
      <formula>C$9&gt;=20/24</formula>
    </cfRule>
    <cfRule type="expression" dxfId="2124" priority="191">
      <formula>AND(C$9&gt;=14/24,C$9&lt;20/24)</formula>
    </cfRule>
    <cfRule type="expression" dxfId="2123" priority="192">
      <formula>AND(C$9&gt;=8/24,C$9&lt;14/24)</formula>
    </cfRule>
    <cfRule type="expression" dxfId="2122" priority="193">
      <formula>C$9&lt;8/24</formula>
    </cfRule>
  </conditionalFormatting>
  <conditionalFormatting sqref="C49:E49">
    <cfRule type="expression" dxfId="2121" priority="186">
      <formula>C$9&gt;=20/24</formula>
    </cfRule>
    <cfRule type="expression" dxfId="2120" priority="187">
      <formula>AND(C$9&gt;=14/24,C$9&lt;20/24)</formula>
    </cfRule>
    <cfRule type="expression" dxfId="2119" priority="188">
      <formula>AND(C$9&gt;=8/24,C$9&lt;14/24)</formula>
    </cfRule>
    <cfRule type="expression" dxfId="2118" priority="189">
      <formula>C$9&lt;8/24</formula>
    </cfRule>
  </conditionalFormatting>
  <conditionalFormatting sqref="C49:E51">
    <cfRule type="expression" dxfId="2117" priority="185">
      <formula>C49&gt;$AG49</formula>
    </cfRule>
  </conditionalFormatting>
  <conditionalFormatting sqref="E63:P65 E79:AF81 C68:D72 C96:D102 C92:W92 C79:D82 E70:X72 Y71:AF72">
    <cfRule type="expression" dxfId="2116" priority="181">
      <formula>C$9&gt;=20/24</formula>
    </cfRule>
    <cfRule type="expression" dxfId="2115" priority="182">
      <formula>AND(C$9&gt;=14/24,C$9&lt;20/24)</formula>
    </cfRule>
    <cfRule type="expression" dxfId="2114" priority="183">
      <formula>AND(C$9&gt;=8/24,C$9&lt;14/24)</formula>
    </cfRule>
    <cfRule type="expression" dxfId="2113" priority="184">
      <formula>C$9&lt;8/24</formula>
    </cfRule>
  </conditionalFormatting>
  <conditionalFormatting sqref="E63:P65 C52:L53">
    <cfRule type="expression" dxfId="2112" priority="180">
      <formula>C52&gt;$AG52</formula>
    </cfRule>
  </conditionalFormatting>
  <conditionalFormatting sqref="C54:L54">
    <cfRule type="expression" dxfId="2111" priority="176">
      <formula>C$9&gt;=20/24</formula>
    </cfRule>
    <cfRule type="expression" dxfId="2110" priority="177">
      <formula>AND(C$9&gt;=14/24,C$9&lt;20/24)</formula>
    </cfRule>
    <cfRule type="expression" dxfId="2109" priority="178">
      <formula>AND(C$9&gt;=8/24,C$9&lt;14/24)</formula>
    </cfRule>
    <cfRule type="expression" dxfId="2108" priority="179">
      <formula>C$9&lt;8/24</formula>
    </cfRule>
  </conditionalFormatting>
  <conditionalFormatting sqref="C54:L54">
    <cfRule type="expression" dxfId="2107" priority="175">
      <formula>C54&gt;$AG54</formula>
    </cfRule>
  </conditionalFormatting>
  <conditionalFormatting sqref="C83:AF83 C85:AF85 C94:AF94 C66:AF66">
    <cfRule type="expression" dxfId="2106" priority="162">
      <formula>C$9&gt;=20/24</formula>
    </cfRule>
    <cfRule type="expression" dxfId="2105" priority="163">
      <formula>AND(C$9&gt;=14/24,C$9&lt;20/24)</formula>
    </cfRule>
    <cfRule type="expression" dxfId="2104" priority="164">
      <formula>AND(C$9&gt;=8/24,C$9&lt;14/24)</formula>
    </cfRule>
    <cfRule type="expression" dxfId="2103" priority="165">
      <formula>C$9&lt;8/24</formula>
    </cfRule>
  </conditionalFormatting>
  <conditionalFormatting sqref="E61:AF62 C44:AF44 C66:AF66">
    <cfRule type="expression" dxfId="2102" priority="161">
      <formula>C44&gt;$AG44</formula>
    </cfRule>
  </conditionalFormatting>
  <conditionalFormatting sqref="C78:AF78">
    <cfRule type="expression" dxfId="2101" priority="157">
      <formula>C$9&gt;=20/24</formula>
    </cfRule>
    <cfRule type="expression" dxfId="2100" priority="158">
      <formula>AND(C$9&gt;=14/24,C$9&lt;20/24)</formula>
    </cfRule>
    <cfRule type="expression" dxfId="2099" priority="159">
      <formula>AND(C$9&gt;=8/24,C$9&lt;14/24)</formula>
    </cfRule>
    <cfRule type="expression" dxfId="2098" priority="160">
      <formula>C$9&lt;8/24</formula>
    </cfRule>
  </conditionalFormatting>
  <conditionalFormatting sqref="C87:W91">
    <cfRule type="expression" dxfId="2097" priority="153">
      <formula>C$9&gt;=20/24</formula>
    </cfRule>
    <cfRule type="expression" dxfId="2096" priority="154">
      <formula>AND(C$9&gt;=14/24,C$9&lt;20/24)</formula>
    </cfRule>
    <cfRule type="expression" dxfId="2095" priority="155">
      <formula>AND(C$9&gt;=8/24,C$9&lt;14/24)</formula>
    </cfRule>
    <cfRule type="expression" dxfId="2094" priority="156">
      <formula>C$9&lt;8/24</formula>
    </cfRule>
  </conditionalFormatting>
  <conditionalFormatting sqref="C45:D47">
    <cfRule type="expression" dxfId="2093" priority="149">
      <formula>C$9&gt;=20/24</formula>
    </cfRule>
    <cfRule type="expression" dxfId="2092" priority="150">
      <formula>AND(C$9&gt;=14/24,C$9&lt;20/24)</formula>
    </cfRule>
    <cfRule type="expression" dxfId="2091" priority="151">
      <formula>AND(C$9&gt;=8/24,C$9&lt;14/24)</formula>
    </cfRule>
    <cfRule type="expression" dxfId="2090" priority="152">
      <formula>C$9&lt;8/24</formula>
    </cfRule>
  </conditionalFormatting>
  <conditionalFormatting sqref="C45:D47">
    <cfRule type="expression" dxfId="2089" priority="148">
      <formula>C45&gt;$AG45</formula>
    </cfRule>
  </conditionalFormatting>
  <conditionalFormatting sqref="C48:AF48">
    <cfRule type="expression" dxfId="2088" priority="144">
      <formula>C$9&gt;=20/24</formula>
    </cfRule>
    <cfRule type="expression" dxfId="2087" priority="145">
      <formula>AND(C$9&gt;=14/24,C$9&lt;20/24)</formula>
    </cfRule>
    <cfRule type="expression" dxfId="2086" priority="146">
      <formula>AND(C$9&gt;=8/24,C$9&lt;14/24)</formula>
    </cfRule>
    <cfRule type="expression" dxfId="2085" priority="147">
      <formula>C$9&lt;8/24</formula>
    </cfRule>
  </conditionalFormatting>
  <conditionalFormatting sqref="C48:AF48">
    <cfRule type="expression" dxfId="2084" priority="143">
      <formula>C48&gt;$AG48</formula>
    </cfRule>
  </conditionalFormatting>
  <conditionalFormatting sqref="C106:D106">
    <cfRule type="expression" dxfId="2083" priority="127">
      <formula>C$9&gt;=20/24</formula>
    </cfRule>
    <cfRule type="expression" dxfId="2082" priority="128">
      <formula>AND(C$9&gt;=14/24,C$9&lt;20/24)</formula>
    </cfRule>
    <cfRule type="expression" dxfId="2081" priority="129">
      <formula>AND(C$9&gt;=8/24,C$9&lt;14/24)</formula>
    </cfRule>
    <cfRule type="expression" dxfId="2080" priority="130">
      <formula>C$9&lt;8/24</formula>
    </cfRule>
  </conditionalFormatting>
  <conditionalFormatting sqref="Y55:AF60">
    <cfRule type="expression" dxfId="2079" priority="123">
      <formula>Y$9&gt;=20/24</formula>
    </cfRule>
    <cfRule type="expression" dxfId="2078" priority="124">
      <formula>AND(Y$9&gt;=14/24,Y$9&lt;20/24)</formula>
    </cfRule>
    <cfRule type="expression" dxfId="2077" priority="125">
      <formula>AND(Y$9&gt;=8/24,Y$9&lt;14/24)</formula>
    </cfRule>
    <cfRule type="expression" dxfId="2076" priority="126">
      <formula>Y$9&lt;8/24</formula>
    </cfRule>
  </conditionalFormatting>
  <conditionalFormatting sqref="Y55:AF60">
    <cfRule type="expression" dxfId="2075" priority="122">
      <formula>Y55&gt;$AG55</formula>
    </cfRule>
  </conditionalFormatting>
  <conditionalFormatting sqref="C73:AF77">
    <cfRule type="expression" dxfId="2074" priority="104">
      <formula>C$9&gt;=20/24</formula>
    </cfRule>
    <cfRule type="expression" dxfId="2073" priority="105">
      <formula>AND(C$9&gt;=14/24,C$9&lt;20/24)</formula>
    </cfRule>
    <cfRule type="expression" dxfId="2072" priority="106">
      <formula>AND(C$9&gt;=8/24,C$9&lt;14/24)</formula>
    </cfRule>
    <cfRule type="expression" dxfId="2071" priority="107">
      <formula>C$9&lt;8/24</formula>
    </cfRule>
  </conditionalFormatting>
  <conditionalFormatting sqref="AL74:AN74 AL80:AN80 AN75:AN76">
    <cfRule type="expression" dxfId="2070" priority="100">
      <formula>AL$9&gt;=20/24</formula>
    </cfRule>
    <cfRule type="expression" dxfId="2069" priority="101">
      <formula>AND(AL$9&gt;=14/24,AL$9&lt;20/24)</formula>
    </cfRule>
    <cfRule type="expression" dxfId="2068" priority="102">
      <formula>AND(AL$9&gt;=8/24,AL$9&lt;14/24)</formula>
    </cfRule>
    <cfRule type="expression" dxfId="2067" priority="103">
      <formula>AL$9&lt;8/24</formula>
    </cfRule>
  </conditionalFormatting>
  <conditionalFormatting sqref="AN77:AN78">
    <cfRule type="expression" dxfId="2066" priority="96">
      <formula>AN$9&gt;=20/24</formula>
    </cfRule>
    <cfRule type="expression" dxfId="2065" priority="97">
      <formula>AND(AN$9&gt;=14/24,AN$9&lt;20/24)</formula>
    </cfRule>
    <cfRule type="expression" dxfId="2064" priority="98">
      <formula>AND(AN$9&gt;=8/24,AN$9&lt;14/24)</formula>
    </cfRule>
    <cfRule type="expression" dxfId="2063" priority="99">
      <formula>AN$9&lt;8/24</formula>
    </cfRule>
  </conditionalFormatting>
  <conditionalFormatting sqref="AL75:AM79">
    <cfRule type="expression" dxfId="2062" priority="352">
      <formula>AJ$9&gt;=20/24</formula>
    </cfRule>
    <cfRule type="expression" dxfId="2061" priority="353">
      <formula>AND(AJ$9&gt;=14/24,AJ$9&lt;20/24)</formula>
    </cfRule>
    <cfRule type="expression" dxfId="2060" priority="354">
      <formula>AND(AJ$9&gt;=8/24,AJ$9&lt;14/24)</formula>
    </cfRule>
    <cfRule type="expression" dxfId="2059" priority="355">
      <formula>AJ$9&lt;8/24</formula>
    </cfRule>
  </conditionalFormatting>
  <conditionalFormatting sqref="A113">
    <cfRule type="expression" dxfId="2058" priority="95">
      <formula>$AH113=0</formula>
    </cfRule>
  </conditionalFormatting>
  <conditionalFormatting sqref="B105 B107:B112 B11:X41">
    <cfRule type="expression" dxfId="2057" priority="91">
      <formula>B$9&gt;=20/24</formula>
    </cfRule>
    <cfRule type="expression" dxfId="2056" priority="92">
      <formula>AND(B$9&gt;=14/24,B$9&lt;20/24)</formula>
    </cfRule>
    <cfRule type="expression" dxfId="2055" priority="93">
      <formula>AND(B$9&gt;=8/24,B$9&lt;14/24)</formula>
    </cfRule>
    <cfRule type="expression" dxfId="2054" priority="94">
      <formula>B$9&lt;8/24</formula>
    </cfRule>
  </conditionalFormatting>
  <conditionalFormatting sqref="B11:X41">
    <cfRule type="expression" dxfId="2053" priority="90">
      <formula>B11&gt;$AG11</formula>
    </cfRule>
  </conditionalFormatting>
  <conditionalFormatting sqref="B95">
    <cfRule type="expression" dxfId="2052" priority="86">
      <formula>B$9&gt;=20/24</formula>
    </cfRule>
    <cfRule type="expression" dxfId="2051" priority="87">
      <formula>AND(B$9&gt;=14/24,B$9&lt;20/24)</formula>
    </cfRule>
    <cfRule type="expression" dxfId="2050" priority="88">
      <formula>AND(B$9&gt;=8/24,B$9&lt;14/24)</formula>
    </cfRule>
    <cfRule type="expression" dxfId="2049" priority="89">
      <formula>B$9&lt;8/24</formula>
    </cfRule>
  </conditionalFormatting>
  <conditionalFormatting sqref="B50:B53 B67">
    <cfRule type="expression" dxfId="2048" priority="82">
      <formula>B$9&gt;=20/24</formula>
    </cfRule>
    <cfRule type="expression" dxfId="2047" priority="83">
      <formula>AND(B$9&gt;=14/24,B$9&lt;20/24)</formula>
    </cfRule>
    <cfRule type="expression" dxfId="2046" priority="84">
      <formula>AND(B$9&gt;=8/24,B$9&lt;14/24)</formula>
    </cfRule>
    <cfRule type="expression" dxfId="2045" priority="85">
      <formula>B$9&lt;8/24</formula>
    </cfRule>
  </conditionalFormatting>
  <conditionalFormatting sqref="B49">
    <cfRule type="expression" dxfId="2044" priority="78">
      <formula>B$9&gt;=20/24</formula>
    </cfRule>
    <cfRule type="expression" dxfId="2043" priority="79">
      <formula>AND(B$9&gt;=14/24,B$9&lt;20/24)</formula>
    </cfRule>
    <cfRule type="expression" dxfId="2042" priority="80">
      <formula>AND(B$9&gt;=8/24,B$9&lt;14/24)</formula>
    </cfRule>
    <cfRule type="expression" dxfId="2041" priority="81">
      <formula>B$9&lt;8/24</formula>
    </cfRule>
  </conditionalFormatting>
  <conditionalFormatting sqref="B49:B53">
    <cfRule type="expression" dxfId="2040" priority="77">
      <formula>B49&gt;$AG49</formula>
    </cfRule>
  </conditionalFormatting>
  <conditionalFormatting sqref="B96:B102 B82 B92 B68:B70 B43:D43 B63:D65">
    <cfRule type="expression" dxfId="2039" priority="73">
      <formula>B$9&gt;=20/24</formula>
    </cfRule>
    <cfRule type="expression" dxfId="2038" priority="74">
      <formula>AND(B$9&gt;=14/24,B$9&lt;20/24)</formula>
    </cfRule>
    <cfRule type="expression" dxfId="2037" priority="75">
      <formula>AND(B$9&gt;=8/24,B$9&lt;14/24)</formula>
    </cfRule>
    <cfRule type="expression" dxfId="2036" priority="76">
      <formula>B$9&lt;8/24</formula>
    </cfRule>
  </conditionalFormatting>
  <conditionalFormatting sqref="B43:D43 B63:D65">
    <cfRule type="expression" dxfId="2035" priority="72">
      <formula>B43&gt;$AG43</formula>
    </cfRule>
  </conditionalFormatting>
  <conditionalFormatting sqref="B93 B84">
    <cfRule type="expression" dxfId="2034" priority="68">
      <formula>B$9&gt;=20/24</formula>
    </cfRule>
    <cfRule type="expression" dxfId="2033" priority="69">
      <formula>AND(B$9&gt;=14/24,B$9&lt;20/24)</formula>
    </cfRule>
    <cfRule type="expression" dxfId="2032" priority="70">
      <formula>AND(B$9&gt;=8/24,B$9&lt;14/24)</formula>
    </cfRule>
    <cfRule type="expression" dxfId="2031" priority="71">
      <formula>B$9&lt;8/24</formula>
    </cfRule>
  </conditionalFormatting>
  <conditionalFormatting sqref="B42:X42">
    <cfRule type="expression" dxfId="2030" priority="64">
      <formula>B$9&gt;=20/24</formula>
    </cfRule>
    <cfRule type="expression" dxfId="2029" priority="65">
      <formula>AND(B$9&gt;=14/24,B$9&lt;20/24)</formula>
    </cfRule>
    <cfRule type="expression" dxfId="2028" priority="66">
      <formula>AND(B$9&gt;=8/24,B$9&lt;14/24)</formula>
    </cfRule>
    <cfRule type="expression" dxfId="2027" priority="67">
      <formula>B$9&lt;8/24</formula>
    </cfRule>
  </conditionalFormatting>
  <conditionalFormatting sqref="B42:X42">
    <cfRule type="expression" dxfId="2026" priority="63">
      <formula>B42&gt;$AG42</formula>
    </cfRule>
  </conditionalFormatting>
  <conditionalFormatting sqref="B54">
    <cfRule type="expression" dxfId="2025" priority="59">
      <formula>B$9&gt;=20/24</formula>
    </cfRule>
    <cfRule type="expression" dxfId="2024" priority="60">
      <formula>AND(B$9&gt;=14/24,B$9&lt;20/24)</formula>
    </cfRule>
    <cfRule type="expression" dxfId="2023" priority="61">
      <formula>AND(B$9&gt;=8/24,B$9&lt;14/24)</formula>
    </cfRule>
    <cfRule type="expression" dxfId="2022" priority="62">
      <formula>B$9&lt;8/24</formula>
    </cfRule>
  </conditionalFormatting>
  <conditionalFormatting sqref="B54">
    <cfRule type="expression" dxfId="2021" priority="58">
      <formula>B54&gt;$AG54</formula>
    </cfRule>
  </conditionalFormatting>
  <conditionalFormatting sqref="B87:B91">
    <cfRule type="expression" dxfId="2020" priority="54">
      <formula>B$9&gt;=20/24</formula>
    </cfRule>
    <cfRule type="expression" dxfId="2019" priority="55">
      <formula>AND(B$9&gt;=14/24,B$9&lt;20/24)</formula>
    </cfRule>
    <cfRule type="expression" dxfId="2018" priority="56">
      <formula>AND(B$9&gt;=8/24,B$9&lt;14/24)</formula>
    </cfRule>
    <cfRule type="expression" dxfId="2017" priority="57">
      <formula>B$9&lt;8/24</formula>
    </cfRule>
  </conditionalFormatting>
  <conditionalFormatting sqref="B45:B47">
    <cfRule type="expression" dxfId="2016" priority="50">
      <formula>B$9&gt;=20/24</formula>
    </cfRule>
    <cfRule type="expression" dxfId="2015" priority="51">
      <formula>AND(B$9&gt;=14/24,B$9&lt;20/24)</formula>
    </cfRule>
    <cfRule type="expression" dxfId="2014" priority="52">
      <formula>AND(B$9&gt;=8/24,B$9&lt;14/24)</formula>
    </cfRule>
    <cfRule type="expression" dxfId="2013" priority="53">
      <formula>B$9&lt;8/24</formula>
    </cfRule>
  </conditionalFormatting>
  <conditionalFormatting sqref="B45:B47">
    <cfRule type="expression" dxfId="2012" priority="49">
      <formula>B45&gt;$AG45</formula>
    </cfRule>
  </conditionalFormatting>
  <conditionalFormatting sqref="B103">
    <cfRule type="expression" dxfId="2011" priority="45">
      <formula>B$9&gt;=20/24</formula>
    </cfRule>
    <cfRule type="expression" dxfId="2010" priority="46">
      <formula>AND(B$9&gt;=14/24,B$9&lt;20/24)</formula>
    </cfRule>
    <cfRule type="expression" dxfId="2009" priority="47">
      <formula>AND(B$9&gt;=8/24,B$9&lt;14/24)</formula>
    </cfRule>
    <cfRule type="expression" dxfId="2008" priority="48">
      <formula>B$9&lt;8/24</formula>
    </cfRule>
  </conditionalFormatting>
  <conditionalFormatting sqref="B106">
    <cfRule type="expression" dxfId="2007" priority="37">
      <formula>B$9&gt;=20/24</formula>
    </cfRule>
    <cfRule type="expression" dxfId="2006" priority="38">
      <formula>AND(B$9&gt;=14/24,B$9&lt;20/24)</formula>
    </cfRule>
    <cfRule type="expression" dxfId="2005" priority="39">
      <formula>AND(B$9&gt;=8/24,B$9&lt;14/24)</formula>
    </cfRule>
    <cfRule type="expression" dxfId="2004" priority="40">
      <formula>B$9&lt;8/24</formula>
    </cfRule>
  </conditionalFormatting>
  <conditionalFormatting sqref="B79:B81 B71:B72">
    <cfRule type="expression" dxfId="2003" priority="33">
      <formula>B$9&gt;=20/24</formula>
    </cfRule>
    <cfRule type="expression" dxfId="2002" priority="34">
      <formula>AND(B$9&gt;=14/24,B$9&lt;20/24)</formula>
    </cfRule>
    <cfRule type="expression" dxfId="2001" priority="35">
      <formula>AND(B$9&gt;=8/24,B$9&lt;14/24)</formula>
    </cfRule>
    <cfRule type="expression" dxfId="2000" priority="36">
      <formula>B$9&lt;8/24</formula>
    </cfRule>
  </conditionalFormatting>
  <conditionalFormatting sqref="B83 B85 B94 B66">
    <cfRule type="expression" dxfId="1999" priority="29">
      <formula>B$9&gt;=20/24</formula>
    </cfRule>
    <cfRule type="expression" dxfId="1998" priority="30">
      <formula>AND(B$9&gt;=14/24,B$9&lt;20/24)</formula>
    </cfRule>
    <cfRule type="expression" dxfId="1997" priority="31">
      <formula>AND(B$9&gt;=8/24,B$9&lt;14/24)</formula>
    </cfRule>
    <cfRule type="expression" dxfId="1996" priority="32">
      <formula>B$9&lt;8/24</formula>
    </cfRule>
  </conditionalFormatting>
  <conditionalFormatting sqref="B66 B44 B61:D62">
    <cfRule type="expression" dxfId="1995" priority="28">
      <formula>B44&gt;$AG44</formula>
    </cfRule>
  </conditionalFormatting>
  <conditionalFormatting sqref="B78">
    <cfRule type="expression" dxfId="1994" priority="24">
      <formula>B$9&gt;=20/24</formula>
    </cfRule>
    <cfRule type="expression" dxfId="1993" priority="25">
      <formula>AND(B$9&gt;=14/24,B$9&lt;20/24)</formula>
    </cfRule>
    <cfRule type="expression" dxfId="1992" priority="26">
      <formula>AND(B$9&gt;=8/24,B$9&lt;14/24)</formula>
    </cfRule>
    <cfRule type="expression" dxfId="1991" priority="27">
      <formula>B$9&lt;8/24</formula>
    </cfRule>
  </conditionalFormatting>
  <conditionalFormatting sqref="B48">
    <cfRule type="expression" dxfId="1990" priority="20">
      <formula>B$9&gt;=20/24</formula>
    </cfRule>
    <cfRule type="expression" dxfId="1989" priority="21">
      <formula>AND(B$9&gt;=14/24,B$9&lt;20/24)</formula>
    </cfRule>
    <cfRule type="expression" dxfId="1988" priority="22">
      <formula>AND(B$9&gt;=8/24,B$9&lt;14/24)</formula>
    </cfRule>
    <cfRule type="expression" dxfId="1987" priority="23">
      <formula>B$9&lt;8/24</formula>
    </cfRule>
  </conditionalFormatting>
  <conditionalFormatting sqref="B48">
    <cfRule type="expression" dxfId="1986" priority="19">
      <formula>B48&gt;$AG48</formula>
    </cfRule>
  </conditionalFormatting>
  <conditionalFormatting sqref="B55:X60">
    <cfRule type="expression" dxfId="1985" priority="11">
      <formula>B$9&gt;=20/24</formula>
    </cfRule>
    <cfRule type="expression" dxfId="1984" priority="12">
      <formula>AND(B$9&gt;=14/24,B$9&lt;20/24)</formula>
    </cfRule>
    <cfRule type="expression" dxfId="1983" priority="13">
      <formula>AND(B$9&gt;=8/24,B$9&lt;14/24)</formula>
    </cfRule>
    <cfRule type="expression" dxfId="1982" priority="14">
      <formula>B$9&lt;8/24</formula>
    </cfRule>
  </conditionalFormatting>
  <conditionalFormatting sqref="B55:X60">
    <cfRule type="expression" dxfId="1981" priority="10">
      <formula>B55&gt;$AG55</formula>
    </cfRule>
  </conditionalFormatting>
  <conditionalFormatting sqref="B73:B77">
    <cfRule type="expression" dxfId="1980" priority="6">
      <formula>B$9&gt;=20/24</formula>
    </cfRule>
    <cfRule type="expression" dxfId="1979" priority="7">
      <formula>AND(B$9&gt;=14/24,B$9&lt;20/24)</formula>
    </cfRule>
    <cfRule type="expression" dxfId="1978" priority="8">
      <formula>AND(B$9&gt;=8/24,B$9&lt;14/24)</formula>
    </cfRule>
    <cfRule type="expression" dxfId="1977" priority="9">
      <formula>B$9&lt;8/24</formula>
    </cfRule>
  </conditionalFormatting>
  <conditionalFormatting sqref="M52:P54 Q53:U54 V54:X54">
    <cfRule type="expression" dxfId="1976" priority="2">
      <formula>M$9&gt;=20/24</formula>
    </cfRule>
    <cfRule type="expression" dxfId="1975" priority="3">
      <formula>AND(M$9&gt;=14/24,M$9&lt;20/24)</formula>
    </cfRule>
    <cfRule type="expression" dxfId="1974" priority="4">
      <formula>AND(M$9&gt;=8/24,M$9&lt;14/24)</formula>
    </cfRule>
    <cfRule type="expression" dxfId="1973" priority="5">
      <formula>M$9&lt;8/24</formula>
    </cfRule>
  </conditionalFormatting>
  <conditionalFormatting sqref="M52:P54 Q53:U54 V54:X54">
    <cfRule type="expression" dxfId="1972" priority="1">
      <formula>M52&gt;$AG52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8" id="{2C148CCA-337C-49AC-93C8-06515A4EA49A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29" id="{79BC6D5C-C723-4FAE-A884-8DC8E81FC8CC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30" id="{614D15DD-C0E7-45E0-BEDB-4898536928FF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31" id="{C036A310-FDB9-4990-BEA0-58152CD714F3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E113:AF113</xm:sqref>
        </x14:conditionalFormatting>
        <x14:conditionalFormatting xmlns:xm="http://schemas.microsoft.com/office/excel/2006/main">
          <x14:cfRule type="expression" priority="224" id="{2C7CE8DD-C98B-46BF-A230-9F239F568C65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25" id="{2A193478-2845-4A55-856A-306178D4DEC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26" id="{7F010528-F9DF-4F68-A927-69C75B981825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27" id="{BAAE19C8-2CFB-4DD9-8402-7EE87279F7A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C113:D113</xm:sqref>
        </x14:conditionalFormatting>
        <x14:conditionalFormatting xmlns:xm="http://schemas.microsoft.com/office/excel/2006/main">
          <x14:cfRule type="expression" priority="135" id="{3A402C05-8E11-4A5F-A09F-7CA008B6624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6" id="{99A3B3ED-80CA-4C9B-8CB7-19D59F1AD0F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7" id="{76217974-E93A-4E53-B7E3-117A068209A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8" id="{02540B31-7383-4B5F-8BD3-A48FC1A5358F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C86:AF86</xm:sqref>
        </x14:conditionalFormatting>
        <x14:conditionalFormatting xmlns:xm="http://schemas.microsoft.com/office/excel/2006/main">
          <x14:cfRule type="expression" priority="41" id="{7594819A-EF44-4900-8465-2366E26C1E04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2" id="{A962C28A-381E-4262-9ABF-F74F55E87B4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3" id="{731DCCCB-7625-4FCE-A110-07ABE66E49D6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4" id="{A5F3171A-E7B5-439C-9C27-E927D00B8590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  <x14:conditionalFormatting xmlns:xm="http://schemas.microsoft.com/office/excel/2006/main">
          <x14:cfRule type="expression" priority="15" id="{58D6AB3D-7C83-4ABA-954C-B83522787087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6" id="{11817729-7047-4468-BCDB-FAA6974AD17A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" id="{DFF13855-278C-498B-908F-BAED81F7C58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" id="{ACCD785C-53F0-49E5-8D97-423AEF1B0472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J274"/>
  <sheetViews>
    <sheetView zoomScale="95" zoomScaleNormal="95" workbookViewId="0">
      <pane ySplit="10" topLeftCell="A55" activePane="bottomLeft" state="frozen"/>
      <selection activeCell="U80" sqref="U80"/>
      <selection pane="bottomLeft" activeCell="B69" sqref="B69:AF7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/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str">
        <f ca="1">"2079/"&amp;"10/"&amp;INT(MID(CELL("filename",D6),FIND("]",CELL("filename",D6))+1,200))</f>
        <v>2079/10/29</v>
      </c>
      <c r="C4" s="771"/>
      <c r="D4" s="771"/>
      <c r="E4" s="772" t="str">
        <f ca="1">"2079/"&amp;"10/"&amp;INT(MID(CELL("filename",G6),FIND("]",CELL("filename",G6))+1,200))</f>
        <v>2079/10/29</v>
      </c>
      <c r="F4" s="772"/>
      <c r="G4" s="772"/>
      <c r="H4" s="772" t="str">
        <f ca="1">TEXT(E4,"dddd")</f>
        <v>Sunday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487.20000000000005</v>
      </c>
      <c r="C5" s="30">
        <f t="shared" si="0"/>
        <v>476.99999999999994</v>
      </c>
      <c r="D5" s="30">
        <f t="shared" si="0"/>
        <v>506.5</v>
      </c>
      <c r="E5" s="30">
        <f t="shared" si="0"/>
        <v>467.4</v>
      </c>
      <c r="F5" s="30">
        <f t="shared" si="0"/>
        <v>489.4</v>
      </c>
      <c r="G5" s="30">
        <f t="shared" si="0"/>
        <v>479.8</v>
      </c>
      <c r="H5" s="30">
        <f t="shared" si="0"/>
        <v>487.6</v>
      </c>
      <c r="I5" s="30">
        <f t="shared" si="0"/>
        <v>490</v>
      </c>
      <c r="J5" s="30">
        <f t="shared" si="0"/>
        <v>531</v>
      </c>
      <c r="K5" s="30">
        <f t="shared" si="0"/>
        <v>434.6</v>
      </c>
      <c r="L5" s="30">
        <f t="shared" si="0"/>
        <v>516</v>
      </c>
      <c r="M5" s="30">
        <f t="shared" si="0"/>
        <v>519.5</v>
      </c>
      <c r="N5" s="30">
        <f t="shared" si="0"/>
        <v>528</v>
      </c>
      <c r="O5" s="30">
        <f t="shared" si="0"/>
        <v>457.90000000000003</v>
      </c>
      <c r="P5" s="30">
        <f t="shared" si="0"/>
        <v>492.6</v>
      </c>
      <c r="Q5" s="30">
        <f t="shared" si="0"/>
        <v>498.40000000000003</v>
      </c>
      <c r="R5" s="30">
        <f t="shared" si="0"/>
        <v>500.8</v>
      </c>
      <c r="S5" s="30">
        <f t="shared" si="0"/>
        <v>491.1</v>
      </c>
      <c r="T5" s="30">
        <f t="shared" si="0"/>
        <v>491.1</v>
      </c>
      <c r="U5" s="30">
        <f t="shared" si="0"/>
        <v>505.6</v>
      </c>
      <c r="V5" s="30">
        <f t="shared" si="0"/>
        <v>502.3</v>
      </c>
      <c r="W5" s="30">
        <f t="shared" si="0"/>
        <v>538.29999999999995</v>
      </c>
      <c r="X5" s="30">
        <f t="shared" si="0"/>
        <v>504.7</v>
      </c>
      <c r="Y5" s="30">
        <f t="shared" si="0"/>
        <v>495.1</v>
      </c>
      <c r="Z5" s="30">
        <f t="shared" si="0"/>
        <v>485.90000000000003</v>
      </c>
      <c r="AA5" s="30">
        <f t="shared" si="0"/>
        <v>539</v>
      </c>
      <c r="AB5" s="30">
        <f t="shared" si="0"/>
        <v>530</v>
      </c>
      <c r="AC5" s="30">
        <f t="shared" si="0"/>
        <v>495</v>
      </c>
      <c r="AD5" s="30">
        <f t="shared" si="0"/>
        <v>487</v>
      </c>
      <c r="AE5" s="30">
        <f t="shared" si="0"/>
        <v>503</v>
      </c>
      <c r="AF5" s="30">
        <f>B78</f>
        <v>477.2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1513MW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Load=986</v>
      </c>
      <c r="B7" s="35">
        <f t="shared" ref="B7:AF7" si="1">B85</f>
        <v>1015.6400000000001</v>
      </c>
      <c r="C7" s="35">
        <f t="shared" si="1"/>
        <v>1025.8400000000001</v>
      </c>
      <c r="D7" s="35">
        <f t="shared" si="1"/>
        <v>985.63999999999987</v>
      </c>
      <c r="E7" s="35">
        <f t="shared" si="1"/>
        <v>1020.94</v>
      </c>
      <c r="F7" s="35">
        <f t="shared" si="1"/>
        <v>1001.84</v>
      </c>
      <c r="G7" s="35">
        <f t="shared" si="1"/>
        <v>1054.54</v>
      </c>
      <c r="H7" s="35">
        <f t="shared" si="1"/>
        <v>1114.04</v>
      </c>
      <c r="I7" s="35">
        <f t="shared" si="1"/>
        <v>1194.94</v>
      </c>
      <c r="J7" s="35">
        <f t="shared" si="1"/>
        <v>1258.94</v>
      </c>
      <c r="K7" s="35">
        <f t="shared" si="1"/>
        <v>1434.04</v>
      </c>
      <c r="L7" s="35">
        <f t="shared" si="1"/>
        <v>1458.54</v>
      </c>
      <c r="M7" s="35">
        <f t="shared" si="1"/>
        <v>1512.7399999999998</v>
      </c>
      <c r="N7" s="35">
        <f>N85</f>
        <v>1434.94</v>
      </c>
      <c r="O7" s="35">
        <f t="shared" si="1"/>
        <v>1402.54</v>
      </c>
      <c r="P7" s="35">
        <f t="shared" si="1"/>
        <v>1325.1399999999999</v>
      </c>
      <c r="Q7" s="35">
        <f t="shared" si="1"/>
        <v>1289.3400000000001</v>
      </c>
      <c r="R7" s="35">
        <f t="shared" si="1"/>
        <v>1272.94</v>
      </c>
      <c r="S7" s="35">
        <f t="shared" si="1"/>
        <v>1267.4399999999998</v>
      </c>
      <c r="T7" s="35">
        <f t="shared" si="1"/>
        <v>1255.2399999999998</v>
      </c>
      <c r="U7" s="35">
        <f t="shared" si="1"/>
        <v>1225.2399999999998</v>
      </c>
      <c r="V7" s="35">
        <f t="shared" si="1"/>
        <v>1205.54</v>
      </c>
      <c r="W7" s="35">
        <f t="shared" si="1"/>
        <v>1152.54</v>
      </c>
      <c r="X7" s="35">
        <f t="shared" si="1"/>
        <v>1485.04</v>
      </c>
      <c r="Y7" s="35">
        <f t="shared" si="1"/>
        <v>1549.74</v>
      </c>
      <c r="Z7" s="35">
        <f t="shared" si="1"/>
        <v>1463.74</v>
      </c>
      <c r="AA7" s="35">
        <f t="shared" si="1"/>
        <v>1374.8400000000001</v>
      </c>
      <c r="AB7" s="35">
        <f t="shared" si="1"/>
        <v>1342.44</v>
      </c>
      <c r="AC7" s="35">
        <f t="shared" si="1"/>
        <v>1263.44</v>
      </c>
      <c r="AD7" s="35">
        <f t="shared" si="1"/>
        <v>1190.44</v>
      </c>
      <c r="AE7" s="35">
        <f t="shared" si="1"/>
        <v>3471.7399999999993</v>
      </c>
      <c r="AF7" s="35">
        <f t="shared" si="1"/>
        <v>1118.74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15.9</v>
      </c>
      <c r="C11" s="45">
        <v>15.9</v>
      </c>
      <c r="D11" s="45">
        <v>15.9</v>
      </c>
      <c r="E11" s="45">
        <v>16.7</v>
      </c>
      <c r="F11" s="45">
        <v>16.7</v>
      </c>
      <c r="G11" s="45">
        <v>16.8</v>
      </c>
      <c r="H11" s="45">
        <v>16.8</v>
      </c>
      <c r="I11" s="45">
        <v>17</v>
      </c>
      <c r="J11" s="45">
        <v>17</v>
      </c>
      <c r="K11" s="45">
        <v>16.8</v>
      </c>
      <c r="L11" s="45">
        <v>16.8</v>
      </c>
      <c r="M11" s="45">
        <v>16.8</v>
      </c>
      <c r="N11" s="45">
        <v>15.3</v>
      </c>
      <c r="O11" s="45">
        <v>14.4</v>
      </c>
      <c r="P11" s="45">
        <v>14.4</v>
      </c>
      <c r="Q11" s="45">
        <v>14.4</v>
      </c>
      <c r="R11" s="45">
        <v>13.8</v>
      </c>
      <c r="S11" s="45">
        <v>15.9</v>
      </c>
      <c r="T11" s="45">
        <v>15.9</v>
      </c>
      <c r="U11" s="45">
        <v>15.9</v>
      </c>
      <c r="V11" s="45">
        <v>15.9</v>
      </c>
      <c r="W11" s="45">
        <v>15.9</v>
      </c>
      <c r="X11" s="45">
        <v>14.8</v>
      </c>
      <c r="Y11" s="45">
        <v>14.5</v>
      </c>
      <c r="Z11" s="45">
        <v>14.5</v>
      </c>
      <c r="AA11" s="45">
        <v>14.5</v>
      </c>
      <c r="AB11" s="45">
        <v>16.3</v>
      </c>
      <c r="AC11" s="45">
        <v>16.3</v>
      </c>
      <c r="AD11" s="45">
        <v>16.3</v>
      </c>
      <c r="AE11" s="45">
        <v>16.3</v>
      </c>
      <c r="AF11" s="45">
        <v>16.3</v>
      </c>
      <c r="AG11" s="46">
        <v>52.4</v>
      </c>
      <c r="AH11" s="47">
        <f t="shared" ref="AH11:AH74" si="2">MAX(B11:AF11)</f>
        <v>17</v>
      </c>
      <c r="AI11" s="48">
        <f t="shared" ref="AI11:AI74" si="3">MIN(B11:AF11)</f>
        <v>13.8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30.9</v>
      </c>
      <c r="C12" s="45">
        <v>30.9</v>
      </c>
      <c r="D12" s="45">
        <v>30.9</v>
      </c>
      <c r="E12" s="45">
        <v>31.1</v>
      </c>
      <c r="F12" s="45">
        <v>31.1</v>
      </c>
      <c r="G12" s="45">
        <v>31.1</v>
      </c>
      <c r="H12" s="45">
        <v>31.1</v>
      </c>
      <c r="I12" s="45">
        <v>31.2</v>
      </c>
      <c r="J12" s="45">
        <v>31.2</v>
      </c>
      <c r="K12" s="45">
        <v>31.1</v>
      </c>
      <c r="L12" s="45">
        <v>31.1</v>
      </c>
      <c r="M12" s="45">
        <v>30.3</v>
      </c>
      <c r="N12" s="45">
        <v>31</v>
      </c>
      <c r="O12" s="45">
        <v>31.8</v>
      </c>
      <c r="P12" s="45">
        <v>31.2</v>
      </c>
      <c r="Q12" s="45">
        <v>31.2</v>
      </c>
      <c r="R12" s="45">
        <v>30.8</v>
      </c>
      <c r="S12" s="45">
        <v>31.2</v>
      </c>
      <c r="T12" s="45">
        <v>31.2</v>
      </c>
      <c r="U12" s="45">
        <v>31.2</v>
      </c>
      <c r="V12" s="45">
        <v>31.2</v>
      </c>
      <c r="W12" s="45">
        <v>31.2</v>
      </c>
      <c r="X12" s="45">
        <v>34.5</v>
      </c>
      <c r="Y12" s="45">
        <v>31.5</v>
      </c>
      <c r="Z12" s="45">
        <v>31.5</v>
      </c>
      <c r="AA12" s="45">
        <v>31.5</v>
      </c>
      <c r="AB12" s="45">
        <v>31.5</v>
      </c>
      <c r="AC12" s="45">
        <v>31.5</v>
      </c>
      <c r="AD12" s="45">
        <v>31.5</v>
      </c>
      <c r="AE12" s="45">
        <v>31.5</v>
      </c>
      <c r="AF12" s="45">
        <v>31.5</v>
      </c>
      <c r="AG12" s="50">
        <v>50</v>
      </c>
      <c r="AH12" s="47">
        <f t="shared" si="2"/>
        <v>34.5</v>
      </c>
      <c r="AI12" s="48">
        <f t="shared" si="3"/>
        <v>30.3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19.100000000000001</v>
      </c>
      <c r="C13" s="45">
        <v>19.100000000000001</v>
      </c>
      <c r="D13" s="45">
        <v>19.100000000000001</v>
      </c>
      <c r="E13" s="45">
        <v>15.6</v>
      </c>
      <c r="F13" s="45">
        <v>15.6</v>
      </c>
      <c r="G13" s="45">
        <v>19.2</v>
      </c>
      <c r="H13" s="45">
        <v>19.2</v>
      </c>
      <c r="I13" s="45">
        <v>15.6</v>
      </c>
      <c r="J13" s="45">
        <v>15.6</v>
      </c>
      <c r="K13" s="45">
        <v>15.5</v>
      </c>
      <c r="L13" s="45">
        <v>15.5</v>
      </c>
      <c r="M13" s="45">
        <v>15.5</v>
      </c>
      <c r="N13" s="45">
        <v>16</v>
      </c>
      <c r="O13" s="45">
        <v>15.4</v>
      </c>
      <c r="P13" s="45">
        <v>15.4</v>
      </c>
      <c r="Q13" s="45">
        <v>15.7</v>
      </c>
      <c r="R13" s="45">
        <v>15.5</v>
      </c>
      <c r="S13" s="45">
        <v>15.3</v>
      </c>
      <c r="T13" s="45">
        <v>15.3</v>
      </c>
      <c r="U13" s="45">
        <v>15.3</v>
      </c>
      <c r="V13" s="45">
        <v>15.3</v>
      </c>
      <c r="W13" s="45">
        <v>15.3</v>
      </c>
      <c r="X13" s="45">
        <v>19.100000000000001</v>
      </c>
      <c r="Y13" s="45">
        <v>19.100000000000001</v>
      </c>
      <c r="Z13" s="45">
        <v>19.100000000000001</v>
      </c>
      <c r="AA13" s="45">
        <v>19.100000000000001</v>
      </c>
      <c r="AB13" s="45">
        <v>19.100000000000001</v>
      </c>
      <c r="AC13" s="45">
        <v>19.100000000000001</v>
      </c>
      <c r="AD13" s="45">
        <v>19.100000000000001</v>
      </c>
      <c r="AE13" s="45">
        <v>19.100000000000001</v>
      </c>
      <c r="AF13" s="45">
        <v>19.100000000000001</v>
      </c>
      <c r="AG13" s="50">
        <v>45</v>
      </c>
      <c r="AH13" s="47">
        <f t="shared" si="2"/>
        <v>19.2</v>
      </c>
      <c r="AI13" s="48">
        <f t="shared" si="3"/>
        <v>15.3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7</v>
      </c>
      <c r="C14" s="45">
        <v>7</v>
      </c>
      <c r="D14" s="45">
        <v>7</v>
      </c>
      <c r="E14" s="45">
        <v>9</v>
      </c>
      <c r="F14" s="45">
        <v>9</v>
      </c>
      <c r="G14" s="45">
        <v>9</v>
      </c>
      <c r="H14" s="45">
        <v>9</v>
      </c>
      <c r="I14" s="45">
        <v>9</v>
      </c>
      <c r="J14" s="45">
        <v>9</v>
      </c>
      <c r="K14" s="45">
        <v>9</v>
      </c>
      <c r="L14" s="45">
        <v>9</v>
      </c>
      <c r="M14" s="45">
        <v>8</v>
      </c>
      <c r="N14" s="45">
        <v>8</v>
      </c>
      <c r="O14" s="45">
        <v>8</v>
      </c>
      <c r="P14" s="45">
        <v>8</v>
      </c>
      <c r="Q14" s="45">
        <v>8</v>
      </c>
      <c r="R14" s="45">
        <v>8</v>
      </c>
      <c r="S14" s="45">
        <v>8</v>
      </c>
      <c r="T14" s="45">
        <v>8</v>
      </c>
      <c r="U14" s="45">
        <v>8</v>
      </c>
      <c r="V14" s="45">
        <v>8</v>
      </c>
      <c r="W14" s="45">
        <v>8</v>
      </c>
      <c r="X14" s="45">
        <v>8</v>
      </c>
      <c r="Y14" s="45">
        <v>8</v>
      </c>
      <c r="Z14" s="45">
        <v>8</v>
      </c>
      <c r="AA14" s="45">
        <v>8</v>
      </c>
      <c r="AB14" s="45">
        <v>8</v>
      </c>
      <c r="AC14" s="45">
        <v>8</v>
      </c>
      <c r="AD14" s="45">
        <v>8</v>
      </c>
      <c r="AE14" s="45">
        <v>8</v>
      </c>
      <c r="AF14" s="45">
        <v>8</v>
      </c>
      <c r="AG14" s="50">
        <v>42</v>
      </c>
      <c r="AH14" s="47">
        <f t="shared" si="2"/>
        <v>9</v>
      </c>
      <c r="AI14" s="48">
        <f t="shared" si="3"/>
        <v>7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16.5</v>
      </c>
      <c r="C15" s="45">
        <v>16.5</v>
      </c>
      <c r="D15" s="45">
        <v>16.5</v>
      </c>
      <c r="E15" s="45">
        <v>16.5</v>
      </c>
      <c r="F15" s="45">
        <v>16.5</v>
      </c>
      <c r="G15" s="45">
        <v>16.5</v>
      </c>
      <c r="H15" s="45">
        <v>16.5</v>
      </c>
      <c r="I15" s="45">
        <v>16.5</v>
      </c>
      <c r="J15" s="45">
        <v>16.5</v>
      </c>
      <c r="K15" s="45">
        <v>16.5</v>
      </c>
      <c r="L15" s="45">
        <v>16.5</v>
      </c>
      <c r="M15" s="45">
        <v>16.5</v>
      </c>
      <c r="N15" s="45">
        <v>16.5</v>
      </c>
      <c r="O15" s="45">
        <v>16.5</v>
      </c>
      <c r="P15" s="45">
        <v>16.5</v>
      </c>
      <c r="Q15" s="45">
        <v>16.5</v>
      </c>
      <c r="R15" s="45">
        <v>16.5</v>
      </c>
      <c r="S15" s="45">
        <v>16.5</v>
      </c>
      <c r="T15" s="45">
        <v>16.5</v>
      </c>
      <c r="U15" s="45">
        <v>16.5</v>
      </c>
      <c r="V15" s="45">
        <v>16.5</v>
      </c>
      <c r="W15" s="45">
        <v>16.5</v>
      </c>
      <c r="X15" s="45">
        <v>16.5</v>
      </c>
      <c r="Y15" s="45">
        <v>16.5</v>
      </c>
      <c r="Z15" s="45">
        <v>16.5</v>
      </c>
      <c r="AA15" s="45">
        <v>16.5</v>
      </c>
      <c r="AB15" s="45">
        <v>16.5</v>
      </c>
      <c r="AC15" s="45">
        <v>16.5</v>
      </c>
      <c r="AD15" s="45">
        <v>16.5</v>
      </c>
      <c r="AE15" s="45">
        <v>16.5</v>
      </c>
      <c r="AF15" s="45">
        <v>16.5</v>
      </c>
      <c r="AG15" s="50">
        <v>36</v>
      </c>
      <c r="AH15" s="47">
        <f t="shared" si="2"/>
        <v>16.5</v>
      </c>
      <c r="AI15" s="48">
        <f t="shared" si="3"/>
        <v>16.5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7.8</v>
      </c>
      <c r="C16" s="45">
        <v>7.8</v>
      </c>
      <c r="D16" s="45">
        <v>7.8</v>
      </c>
      <c r="E16" s="45">
        <v>7.8</v>
      </c>
      <c r="F16" s="45">
        <v>7.8</v>
      </c>
      <c r="G16" s="45">
        <v>8</v>
      </c>
      <c r="H16" s="45">
        <v>8</v>
      </c>
      <c r="I16" s="45">
        <v>8</v>
      </c>
      <c r="J16" s="45">
        <v>8</v>
      </c>
      <c r="K16" s="45">
        <v>8</v>
      </c>
      <c r="L16" s="45">
        <v>8</v>
      </c>
      <c r="M16" s="45">
        <v>7.8</v>
      </c>
      <c r="N16" s="45">
        <v>7.8</v>
      </c>
      <c r="O16" s="45">
        <v>7.8</v>
      </c>
      <c r="P16" s="45">
        <v>7.8</v>
      </c>
      <c r="Q16" s="45">
        <v>7.4</v>
      </c>
      <c r="R16" s="45">
        <v>7.4</v>
      </c>
      <c r="S16" s="45">
        <v>7.4</v>
      </c>
      <c r="T16" s="45">
        <v>7.4</v>
      </c>
      <c r="U16" s="45">
        <v>7.4</v>
      </c>
      <c r="V16" s="45">
        <v>7.4</v>
      </c>
      <c r="W16" s="45">
        <v>7.4</v>
      </c>
      <c r="X16" s="45">
        <v>7.4</v>
      </c>
      <c r="Y16" s="45">
        <v>7.4</v>
      </c>
      <c r="Z16" s="45">
        <v>7.4</v>
      </c>
      <c r="AA16" s="45">
        <v>7.4</v>
      </c>
      <c r="AB16" s="45">
        <v>7.4</v>
      </c>
      <c r="AC16" s="45">
        <v>7.4</v>
      </c>
      <c r="AD16" s="45">
        <v>7.4</v>
      </c>
      <c r="AE16" s="45">
        <v>7.4</v>
      </c>
      <c r="AF16" s="45">
        <v>7.4</v>
      </c>
      <c r="AG16" s="51">
        <v>30</v>
      </c>
      <c r="AH16" s="47">
        <f t="shared" si="2"/>
        <v>8</v>
      </c>
      <c r="AI16" s="48">
        <f t="shared" si="3"/>
        <v>7.4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7.7</v>
      </c>
      <c r="C17" s="45">
        <v>7.7</v>
      </c>
      <c r="D17" s="45">
        <v>7.7</v>
      </c>
      <c r="E17" s="45">
        <v>7.5</v>
      </c>
      <c r="F17" s="45">
        <v>7.5</v>
      </c>
      <c r="G17" s="45">
        <v>7.5</v>
      </c>
      <c r="H17" s="45">
        <v>7.5</v>
      </c>
      <c r="I17" s="45">
        <v>7.5</v>
      </c>
      <c r="J17" s="45">
        <v>7.5</v>
      </c>
      <c r="K17" s="45">
        <v>7.5</v>
      </c>
      <c r="L17" s="45">
        <v>7.5</v>
      </c>
      <c r="M17" s="45">
        <v>6.6</v>
      </c>
      <c r="N17" s="45">
        <v>6.6</v>
      </c>
      <c r="O17" s="45">
        <v>6.6</v>
      </c>
      <c r="P17" s="45">
        <v>6.6</v>
      </c>
      <c r="Q17" s="45">
        <v>6.6</v>
      </c>
      <c r="R17" s="45">
        <v>6.6</v>
      </c>
      <c r="S17" s="45">
        <v>6.6</v>
      </c>
      <c r="T17" s="45">
        <v>6.6</v>
      </c>
      <c r="U17" s="45">
        <v>6.6</v>
      </c>
      <c r="V17" s="45">
        <v>6.6</v>
      </c>
      <c r="W17" s="45">
        <v>6.6</v>
      </c>
      <c r="X17" s="45">
        <v>6.6</v>
      </c>
      <c r="Y17" s="45">
        <v>6.6</v>
      </c>
      <c r="Z17" s="45">
        <v>6.6</v>
      </c>
      <c r="AA17" s="45">
        <v>6.6</v>
      </c>
      <c r="AB17" s="45">
        <v>6.6</v>
      </c>
      <c r="AC17" s="45">
        <v>6.6</v>
      </c>
      <c r="AD17" s="45">
        <v>6.6</v>
      </c>
      <c r="AE17" s="45">
        <v>6.6</v>
      </c>
      <c r="AF17" s="45">
        <v>6.6</v>
      </c>
      <c r="AG17" s="50">
        <v>24.2</v>
      </c>
      <c r="AH17" s="47">
        <f t="shared" si="2"/>
        <v>7.7</v>
      </c>
      <c r="AI17" s="48">
        <f t="shared" si="3"/>
        <v>6.6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>
        <v>8</v>
      </c>
      <c r="AB18" s="45">
        <v>8</v>
      </c>
      <c r="AC18" s="45">
        <v>8</v>
      </c>
      <c r="AD18" s="45">
        <v>8</v>
      </c>
      <c r="AE18" s="45">
        <v>8</v>
      </c>
      <c r="AF18" s="45">
        <v>8</v>
      </c>
      <c r="AG18" s="50">
        <v>28</v>
      </c>
      <c r="AH18" s="47">
        <f t="shared" si="2"/>
        <v>8</v>
      </c>
      <c r="AI18" s="48">
        <f t="shared" si="3"/>
        <v>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>
        <v>13</v>
      </c>
      <c r="AB19" s="45">
        <v>13</v>
      </c>
      <c r="AC19" s="45">
        <v>13</v>
      </c>
      <c r="AD19" s="45">
        <v>13</v>
      </c>
      <c r="AE19" s="45">
        <v>13</v>
      </c>
      <c r="AF19" s="45">
        <v>13</v>
      </c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9.3000000000000007</v>
      </c>
      <c r="C20" s="45">
        <v>9.3000000000000007</v>
      </c>
      <c r="D20" s="45">
        <v>9.3000000000000007</v>
      </c>
      <c r="E20" s="45">
        <v>9.3000000000000007</v>
      </c>
      <c r="F20" s="45">
        <v>9.3000000000000007</v>
      </c>
      <c r="G20" s="45">
        <v>9.3000000000000007</v>
      </c>
      <c r="H20" s="45">
        <v>9.3000000000000007</v>
      </c>
      <c r="I20" s="45">
        <v>9.3000000000000007</v>
      </c>
      <c r="J20" s="45">
        <v>9.3000000000000007</v>
      </c>
      <c r="K20" s="45">
        <v>9.3000000000000007</v>
      </c>
      <c r="L20" s="45">
        <v>9.3000000000000007</v>
      </c>
      <c r="M20" s="45">
        <v>7</v>
      </c>
      <c r="N20" s="45">
        <v>7</v>
      </c>
      <c r="O20" s="45">
        <v>7</v>
      </c>
      <c r="P20" s="45">
        <v>7</v>
      </c>
      <c r="Q20" s="45">
        <v>7</v>
      </c>
      <c r="R20" s="45">
        <v>7</v>
      </c>
      <c r="S20" s="45">
        <v>7</v>
      </c>
      <c r="T20" s="45">
        <v>7</v>
      </c>
      <c r="U20" s="45">
        <v>7</v>
      </c>
      <c r="V20" s="45">
        <v>7</v>
      </c>
      <c r="W20" s="45">
        <v>7</v>
      </c>
      <c r="X20" s="45">
        <v>7</v>
      </c>
      <c r="Y20" s="45">
        <v>7</v>
      </c>
      <c r="Z20" s="45">
        <v>7</v>
      </c>
      <c r="AA20" s="45">
        <v>7</v>
      </c>
      <c r="AB20" s="45">
        <v>7</v>
      </c>
      <c r="AC20" s="45">
        <v>7</v>
      </c>
      <c r="AD20" s="45">
        <v>7</v>
      </c>
      <c r="AE20" s="45">
        <v>7</v>
      </c>
      <c r="AF20" s="45">
        <v>7</v>
      </c>
      <c r="AG20" s="50">
        <v>25</v>
      </c>
      <c r="AH20" s="47">
        <f t="shared" si="2"/>
        <v>9.3000000000000007</v>
      </c>
      <c r="AI20" s="48">
        <f t="shared" si="3"/>
        <v>7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>
        <v>10</v>
      </c>
      <c r="AB21" s="45">
        <v>10</v>
      </c>
      <c r="AC21" s="45">
        <v>10</v>
      </c>
      <c r="AD21" s="45">
        <v>10</v>
      </c>
      <c r="AE21" s="45">
        <v>10</v>
      </c>
      <c r="AF21" s="45">
        <v>10</v>
      </c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11</v>
      </c>
      <c r="C22" s="45">
        <v>11</v>
      </c>
      <c r="D22" s="45">
        <v>11</v>
      </c>
      <c r="E22" s="45">
        <v>11</v>
      </c>
      <c r="F22" s="45">
        <v>11</v>
      </c>
      <c r="G22" s="45">
        <v>11</v>
      </c>
      <c r="H22" s="45">
        <v>11</v>
      </c>
      <c r="I22" s="45">
        <v>11</v>
      </c>
      <c r="J22" s="45">
        <v>11</v>
      </c>
      <c r="K22" s="45">
        <v>11</v>
      </c>
      <c r="L22" s="45">
        <v>11</v>
      </c>
      <c r="M22" s="45">
        <v>11</v>
      </c>
      <c r="N22" s="45">
        <v>5</v>
      </c>
      <c r="O22" s="45">
        <v>0</v>
      </c>
      <c r="P22" s="45">
        <v>0</v>
      </c>
      <c r="Q22" s="45">
        <v>5.8</v>
      </c>
      <c r="R22" s="45">
        <v>6</v>
      </c>
      <c r="S22" s="45">
        <v>6</v>
      </c>
      <c r="T22" s="45">
        <v>6</v>
      </c>
      <c r="U22" s="45">
        <v>6</v>
      </c>
      <c r="V22" s="45">
        <v>6</v>
      </c>
      <c r="W22" s="45">
        <v>6</v>
      </c>
      <c r="X22" s="45">
        <v>6</v>
      </c>
      <c r="Y22" s="45">
        <v>6</v>
      </c>
      <c r="Z22" s="45">
        <v>6</v>
      </c>
      <c r="AA22" s="45">
        <v>6</v>
      </c>
      <c r="AB22" s="45">
        <v>6</v>
      </c>
      <c r="AC22" s="45">
        <v>6</v>
      </c>
      <c r="AD22" s="45">
        <v>6</v>
      </c>
      <c r="AE22" s="45">
        <v>6</v>
      </c>
      <c r="AF22" s="45">
        <v>6</v>
      </c>
      <c r="AG22" s="50">
        <v>25</v>
      </c>
      <c r="AH22" s="47">
        <f t="shared" si="2"/>
        <v>11</v>
      </c>
      <c r="AI22" s="48">
        <f t="shared" si="3"/>
        <v>0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7.8</v>
      </c>
      <c r="C23" s="45">
        <v>7.8</v>
      </c>
      <c r="D23" s="45">
        <v>7.8</v>
      </c>
      <c r="E23" s="45">
        <v>7.8</v>
      </c>
      <c r="F23" s="45">
        <v>7.8</v>
      </c>
      <c r="G23" s="45">
        <v>7.8</v>
      </c>
      <c r="H23" s="45">
        <v>7.8</v>
      </c>
      <c r="I23" s="45">
        <v>7.8</v>
      </c>
      <c r="J23" s="45">
        <v>7.8</v>
      </c>
      <c r="K23" s="45">
        <v>7.8</v>
      </c>
      <c r="L23" s="45">
        <v>7.8</v>
      </c>
      <c r="M23" s="45">
        <v>7.8</v>
      </c>
      <c r="N23" s="45">
        <v>7.8</v>
      </c>
      <c r="O23" s="45">
        <v>7.8</v>
      </c>
      <c r="P23" s="45">
        <v>7.8</v>
      </c>
      <c r="Q23" s="45">
        <v>7.8</v>
      </c>
      <c r="R23" s="45">
        <v>7.8</v>
      </c>
      <c r="S23" s="45">
        <v>7.8</v>
      </c>
      <c r="T23" s="45">
        <v>7.8</v>
      </c>
      <c r="U23" s="45">
        <v>7.8</v>
      </c>
      <c r="V23" s="45">
        <v>7.8</v>
      </c>
      <c r="W23" s="45">
        <v>7.8</v>
      </c>
      <c r="X23" s="45">
        <v>7.8</v>
      </c>
      <c r="Y23" s="45">
        <v>7.8</v>
      </c>
      <c r="Z23" s="45">
        <v>7.8</v>
      </c>
      <c r="AA23" s="45">
        <v>7.8</v>
      </c>
      <c r="AB23" s="45">
        <v>7.8</v>
      </c>
      <c r="AC23" s="45">
        <v>7.8</v>
      </c>
      <c r="AD23" s="45">
        <v>7.8</v>
      </c>
      <c r="AE23" s="45">
        <v>7.8</v>
      </c>
      <c r="AF23" s="45">
        <v>7.8</v>
      </c>
      <c r="AG23" s="50">
        <v>25</v>
      </c>
      <c r="AH23" s="47">
        <f t="shared" si="2"/>
        <v>7.8</v>
      </c>
      <c r="AI23" s="48">
        <f t="shared" si="3"/>
        <v>7.8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7.9</v>
      </c>
      <c r="C24" s="45">
        <v>7.9</v>
      </c>
      <c r="D24" s="45">
        <v>7.9</v>
      </c>
      <c r="E24" s="45">
        <v>7.9</v>
      </c>
      <c r="F24" s="45">
        <v>7.9</v>
      </c>
      <c r="G24" s="45">
        <v>7.9</v>
      </c>
      <c r="H24" s="45">
        <v>7.9</v>
      </c>
      <c r="I24" s="45">
        <v>7.9</v>
      </c>
      <c r="J24" s="45">
        <v>7.9</v>
      </c>
      <c r="K24" s="45">
        <v>7.9</v>
      </c>
      <c r="L24" s="45">
        <v>7.9</v>
      </c>
      <c r="M24" s="45">
        <v>6.9</v>
      </c>
      <c r="N24" s="45">
        <v>6.9</v>
      </c>
      <c r="O24" s="45">
        <v>6.9</v>
      </c>
      <c r="P24" s="45">
        <v>6.9</v>
      </c>
      <c r="Q24" s="45">
        <v>6.9</v>
      </c>
      <c r="R24" s="45">
        <v>6.9</v>
      </c>
      <c r="S24" s="45">
        <v>6.9</v>
      </c>
      <c r="T24" s="45">
        <v>6.9</v>
      </c>
      <c r="U24" s="45">
        <v>6.9</v>
      </c>
      <c r="V24" s="45">
        <v>6.9</v>
      </c>
      <c r="W24" s="45">
        <v>6.9</v>
      </c>
      <c r="X24" s="45">
        <v>6.9</v>
      </c>
      <c r="Y24" s="45">
        <v>6.9</v>
      </c>
      <c r="Z24" s="45">
        <v>6.9</v>
      </c>
      <c r="AA24" s="45">
        <v>6.9</v>
      </c>
      <c r="AB24" s="45">
        <v>6.9</v>
      </c>
      <c r="AC24" s="45">
        <v>6.9</v>
      </c>
      <c r="AD24" s="45">
        <v>6.9</v>
      </c>
      <c r="AE24" s="45">
        <v>6.9</v>
      </c>
      <c r="AF24" s="45">
        <v>6.9</v>
      </c>
      <c r="AG24" s="50">
        <v>23.5</v>
      </c>
      <c r="AH24" s="47">
        <f t="shared" si="2"/>
        <v>7.9</v>
      </c>
      <c r="AI24" s="48">
        <f t="shared" si="3"/>
        <v>6.9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>
        <v>7</v>
      </c>
      <c r="AB25" s="45">
        <v>7</v>
      </c>
      <c r="AC25" s="45">
        <v>7</v>
      </c>
      <c r="AD25" s="45">
        <v>7</v>
      </c>
      <c r="AE25" s="45">
        <v>7</v>
      </c>
      <c r="AF25" s="45">
        <v>7</v>
      </c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>
        <v>7</v>
      </c>
      <c r="AB26" s="45">
        <v>7</v>
      </c>
      <c r="AC26" s="45">
        <v>7</v>
      </c>
      <c r="AD26" s="45">
        <v>7</v>
      </c>
      <c r="AE26" s="45">
        <v>7</v>
      </c>
      <c r="AF26" s="45">
        <v>7</v>
      </c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>
        <v>8</v>
      </c>
      <c r="AB27" s="45">
        <v>8</v>
      </c>
      <c r="AC27" s="45">
        <v>8</v>
      </c>
      <c r="AD27" s="45">
        <v>8</v>
      </c>
      <c r="AE27" s="45">
        <v>8</v>
      </c>
      <c r="AF27" s="45">
        <v>8</v>
      </c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8</v>
      </c>
      <c r="C28" s="45">
        <v>8</v>
      </c>
      <c r="D28" s="45">
        <v>8</v>
      </c>
      <c r="E28" s="45">
        <v>8</v>
      </c>
      <c r="F28" s="45">
        <v>8</v>
      </c>
      <c r="G28" s="45">
        <v>8</v>
      </c>
      <c r="H28" s="45">
        <v>8</v>
      </c>
      <c r="I28" s="45">
        <v>8</v>
      </c>
      <c r="J28" s="45">
        <v>8</v>
      </c>
      <c r="K28" s="45">
        <v>8</v>
      </c>
      <c r="L28" s="45">
        <v>8</v>
      </c>
      <c r="M28" s="45">
        <v>8</v>
      </c>
      <c r="N28" s="45">
        <v>8</v>
      </c>
      <c r="O28" s="45">
        <v>8</v>
      </c>
      <c r="P28" s="45">
        <v>8</v>
      </c>
      <c r="Q28" s="45">
        <v>8</v>
      </c>
      <c r="R28" s="45">
        <v>8</v>
      </c>
      <c r="S28" s="45">
        <v>8</v>
      </c>
      <c r="T28" s="45">
        <v>8</v>
      </c>
      <c r="U28" s="45">
        <v>8</v>
      </c>
      <c r="V28" s="45">
        <v>8</v>
      </c>
      <c r="W28" s="45">
        <v>8</v>
      </c>
      <c r="X28" s="45">
        <v>8</v>
      </c>
      <c r="Y28" s="45">
        <v>8</v>
      </c>
      <c r="Z28" s="45">
        <v>8</v>
      </c>
      <c r="AA28" s="45">
        <v>8</v>
      </c>
      <c r="AB28" s="45">
        <v>8</v>
      </c>
      <c r="AC28" s="45">
        <v>8</v>
      </c>
      <c r="AD28" s="45">
        <v>8</v>
      </c>
      <c r="AE28" s="45">
        <v>8</v>
      </c>
      <c r="AF28" s="45">
        <v>8</v>
      </c>
      <c r="AG28" s="50">
        <v>22</v>
      </c>
      <c r="AH28" s="47">
        <f t="shared" si="2"/>
        <v>8</v>
      </c>
      <c r="AI28" s="48">
        <f t="shared" si="3"/>
        <v>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>
        <v>7</v>
      </c>
      <c r="AB29" s="45">
        <v>7</v>
      </c>
      <c r="AC29" s="45">
        <v>7</v>
      </c>
      <c r="AD29" s="45">
        <v>7</v>
      </c>
      <c r="AE29" s="45">
        <v>7</v>
      </c>
      <c r="AF29" s="45">
        <v>7</v>
      </c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>
        <v>3.8</v>
      </c>
      <c r="AB30" s="45">
        <v>3.8</v>
      </c>
      <c r="AC30" s="45">
        <v>3.8</v>
      </c>
      <c r="AD30" s="45">
        <v>3.8</v>
      </c>
      <c r="AE30" s="45">
        <v>3.8</v>
      </c>
      <c r="AF30" s="45">
        <v>3.8</v>
      </c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>
        <v>6.2</v>
      </c>
      <c r="AB31" s="45">
        <v>6.2</v>
      </c>
      <c r="AC31" s="45">
        <v>6.2</v>
      </c>
      <c r="AD31" s="45">
        <v>6.2</v>
      </c>
      <c r="AE31" s="45">
        <v>6.2</v>
      </c>
      <c r="AF31" s="45">
        <v>6.2</v>
      </c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>
        <v>5</v>
      </c>
      <c r="AB33" s="45">
        <v>5</v>
      </c>
      <c r="AC33" s="45">
        <v>5</v>
      </c>
      <c r="AD33" s="45">
        <v>5</v>
      </c>
      <c r="AE33" s="45">
        <v>5</v>
      </c>
      <c r="AF33" s="45">
        <v>5</v>
      </c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>
        <v>7</v>
      </c>
      <c r="AB34" s="45">
        <v>7</v>
      </c>
      <c r="AC34" s="45">
        <v>7</v>
      </c>
      <c r="AD34" s="45">
        <v>7</v>
      </c>
      <c r="AE34" s="45">
        <v>7</v>
      </c>
      <c r="AF34" s="45">
        <v>7</v>
      </c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>
        <v>10</v>
      </c>
      <c r="L35" s="45">
        <v>10</v>
      </c>
      <c r="M35" s="45">
        <v>10</v>
      </c>
      <c r="N35" s="45">
        <v>10</v>
      </c>
      <c r="O35" s="45">
        <v>10</v>
      </c>
      <c r="P35" s="45">
        <v>10</v>
      </c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45">
        <v>10</v>
      </c>
      <c r="Z35" s="45">
        <v>10</v>
      </c>
      <c r="AA35" s="45">
        <v>10</v>
      </c>
      <c r="AB35" s="45">
        <v>10</v>
      </c>
      <c r="AC35" s="45">
        <v>10</v>
      </c>
      <c r="AD35" s="45">
        <v>10</v>
      </c>
      <c r="AE35" s="45">
        <v>10</v>
      </c>
      <c r="AF35" s="45">
        <v>10</v>
      </c>
      <c r="AG35" s="50">
        <v>12</v>
      </c>
      <c r="AH35" s="47">
        <f t="shared" si="2"/>
        <v>10</v>
      </c>
      <c r="AI35" s="48">
        <f t="shared" si="3"/>
        <v>10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>
        <v>7</v>
      </c>
      <c r="AB36" s="45">
        <v>7</v>
      </c>
      <c r="AC36" s="45">
        <v>7</v>
      </c>
      <c r="AD36" s="45">
        <v>7</v>
      </c>
      <c r="AE36" s="45">
        <v>7</v>
      </c>
      <c r="AF36" s="45">
        <v>7</v>
      </c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>
        <v>6</v>
      </c>
      <c r="AB37" s="45">
        <v>6</v>
      </c>
      <c r="AC37" s="45">
        <v>6</v>
      </c>
      <c r="AD37" s="45">
        <v>6</v>
      </c>
      <c r="AE37" s="45">
        <v>6</v>
      </c>
      <c r="AF37" s="45">
        <v>6</v>
      </c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>
        <v>5.2</v>
      </c>
      <c r="AB38" s="45">
        <v>5.2</v>
      </c>
      <c r="AC38" s="45">
        <v>5.2</v>
      </c>
      <c r="AD38" s="45">
        <v>5.2</v>
      </c>
      <c r="AE38" s="45">
        <v>5.2</v>
      </c>
      <c r="AF38" s="45">
        <v>5.2</v>
      </c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>
        <v>8.5</v>
      </c>
      <c r="AB39" s="45">
        <v>8.5</v>
      </c>
      <c r="AC39" s="45">
        <v>8.5</v>
      </c>
      <c r="AD39" s="45">
        <v>8.5</v>
      </c>
      <c r="AE39" s="45">
        <v>8.5</v>
      </c>
      <c r="AF39" s="45">
        <v>8.5</v>
      </c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>
        <v>4</v>
      </c>
      <c r="AB40" s="45">
        <v>4</v>
      </c>
      <c r="AC40" s="45">
        <v>4</v>
      </c>
      <c r="AD40" s="45">
        <v>4</v>
      </c>
      <c r="AE40" s="45">
        <v>4</v>
      </c>
      <c r="AF40" s="45">
        <v>4</v>
      </c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100</v>
      </c>
      <c r="C42" s="56">
        <v>100</v>
      </c>
      <c r="D42" s="56">
        <v>100</v>
      </c>
      <c r="E42" s="56">
        <v>100</v>
      </c>
      <c r="F42" s="56">
        <v>100</v>
      </c>
      <c r="G42" s="56">
        <v>100</v>
      </c>
      <c r="H42" s="56">
        <v>100</v>
      </c>
      <c r="I42" s="56">
        <v>100</v>
      </c>
      <c r="J42" s="56">
        <v>100</v>
      </c>
      <c r="K42" s="56">
        <v>100</v>
      </c>
      <c r="L42" s="56">
        <v>100</v>
      </c>
      <c r="M42" s="56">
        <v>100</v>
      </c>
      <c r="N42" s="56">
        <v>100</v>
      </c>
      <c r="O42" s="56">
        <v>100</v>
      </c>
      <c r="P42" s="56">
        <v>100</v>
      </c>
      <c r="Q42" s="56">
        <v>100</v>
      </c>
      <c r="R42" s="56">
        <v>100</v>
      </c>
      <c r="S42" s="56">
        <v>100</v>
      </c>
      <c r="T42" s="56">
        <v>100</v>
      </c>
      <c r="U42" s="56">
        <v>100</v>
      </c>
      <c r="V42" s="56">
        <v>100</v>
      </c>
      <c r="W42" s="56">
        <v>100</v>
      </c>
      <c r="X42" s="56">
        <v>100</v>
      </c>
      <c r="Y42" s="56">
        <v>100</v>
      </c>
      <c r="Z42" s="56">
        <v>100</v>
      </c>
      <c r="AA42" s="56">
        <v>100</v>
      </c>
      <c r="AB42" s="56">
        <v>100</v>
      </c>
      <c r="AC42" s="56">
        <v>100</v>
      </c>
      <c r="AD42" s="56">
        <v>100</v>
      </c>
      <c r="AE42" s="56">
        <v>100</v>
      </c>
      <c r="AF42" s="56">
        <v>100</v>
      </c>
      <c r="AG42" s="54">
        <v>85</v>
      </c>
      <c r="AH42" s="47">
        <f t="shared" si="2"/>
        <v>100</v>
      </c>
      <c r="AI42" s="48">
        <f t="shared" si="3"/>
        <v>100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:AG44" si="4">SUM(B11:B42)</f>
        <v>371.6</v>
      </c>
      <c r="C44" s="60">
        <f t="shared" si="4"/>
        <v>371.6</v>
      </c>
      <c r="D44" s="60">
        <f t="shared" si="4"/>
        <v>371.6</v>
      </c>
      <c r="E44" s="60">
        <f t="shared" si="4"/>
        <v>370.90000000000003</v>
      </c>
      <c r="F44" s="60">
        <f t="shared" si="4"/>
        <v>370.90000000000003</v>
      </c>
      <c r="G44" s="60">
        <f t="shared" si="4"/>
        <v>374.8</v>
      </c>
      <c r="H44" s="60">
        <f t="shared" si="4"/>
        <v>374.8</v>
      </c>
      <c r="I44" s="60">
        <f t="shared" si="4"/>
        <v>371.50000000000006</v>
      </c>
      <c r="J44" s="60">
        <f t="shared" si="4"/>
        <v>371.50000000000006</v>
      </c>
      <c r="K44" s="60">
        <f t="shared" si="4"/>
        <v>371.1</v>
      </c>
      <c r="L44" s="60">
        <f t="shared" si="4"/>
        <v>371.1</v>
      </c>
      <c r="M44" s="60">
        <f t="shared" si="4"/>
        <v>364.9</v>
      </c>
      <c r="N44" s="60">
        <f t="shared" si="4"/>
        <v>358.6</v>
      </c>
      <c r="O44" s="60">
        <f t="shared" si="4"/>
        <v>352.9</v>
      </c>
      <c r="P44" s="60">
        <f t="shared" si="4"/>
        <v>352.29999999999995</v>
      </c>
      <c r="Q44" s="60">
        <f t="shared" si="4"/>
        <v>358</v>
      </c>
      <c r="R44" s="60">
        <f t="shared" ref="R44" si="5">SUM(R11:R42)</f>
        <v>357</v>
      </c>
      <c r="S44" s="60">
        <f t="shared" si="4"/>
        <v>359.3</v>
      </c>
      <c r="T44" s="60">
        <f t="shared" si="4"/>
        <v>359.3</v>
      </c>
      <c r="U44" s="60">
        <f t="shared" si="4"/>
        <v>359.3</v>
      </c>
      <c r="V44" s="60">
        <f t="shared" si="4"/>
        <v>359.3</v>
      </c>
      <c r="W44" s="60">
        <f t="shared" si="4"/>
        <v>359.3</v>
      </c>
      <c r="X44" s="60">
        <f t="shared" si="4"/>
        <v>365.3</v>
      </c>
      <c r="Y44" s="60">
        <v>362</v>
      </c>
      <c r="Z44" s="60">
        <f t="shared" si="4"/>
        <v>362</v>
      </c>
      <c r="AA44" s="60">
        <f t="shared" si="4"/>
        <v>362</v>
      </c>
      <c r="AB44" s="60">
        <f t="shared" si="4"/>
        <v>363.8</v>
      </c>
      <c r="AC44" s="60">
        <f t="shared" si="4"/>
        <v>363.8</v>
      </c>
      <c r="AD44" s="60">
        <f t="shared" si="4"/>
        <v>363.8</v>
      </c>
      <c r="AE44" s="60">
        <f t="shared" si="4"/>
        <v>363.8</v>
      </c>
      <c r="AF44" s="60">
        <f t="shared" si="4"/>
        <v>363.8</v>
      </c>
      <c r="AG44" s="61">
        <f t="shared" si="4"/>
        <v>814.78000000000009</v>
      </c>
      <c r="AH44" s="47">
        <f t="shared" si="2"/>
        <v>374.8</v>
      </c>
      <c r="AI44" s="48">
        <f t="shared" si="3"/>
        <v>352.29999999999995</v>
      </c>
      <c r="AK44" s="49"/>
    </row>
    <row r="45" spans="1:88" x14ac:dyDescent="0.25">
      <c r="A45" s="62" t="s">
        <v>53</v>
      </c>
      <c r="B45" s="45">
        <v>30</v>
      </c>
      <c r="C45" s="45">
        <v>30</v>
      </c>
      <c r="D45" s="45">
        <v>0</v>
      </c>
      <c r="E45" s="45">
        <v>0</v>
      </c>
      <c r="F45" s="45">
        <v>15</v>
      </c>
      <c r="G45" s="45">
        <v>15</v>
      </c>
      <c r="H45" s="45">
        <v>45</v>
      </c>
      <c r="I45" s="45">
        <v>55</v>
      </c>
      <c r="J45" s="45">
        <v>70</v>
      </c>
      <c r="K45" s="45">
        <v>40</v>
      </c>
      <c r="L45" s="45">
        <v>160.9</v>
      </c>
      <c r="M45" s="63">
        <v>120</v>
      </c>
      <c r="N45" s="63">
        <v>95</v>
      </c>
      <c r="O45" s="45">
        <v>60</v>
      </c>
      <c r="P45" s="45">
        <v>70</v>
      </c>
      <c r="Q45" s="45">
        <v>75</v>
      </c>
      <c r="R45" s="45">
        <v>80</v>
      </c>
      <c r="S45" s="45">
        <v>70</v>
      </c>
      <c r="T45" s="45">
        <v>70</v>
      </c>
      <c r="U45" s="45">
        <v>40</v>
      </c>
      <c r="V45" s="45">
        <v>15</v>
      </c>
      <c r="W45" s="45">
        <v>15</v>
      </c>
      <c r="X45" s="45">
        <v>39.799999999999997</v>
      </c>
      <c r="Y45" s="45">
        <v>70.099999999999994</v>
      </c>
      <c r="Z45" s="45">
        <v>30</v>
      </c>
      <c r="AA45" s="45">
        <v>30</v>
      </c>
      <c r="AB45" s="45">
        <v>50</v>
      </c>
      <c r="AC45" s="45">
        <v>30</v>
      </c>
      <c r="AD45" s="45">
        <v>15</v>
      </c>
      <c r="AE45" s="45">
        <v>30</v>
      </c>
      <c r="AF45" s="45">
        <v>76</v>
      </c>
      <c r="AG45" s="51">
        <v>456</v>
      </c>
      <c r="AH45" s="47">
        <f t="shared" si="2"/>
        <v>160.9</v>
      </c>
      <c r="AI45" s="48">
        <f t="shared" si="3"/>
        <v>0</v>
      </c>
      <c r="AK45" s="49"/>
    </row>
    <row r="46" spans="1:88" x14ac:dyDescent="0.25">
      <c r="A46" s="64" t="s">
        <v>54</v>
      </c>
      <c r="B46" s="65">
        <v>28</v>
      </c>
      <c r="C46" s="65">
        <v>28</v>
      </c>
      <c r="D46" s="65">
        <v>28</v>
      </c>
      <c r="E46" s="65">
        <v>28</v>
      </c>
      <c r="F46" s="65">
        <v>28</v>
      </c>
      <c r="G46" s="65">
        <v>28</v>
      </c>
      <c r="H46" s="65">
        <v>28</v>
      </c>
      <c r="I46" s="65">
        <v>28</v>
      </c>
      <c r="J46" s="65">
        <v>28</v>
      </c>
      <c r="K46" s="65">
        <v>28</v>
      </c>
      <c r="L46" s="65">
        <v>28</v>
      </c>
      <c r="M46" s="65">
        <v>28</v>
      </c>
      <c r="N46" s="65">
        <v>28</v>
      </c>
      <c r="O46" s="65">
        <v>28</v>
      </c>
      <c r="P46" s="65">
        <v>28</v>
      </c>
      <c r="Q46" s="65">
        <v>28</v>
      </c>
      <c r="R46" s="65">
        <v>28</v>
      </c>
      <c r="S46" s="65">
        <v>28</v>
      </c>
      <c r="T46" s="65">
        <v>28</v>
      </c>
      <c r="U46" s="65">
        <v>28</v>
      </c>
      <c r="V46" s="65">
        <v>28</v>
      </c>
      <c r="W46" s="65">
        <v>28</v>
      </c>
      <c r="X46" s="65">
        <v>28</v>
      </c>
      <c r="Y46" s="65">
        <v>28</v>
      </c>
      <c r="Z46" s="65">
        <v>28</v>
      </c>
      <c r="AA46" s="65">
        <v>28</v>
      </c>
      <c r="AB46" s="65">
        <v>28</v>
      </c>
      <c r="AC46" s="65">
        <v>28</v>
      </c>
      <c r="AD46" s="65">
        <v>28</v>
      </c>
      <c r="AE46" s="65">
        <v>28</v>
      </c>
      <c r="AF46" s="65">
        <v>28</v>
      </c>
      <c r="AG46" s="54">
        <v>60</v>
      </c>
      <c r="AH46" s="47">
        <f t="shared" si="2"/>
        <v>28</v>
      </c>
      <c r="AI46" s="48">
        <f t="shared" si="3"/>
        <v>28</v>
      </c>
      <c r="AK46" s="49"/>
    </row>
    <row r="47" spans="1:88" ht="15.75" thickBot="1" x14ac:dyDescent="0.3">
      <c r="A47" s="66" t="s">
        <v>55</v>
      </c>
      <c r="B47" s="67">
        <v>10.199999999999999</v>
      </c>
      <c r="C47" s="67">
        <v>10.199999999999999</v>
      </c>
      <c r="D47" s="67">
        <v>10.199999999999999</v>
      </c>
      <c r="E47" s="67">
        <v>10.199999999999999</v>
      </c>
      <c r="F47" s="67">
        <v>10.199999999999999</v>
      </c>
      <c r="G47" s="67">
        <v>10.199999999999999</v>
      </c>
      <c r="H47" s="67">
        <v>10.199999999999999</v>
      </c>
      <c r="I47" s="67">
        <v>10.199999999999999</v>
      </c>
      <c r="J47" s="67">
        <v>10.199999999999999</v>
      </c>
      <c r="K47" s="67">
        <v>10.199999999999999</v>
      </c>
      <c r="L47" s="67">
        <v>10.199999999999999</v>
      </c>
      <c r="M47" s="67">
        <v>10.199999999999999</v>
      </c>
      <c r="N47" s="67">
        <v>10.199999999999999</v>
      </c>
      <c r="O47" s="67">
        <v>10.199999999999999</v>
      </c>
      <c r="P47" s="67">
        <v>10.199999999999999</v>
      </c>
      <c r="Q47" s="67">
        <v>10.199999999999999</v>
      </c>
      <c r="R47" s="67">
        <v>9</v>
      </c>
      <c r="S47" s="67">
        <v>9</v>
      </c>
      <c r="T47" s="67">
        <v>9</v>
      </c>
      <c r="U47" s="67">
        <v>9</v>
      </c>
      <c r="V47" s="67">
        <v>9</v>
      </c>
      <c r="W47" s="67">
        <v>9</v>
      </c>
      <c r="X47" s="67">
        <v>9</v>
      </c>
      <c r="Y47" s="67">
        <v>9</v>
      </c>
      <c r="Z47" s="67">
        <v>9</v>
      </c>
      <c r="AA47" s="67">
        <v>9</v>
      </c>
      <c r="AB47" s="67">
        <v>9</v>
      </c>
      <c r="AC47" s="67">
        <v>9</v>
      </c>
      <c r="AD47" s="67">
        <v>9</v>
      </c>
      <c r="AE47" s="67">
        <v>9</v>
      </c>
      <c r="AF47" s="67">
        <v>9</v>
      </c>
      <c r="AG47" s="68">
        <v>22.1</v>
      </c>
      <c r="AH47" s="47">
        <f t="shared" si="2"/>
        <v>10.199999999999999</v>
      </c>
      <c r="AI47" s="48">
        <f t="shared" si="3"/>
        <v>9</v>
      </c>
      <c r="AK47" s="49"/>
    </row>
    <row r="48" spans="1:88" ht="15.75" thickBot="1" x14ac:dyDescent="0.3">
      <c r="A48" s="69" t="s">
        <v>56</v>
      </c>
      <c r="B48" s="60">
        <f t="shared" ref="B48:AG48" si="6">SUM(B45:B47)</f>
        <v>68.2</v>
      </c>
      <c r="C48" s="60">
        <f t="shared" si="6"/>
        <v>68.2</v>
      </c>
      <c r="D48" s="60">
        <f t="shared" si="6"/>
        <v>38.200000000000003</v>
      </c>
      <c r="E48" s="60">
        <f t="shared" si="6"/>
        <v>38.200000000000003</v>
      </c>
      <c r="F48" s="60">
        <f t="shared" si="6"/>
        <v>53.2</v>
      </c>
      <c r="G48" s="60">
        <f t="shared" si="6"/>
        <v>53.2</v>
      </c>
      <c r="H48" s="60">
        <f t="shared" si="6"/>
        <v>83.2</v>
      </c>
      <c r="I48" s="60">
        <f t="shared" si="6"/>
        <v>93.2</v>
      </c>
      <c r="J48" s="60">
        <f t="shared" si="6"/>
        <v>108.2</v>
      </c>
      <c r="K48" s="60">
        <f t="shared" si="6"/>
        <v>78.2</v>
      </c>
      <c r="L48" s="60">
        <f t="shared" si="6"/>
        <v>199.1</v>
      </c>
      <c r="M48" s="60">
        <f t="shared" si="6"/>
        <v>158.19999999999999</v>
      </c>
      <c r="N48" s="60">
        <f t="shared" si="6"/>
        <v>133.19999999999999</v>
      </c>
      <c r="O48" s="60">
        <f t="shared" si="6"/>
        <v>98.2</v>
      </c>
      <c r="P48" s="60">
        <f t="shared" si="6"/>
        <v>108.2</v>
      </c>
      <c r="Q48" s="60">
        <f t="shared" si="6"/>
        <v>113.2</v>
      </c>
      <c r="R48" s="60">
        <f t="shared" ref="R48" si="7">SUM(R45:R47)</f>
        <v>117</v>
      </c>
      <c r="S48" s="60">
        <f t="shared" si="6"/>
        <v>107</v>
      </c>
      <c r="T48" s="60">
        <f t="shared" si="6"/>
        <v>107</v>
      </c>
      <c r="U48" s="60">
        <f t="shared" si="6"/>
        <v>77</v>
      </c>
      <c r="V48" s="60">
        <f t="shared" si="6"/>
        <v>52</v>
      </c>
      <c r="W48" s="60">
        <f t="shared" si="6"/>
        <v>52</v>
      </c>
      <c r="X48" s="60">
        <f t="shared" si="6"/>
        <v>76.8</v>
      </c>
      <c r="Y48" s="60">
        <v>107.1</v>
      </c>
      <c r="Z48" s="60">
        <f t="shared" si="6"/>
        <v>67</v>
      </c>
      <c r="AA48" s="60">
        <f t="shared" si="6"/>
        <v>67</v>
      </c>
      <c r="AB48" s="60">
        <f t="shared" si="6"/>
        <v>87</v>
      </c>
      <c r="AC48" s="60">
        <f t="shared" si="6"/>
        <v>67</v>
      </c>
      <c r="AD48" s="60">
        <f t="shared" si="6"/>
        <v>52</v>
      </c>
      <c r="AE48" s="60">
        <f t="shared" si="6"/>
        <v>67</v>
      </c>
      <c r="AF48" s="60">
        <f t="shared" si="6"/>
        <v>113</v>
      </c>
      <c r="AG48" s="61">
        <f t="shared" si="6"/>
        <v>538.1</v>
      </c>
      <c r="AH48" s="47">
        <f t="shared" si="2"/>
        <v>199.1</v>
      </c>
      <c r="AI48" s="48">
        <f t="shared" si="3"/>
        <v>38.200000000000003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22.4</v>
      </c>
      <c r="I49" s="45">
        <v>62.2</v>
      </c>
      <c r="J49" s="45">
        <v>97.1</v>
      </c>
      <c r="K49" s="45">
        <v>98</v>
      </c>
      <c r="L49" s="45">
        <v>98</v>
      </c>
      <c r="M49" s="45">
        <v>106.4</v>
      </c>
      <c r="N49" s="45">
        <v>92</v>
      </c>
      <c r="O49" s="45">
        <v>92.7</v>
      </c>
      <c r="P49" s="45">
        <v>91.5</v>
      </c>
      <c r="Q49" s="45">
        <v>113.4</v>
      </c>
      <c r="R49" s="45">
        <v>104.2</v>
      </c>
      <c r="S49" s="45">
        <v>61.1</v>
      </c>
      <c r="T49" s="45">
        <v>48</v>
      </c>
      <c r="U49" s="45">
        <v>48</v>
      </c>
      <c r="V49" s="45">
        <v>40</v>
      </c>
      <c r="W49" s="45">
        <v>48</v>
      </c>
      <c r="X49" s="45">
        <v>87.5</v>
      </c>
      <c r="Y49" s="45">
        <v>131.6</v>
      </c>
      <c r="Z49" s="45">
        <v>120</v>
      </c>
      <c r="AA49" s="45">
        <v>101</v>
      </c>
      <c r="AB49" s="45">
        <v>71</v>
      </c>
      <c r="AC49" s="45">
        <v>71</v>
      </c>
      <c r="AD49" s="45">
        <v>80</v>
      </c>
      <c r="AE49" s="45">
        <v>45</v>
      </c>
      <c r="AF49" s="45">
        <v>0</v>
      </c>
      <c r="AG49" s="51">
        <v>144</v>
      </c>
      <c r="AH49" s="47">
        <f t="shared" si="2"/>
        <v>131.6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0</v>
      </c>
      <c r="C50" s="65">
        <v>0</v>
      </c>
      <c r="D50" s="65">
        <v>0</v>
      </c>
      <c r="E50" s="65">
        <v>0</v>
      </c>
      <c r="F50" s="65">
        <v>0</v>
      </c>
      <c r="G50" s="65">
        <v>21</v>
      </c>
      <c r="H50" s="65">
        <v>20</v>
      </c>
      <c r="I50" s="65">
        <v>29.9</v>
      </c>
      <c r="J50" s="65">
        <v>43.2</v>
      </c>
      <c r="K50" s="65">
        <v>43.2</v>
      </c>
      <c r="L50" s="65">
        <v>43.2</v>
      </c>
      <c r="M50" s="65">
        <v>51.5</v>
      </c>
      <c r="N50" s="65">
        <v>45.6</v>
      </c>
      <c r="O50" s="65">
        <v>47.7</v>
      </c>
      <c r="P50" s="65">
        <v>47</v>
      </c>
      <c r="Q50" s="65">
        <v>60.8</v>
      </c>
      <c r="R50" s="65">
        <v>44.2</v>
      </c>
      <c r="S50" s="65">
        <v>23.6</v>
      </c>
      <c r="T50" s="45">
        <v>25.5</v>
      </c>
      <c r="U50" s="45">
        <v>25.5</v>
      </c>
      <c r="V50" s="45">
        <v>25.5</v>
      </c>
      <c r="W50" s="45">
        <v>0</v>
      </c>
      <c r="X50" s="45">
        <v>34.799999999999997</v>
      </c>
      <c r="Y50" s="45">
        <v>62.8</v>
      </c>
      <c r="Z50" s="45">
        <v>47.5</v>
      </c>
      <c r="AA50" s="45">
        <v>47.5</v>
      </c>
      <c r="AB50" s="65">
        <v>23</v>
      </c>
      <c r="AC50" s="65">
        <v>23</v>
      </c>
      <c r="AD50" s="65">
        <v>23</v>
      </c>
      <c r="AE50" s="65">
        <v>2351</v>
      </c>
      <c r="AF50" s="65">
        <v>23</v>
      </c>
      <c r="AG50" s="54">
        <v>70</v>
      </c>
      <c r="AH50" s="47">
        <f t="shared" si="2"/>
        <v>2351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16.8</v>
      </c>
      <c r="C51" s="65">
        <v>17</v>
      </c>
      <c r="D51" s="65">
        <v>17</v>
      </c>
      <c r="E51" s="65">
        <v>23.8</v>
      </c>
      <c r="F51" s="65">
        <v>18.3</v>
      </c>
      <c r="G51" s="65">
        <v>16.600000000000001</v>
      </c>
      <c r="H51" s="65">
        <v>24</v>
      </c>
      <c r="I51" s="65">
        <v>35.700000000000003</v>
      </c>
      <c r="J51" s="65">
        <v>34.4</v>
      </c>
      <c r="K51" s="65">
        <v>48</v>
      </c>
      <c r="L51" s="65">
        <v>48</v>
      </c>
      <c r="M51" s="65">
        <v>48</v>
      </c>
      <c r="N51" s="65">
        <v>33.6</v>
      </c>
      <c r="O51" s="65">
        <v>33</v>
      </c>
      <c r="P51" s="65">
        <v>33.200000000000003</v>
      </c>
      <c r="Q51" s="65">
        <v>45.8</v>
      </c>
      <c r="R51" s="65">
        <v>46.2</v>
      </c>
      <c r="S51" s="65">
        <v>32</v>
      </c>
      <c r="T51" s="45">
        <v>40.299999999999997</v>
      </c>
      <c r="U51" s="45">
        <v>40.299999999999997</v>
      </c>
      <c r="V51" s="45">
        <v>40.299999999999997</v>
      </c>
      <c r="W51" s="45">
        <v>45</v>
      </c>
      <c r="X51" s="45">
        <v>58.8</v>
      </c>
      <c r="Y51" s="45">
        <v>51.8</v>
      </c>
      <c r="Z51" s="45">
        <v>60</v>
      </c>
      <c r="AA51" s="45">
        <v>60</v>
      </c>
      <c r="AB51" s="65">
        <v>51</v>
      </c>
      <c r="AC51" s="65">
        <v>51</v>
      </c>
      <c r="AD51" s="65">
        <v>64</v>
      </c>
      <c r="AE51" s="65">
        <v>64</v>
      </c>
      <c r="AF51" s="65">
        <v>32</v>
      </c>
      <c r="AG51" s="54">
        <v>69</v>
      </c>
      <c r="AH51" s="47">
        <f t="shared" si="2"/>
        <v>64</v>
      </c>
      <c r="AI51" s="48">
        <f t="shared" si="3"/>
        <v>16.600000000000001</v>
      </c>
      <c r="AK51" s="49"/>
    </row>
    <row r="52" spans="1:41" x14ac:dyDescent="0.25">
      <c r="A52" s="53" t="s">
        <v>60</v>
      </c>
      <c r="B52" s="56">
        <v>41.1</v>
      </c>
      <c r="C52" s="56">
        <v>41.1</v>
      </c>
      <c r="D52" s="56">
        <v>41.1</v>
      </c>
      <c r="E52" s="56">
        <v>40.799999999999997</v>
      </c>
      <c r="F52" s="56">
        <v>41.3</v>
      </c>
      <c r="G52" s="56">
        <v>43.8</v>
      </c>
      <c r="H52" s="56">
        <v>44.1</v>
      </c>
      <c r="I52" s="56">
        <v>44.1</v>
      </c>
      <c r="J52" s="56">
        <v>43.8</v>
      </c>
      <c r="K52" s="56">
        <v>43.8</v>
      </c>
      <c r="L52" s="56">
        <v>43.8</v>
      </c>
      <c r="M52" s="56">
        <v>43.8</v>
      </c>
      <c r="N52" s="65">
        <v>43.6</v>
      </c>
      <c r="O52" s="65">
        <v>41.1</v>
      </c>
      <c r="P52" s="65">
        <v>41.1</v>
      </c>
      <c r="Q52" s="65">
        <v>41.1</v>
      </c>
      <c r="R52" s="65">
        <v>41.2</v>
      </c>
      <c r="S52" s="65">
        <v>41.2</v>
      </c>
      <c r="T52" s="45">
        <v>41</v>
      </c>
      <c r="U52" s="45">
        <v>41</v>
      </c>
      <c r="V52" s="45">
        <v>41</v>
      </c>
      <c r="W52" s="45">
        <v>41</v>
      </c>
      <c r="X52" s="45">
        <v>41</v>
      </c>
      <c r="Y52" s="65">
        <v>39.299999999999997</v>
      </c>
      <c r="Z52" s="65">
        <v>39.299999999999997</v>
      </c>
      <c r="AA52" s="65">
        <v>39.299999999999997</v>
      </c>
      <c r="AB52" s="65">
        <v>40</v>
      </c>
      <c r="AC52" s="65">
        <v>40</v>
      </c>
      <c r="AD52" s="65">
        <v>40</v>
      </c>
      <c r="AE52" s="65">
        <v>40</v>
      </c>
      <c r="AF52" s="65">
        <v>40</v>
      </c>
      <c r="AG52" s="54">
        <v>60</v>
      </c>
      <c r="AH52" s="47">
        <f t="shared" si="2"/>
        <v>44.1</v>
      </c>
      <c r="AI52" s="48">
        <f t="shared" si="3"/>
        <v>39.299999999999997</v>
      </c>
      <c r="AK52" s="49"/>
    </row>
    <row r="53" spans="1:41" x14ac:dyDescent="0.25">
      <c r="A53" s="53" t="s">
        <v>61</v>
      </c>
      <c r="B53" s="56">
        <v>0</v>
      </c>
      <c r="C53" s="56">
        <v>0</v>
      </c>
      <c r="D53" s="56">
        <v>0</v>
      </c>
      <c r="E53" s="56">
        <v>0</v>
      </c>
      <c r="F53" s="56">
        <v>10</v>
      </c>
      <c r="G53" s="56">
        <v>15</v>
      </c>
      <c r="H53" s="56">
        <v>25</v>
      </c>
      <c r="I53" s="56">
        <v>30</v>
      </c>
      <c r="J53" s="56">
        <v>30</v>
      </c>
      <c r="K53" s="56">
        <v>30</v>
      </c>
      <c r="L53" s="56">
        <v>30</v>
      </c>
      <c r="M53" s="56">
        <v>30</v>
      </c>
      <c r="N53" s="65">
        <v>15</v>
      </c>
      <c r="O53" s="65">
        <v>15</v>
      </c>
      <c r="P53" s="65">
        <v>0</v>
      </c>
      <c r="Q53" s="65">
        <v>0</v>
      </c>
      <c r="R53" s="65">
        <v>0</v>
      </c>
      <c r="S53" s="65">
        <v>0</v>
      </c>
      <c r="T53" s="45">
        <v>0</v>
      </c>
      <c r="U53" s="45">
        <v>0</v>
      </c>
      <c r="V53" s="45">
        <v>0</v>
      </c>
      <c r="W53" s="45">
        <v>0</v>
      </c>
      <c r="X53" s="45">
        <v>15</v>
      </c>
      <c r="Y53" s="65">
        <v>29.5</v>
      </c>
      <c r="Z53" s="65">
        <v>29.5</v>
      </c>
      <c r="AA53" s="65">
        <v>29.5</v>
      </c>
      <c r="AB53" s="65">
        <v>25</v>
      </c>
      <c r="AC53" s="65">
        <v>15</v>
      </c>
      <c r="AD53" s="65">
        <v>10</v>
      </c>
      <c r="AE53" s="65">
        <v>10</v>
      </c>
      <c r="AF53" s="65">
        <v>0</v>
      </c>
      <c r="AG53" s="54">
        <v>30</v>
      </c>
      <c r="AH53" s="47">
        <f t="shared" si="2"/>
        <v>30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54">
        <v>25</v>
      </c>
      <c r="AH54" s="47">
        <f t="shared" si="2"/>
        <v>0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16</v>
      </c>
      <c r="C55" s="65">
        <v>16</v>
      </c>
      <c r="D55" s="65">
        <v>16</v>
      </c>
      <c r="E55" s="65">
        <v>16</v>
      </c>
      <c r="F55" s="65">
        <v>16</v>
      </c>
      <c r="G55" s="65">
        <v>16</v>
      </c>
      <c r="H55" s="65">
        <v>16</v>
      </c>
      <c r="I55" s="65">
        <v>16</v>
      </c>
      <c r="J55" s="65">
        <v>16</v>
      </c>
      <c r="K55" s="65">
        <v>16</v>
      </c>
      <c r="L55" s="65">
        <v>16</v>
      </c>
      <c r="M55" s="65">
        <v>16</v>
      </c>
      <c r="N55" s="65">
        <v>16</v>
      </c>
      <c r="O55" s="65">
        <v>16</v>
      </c>
      <c r="P55" s="65">
        <v>16</v>
      </c>
      <c r="Q55" s="65">
        <v>16</v>
      </c>
      <c r="R55" s="65">
        <v>16</v>
      </c>
      <c r="S55" s="65">
        <v>16</v>
      </c>
      <c r="T55" s="65">
        <v>16</v>
      </c>
      <c r="U55" s="65">
        <v>16</v>
      </c>
      <c r="V55" s="65">
        <v>16</v>
      </c>
      <c r="W55" s="65">
        <v>16</v>
      </c>
      <c r="X55" s="65">
        <v>16</v>
      </c>
      <c r="Y55" s="65">
        <v>16</v>
      </c>
      <c r="Z55" s="65">
        <v>16</v>
      </c>
      <c r="AA55" s="65">
        <v>16</v>
      </c>
      <c r="AB55" s="65">
        <v>16</v>
      </c>
      <c r="AC55" s="65">
        <v>16</v>
      </c>
      <c r="AD55" s="65">
        <v>16</v>
      </c>
      <c r="AE55" s="65">
        <v>16</v>
      </c>
      <c r="AF55" s="65">
        <v>16</v>
      </c>
      <c r="AG55" s="54">
        <v>24</v>
      </c>
      <c r="AH55" s="47">
        <f t="shared" si="2"/>
        <v>16</v>
      </c>
      <c r="AI55" s="48">
        <f t="shared" si="3"/>
        <v>16</v>
      </c>
      <c r="AK55" s="49"/>
    </row>
    <row r="56" spans="1:41" x14ac:dyDescent="0.25">
      <c r="A56" s="53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>
        <v>3.2</v>
      </c>
      <c r="AB56" s="65">
        <v>3.2</v>
      </c>
      <c r="AC56" s="65">
        <v>3.2</v>
      </c>
      <c r="AD56" s="65">
        <v>3.2</v>
      </c>
      <c r="AE56" s="65">
        <v>3.2</v>
      </c>
      <c r="AF56" s="65">
        <v>3.2</v>
      </c>
      <c r="AG56" s="54">
        <v>15</v>
      </c>
      <c r="AH56" s="47">
        <f t="shared" si="2"/>
        <v>3.2</v>
      </c>
      <c r="AI56" s="48">
        <f t="shared" si="3"/>
        <v>3.2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10.6</v>
      </c>
      <c r="C57" s="65">
        <v>10.6</v>
      </c>
      <c r="D57" s="65">
        <v>10.6</v>
      </c>
      <c r="E57" s="65">
        <v>10.6</v>
      </c>
      <c r="F57" s="65">
        <v>10.6</v>
      </c>
      <c r="G57" s="65">
        <v>10.6</v>
      </c>
      <c r="H57" s="65">
        <v>10.6</v>
      </c>
      <c r="I57" s="65">
        <v>10.6</v>
      </c>
      <c r="J57" s="65">
        <v>10.6</v>
      </c>
      <c r="K57" s="65">
        <v>10.6</v>
      </c>
      <c r="L57" s="65">
        <v>10.6</v>
      </c>
      <c r="M57" s="65">
        <v>10.6</v>
      </c>
      <c r="N57" s="65">
        <v>10.6</v>
      </c>
      <c r="O57" s="65">
        <v>10.6</v>
      </c>
      <c r="P57" s="65">
        <v>10.6</v>
      </c>
      <c r="Q57" s="65">
        <v>10.6</v>
      </c>
      <c r="R57" s="65">
        <v>10.6</v>
      </c>
      <c r="S57" s="65">
        <v>10.6</v>
      </c>
      <c r="T57" s="65">
        <v>10.6</v>
      </c>
      <c r="U57" s="65">
        <v>10.6</v>
      </c>
      <c r="V57" s="65">
        <v>10.6</v>
      </c>
      <c r="W57" s="65">
        <v>10.6</v>
      </c>
      <c r="X57" s="65">
        <v>10.6</v>
      </c>
      <c r="Y57" s="65">
        <v>10.6</v>
      </c>
      <c r="Z57" s="65">
        <v>10.6</v>
      </c>
      <c r="AA57" s="65">
        <v>10.6</v>
      </c>
      <c r="AB57" s="65">
        <v>10.6</v>
      </c>
      <c r="AC57" s="65">
        <v>10.6</v>
      </c>
      <c r="AD57" s="65">
        <v>10.6</v>
      </c>
      <c r="AE57" s="65">
        <v>10.6</v>
      </c>
      <c r="AF57" s="65">
        <v>10.6</v>
      </c>
      <c r="AG57" s="54">
        <v>14.1</v>
      </c>
      <c r="AH57" s="47">
        <f t="shared" si="2"/>
        <v>10.6</v>
      </c>
      <c r="AI57" s="48">
        <f t="shared" si="3"/>
        <v>10.6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0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3.2</v>
      </c>
      <c r="N58" s="65">
        <v>3.1</v>
      </c>
      <c r="O58" s="65">
        <v>3.2</v>
      </c>
      <c r="P58" s="65">
        <v>3.2</v>
      </c>
      <c r="Q58" s="65">
        <v>3.2</v>
      </c>
      <c r="R58" s="65">
        <v>3.2</v>
      </c>
      <c r="S58" s="65">
        <v>3.2</v>
      </c>
      <c r="T58" s="65">
        <v>3.2</v>
      </c>
      <c r="U58" s="65">
        <v>3.2</v>
      </c>
      <c r="V58" s="65">
        <v>3.2</v>
      </c>
      <c r="W58" s="65">
        <v>3.2</v>
      </c>
      <c r="X58" s="65">
        <v>3.2</v>
      </c>
      <c r="Y58" s="65">
        <v>3.2</v>
      </c>
      <c r="Z58" s="65">
        <v>3.2</v>
      </c>
      <c r="AA58" s="65">
        <v>3.2</v>
      </c>
      <c r="AB58" s="65">
        <v>3.2</v>
      </c>
      <c r="AC58" s="65">
        <v>3.2</v>
      </c>
      <c r="AD58" s="65">
        <v>3.2</v>
      </c>
      <c r="AE58" s="65">
        <v>3.2</v>
      </c>
      <c r="AF58" s="65">
        <v>3.2</v>
      </c>
      <c r="AG58" s="54">
        <v>14</v>
      </c>
      <c r="AH58" s="47">
        <f t="shared" si="2"/>
        <v>3.2</v>
      </c>
      <c r="AI58" s="48">
        <f t="shared" si="3"/>
        <v>0</v>
      </c>
      <c r="AK58" s="49"/>
    </row>
    <row r="59" spans="1:41" x14ac:dyDescent="0.25">
      <c r="A59" s="53" t="s">
        <v>67</v>
      </c>
      <c r="B59" s="65">
        <v>4.2</v>
      </c>
      <c r="C59" s="65">
        <v>4.2</v>
      </c>
      <c r="D59" s="65">
        <v>4.2</v>
      </c>
      <c r="E59" s="65">
        <v>4.2</v>
      </c>
      <c r="F59" s="65">
        <v>4.2</v>
      </c>
      <c r="G59" s="65">
        <v>4.2</v>
      </c>
      <c r="H59" s="65">
        <v>4.2</v>
      </c>
      <c r="I59" s="65">
        <v>4.2</v>
      </c>
      <c r="J59" s="65">
        <v>4.2</v>
      </c>
      <c r="K59" s="65">
        <v>4.2</v>
      </c>
      <c r="L59" s="65">
        <v>4.2</v>
      </c>
      <c r="M59" s="65">
        <v>4.2</v>
      </c>
      <c r="N59" s="65">
        <v>4.2</v>
      </c>
      <c r="O59" s="65">
        <v>4.2</v>
      </c>
      <c r="P59" s="65">
        <v>4.2</v>
      </c>
      <c r="Q59" s="65">
        <v>4.2</v>
      </c>
      <c r="R59" s="65">
        <v>4.2</v>
      </c>
      <c r="S59" s="65">
        <v>4.2</v>
      </c>
      <c r="T59" s="65">
        <v>4.2</v>
      </c>
      <c r="U59" s="65">
        <v>4.2</v>
      </c>
      <c r="V59" s="65">
        <v>4.2</v>
      </c>
      <c r="W59" s="65">
        <v>4.2</v>
      </c>
      <c r="X59" s="65">
        <v>4.2</v>
      </c>
      <c r="Y59" s="65">
        <v>4.2</v>
      </c>
      <c r="Z59" s="65">
        <v>4.2</v>
      </c>
      <c r="AA59" s="65">
        <v>4.2</v>
      </c>
      <c r="AB59" s="65">
        <v>4.2</v>
      </c>
      <c r="AC59" s="65">
        <v>4.2</v>
      </c>
      <c r="AD59" s="65">
        <v>4.2</v>
      </c>
      <c r="AE59" s="65">
        <v>4.2</v>
      </c>
      <c r="AF59" s="65">
        <v>4.2</v>
      </c>
      <c r="AG59" s="54">
        <v>10.050000000000001</v>
      </c>
      <c r="AH59" s="47">
        <f t="shared" si="2"/>
        <v>4.2</v>
      </c>
      <c r="AI59" s="48">
        <f t="shared" si="3"/>
        <v>4.2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>
        <v>3.2</v>
      </c>
      <c r="AB60" s="65">
        <v>3.2</v>
      </c>
      <c r="AC60" s="65">
        <v>3.2</v>
      </c>
      <c r="AD60" s="65">
        <v>3.2</v>
      </c>
      <c r="AE60" s="65">
        <v>3.2</v>
      </c>
      <c r="AF60" s="65">
        <v>3.2</v>
      </c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 t="shared" ref="B62:AG62" si="8">SUM(B49:B61)</f>
        <v>98.640000000000015</v>
      </c>
      <c r="C62" s="60">
        <f t="shared" si="8"/>
        <v>98.84</v>
      </c>
      <c r="D62" s="60">
        <f t="shared" si="8"/>
        <v>98.84</v>
      </c>
      <c r="E62" s="60">
        <f t="shared" si="8"/>
        <v>105.34</v>
      </c>
      <c r="F62" s="60">
        <f t="shared" si="8"/>
        <v>110.34</v>
      </c>
      <c r="G62" s="60">
        <f t="shared" si="8"/>
        <v>137.13999999999999</v>
      </c>
      <c r="H62" s="60">
        <f t="shared" si="8"/>
        <v>176.23999999999995</v>
      </c>
      <c r="I62" s="60">
        <f t="shared" si="8"/>
        <v>242.63999999999996</v>
      </c>
      <c r="J62" s="60">
        <f t="shared" si="8"/>
        <v>289.24</v>
      </c>
      <c r="K62" s="60">
        <f t="shared" si="8"/>
        <v>303.74</v>
      </c>
      <c r="L62" s="60">
        <f t="shared" si="8"/>
        <v>303.74</v>
      </c>
      <c r="M62" s="60">
        <f t="shared" si="8"/>
        <v>323.64</v>
      </c>
      <c r="N62" s="60">
        <f t="shared" si="8"/>
        <v>273.64</v>
      </c>
      <c r="O62" s="60">
        <f t="shared" si="8"/>
        <v>273.44</v>
      </c>
      <c r="P62" s="60">
        <f t="shared" si="8"/>
        <v>256.73999999999995</v>
      </c>
      <c r="Q62" s="60">
        <f t="shared" si="8"/>
        <v>305.04000000000002</v>
      </c>
      <c r="R62" s="60">
        <f t="shared" ref="R62" si="9">SUM(R49:R61)</f>
        <v>279.74</v>
      </c>
      <c r="S62" s="60">
        <f t="shared" si="8"/>
        <v>201.83999999999995</v>
      </c>
      <c r="T62" s="60">
        <f t="shared" si="8"/>
        <v>198.73999999999995</v>
      </c>
      <c r="U62" s="60">
        <f t="shared" si="8"/>
        <v>198.73999999999995</v>
      </c>
      <c r="V62" s="60">
        <f t="shared" si="8"/>
        <v>190.73999999999995</v>
      </c>
      <c r="W62" s="60">
        <f t="shared" si="8"/>
        <v>177.93999999999994</v>
      </c>
      <c r="X62" s="60">
        <f t="shared" si="8"/>
        <v>281.04000000000002</v>
      </c>
      <c r="Y62" s="60">
        <v>358.94</v>
      </c>
      <c r="Z62" s="60">
        <f t="shared" si="8"/>
        <v>340.24</v>
      </c>
      <c r="AA62" s="60">
        <f t="shared" si="8"/>
        <v>321.24</v>
      </c>
      <c r="AB62" s="60">
        <f t="shared" si="8"/>
        <v>253.93999999999994</v>
      </c>
      <c r="AC62" s="60">
        <f t="shared" si="8"/>
        <v>243.93999999999994</v>
      </c>
      <c r="AD62" s="60">
        <f t="shared" si="8"/>
        <v>260.94</v>
      </c>
      <c r="AE62" s="60">
        <f t="shared" si="8"/>
        <v>2553.9399999999991</v>
      </c>
      <c r="AF62" s="60">
        <f t="shared" si="8"/>
        <v>138.93999999999997</v>
      </c>
      <c r="AG62" s="61">
        <f t="shared" si="8"/>
        <v>489.91</v>
      </c>
      <c r="AH62" s="47">
        <f t="shared" si="2"/>
        <v>2553.9399999999991</v>
      </c>
      <c r="AI62" s="48">
        <f t="shared" si="3"/>
        <v>98.640000000000015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0</v>
      </c>
      <c r="Q63" s="45">
        <v>14</v>
      </c>
      <c r="R63" s="45">
        <v>14</v>
      </c>
      <c r="S63" s="45">
        <v>59.9</v>
      </c>
      <c r="T63" s="45">
        <v>60.3</v>
      </c>
      <c r="U63" s="45">
        <v>60.3</v>
      </c>
      <c r="V63" s="45">
        <v>59.1</v>
      </c>
      <c r="W63" s="45">
        <v>38.5</v>
      </c>
      <c r="X63" s="45">
        <v>39.4</v>
      </c>
      <c r="Y63" s="45">
        <v>39.799999999999997</v>
      </c>
      <c r="Z63" s="45">
        <v>29.9</v>
      </c>
      <c r="AA63" s="45">
        <v>10</v>
      </c>
      <c r="AB63" s="45">
        <v>10</v>
      </c>
      <c r="AC63" s="45">
        <v>10</v>
      </c>
      <c r="AD63" s="45">
        <v>10</v>
      </c>
      <c r="AE63" s="45">
        <v>0</v>
      </c>
      <c r="AF63" s="45">
        <v>0</v>
      </c>
      <c r="AG63" s="51">
        <v>60</v>
      </c>
      <c r="AH63" s="47">
        <f t="shared" si="2"/>
        <v>60.3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45">
        <v>4.8</v>
      </c>
      <c r="R64" s="45">
        <v>5</v>
      </c>
      <c r="S64" s="65">
        <v>28.3</v>
      </c>
      <c r="T64" s="65">
        <v>28.4</v>
      </c>
      <c r="U64" s="65">
        <v>28.4</v>
      </c>
      <c r="V64" s="65">
        <v>28.4</v>
      </c>
      <c r="W64" s="65">
        <v>16.5</v>
      </c>
      <c r="X64" s="65">
        <v>17.7</v>
      </c>
      <c r="Y64" s="65">
        <v>12.6</v>
      </c>
      <c r="Z64" s="65">
        <v>14.3</v>
      </c>
      <c r="AA64" s="65">
        <v>6.4</v>
      </c>
      <c r="AB64" s="65">
        <v>6.4</v>
      </c>
      <c r="AC64" s="65">
        <v>6.4</v>
      </c>
      <c r="AD64" s="65">
        <v>6.4</v>
      </c>
      <c r="AE64" s="65">
        <v>0</v>
      </c>
      <c r="AF64" s="65">
        <v>0</v>
      </c>
      <c r="AG64" s="54">
        <v>32</v>
      </c>
      <c r="AH64" s="47">
        <f t="shared" si="2"/>
        <v>28.4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0</v>
      </c>
      <c r="N65" s="67">
        <v>0</v>
      </c>
      <c r="O65" s="67">
        <v>0</v>
      </c>
      <c r="P65" s="67">
        <v>0</v>
      </c>
      <c r="Q65" s="45">
        <v>1.7</v>
      </c>
      <c r="R65" s="45">
        <v>1.8</v>
      </c>
      <c r="S65" s="67">
        <v>10.3</v>
      </c>
      <c r="T65" s="67">
        <v>10.4</v>
      </c>
      <c r="U65" s="67">
        <v>10.4</v>
      </c>
      <c r="V65" s="67">
        <v>10.4</v>
      </c>
      <c r="W65" s="67">
        <v>6</v>
      </c>
      <c r="X65" s="67">
        <v>6.5</v>
      </c>
      <c r="Y65" s="67">
        <v>4.5999999999999996</v>
      </c>
      <c r="Z65" s="67">
        <v>5.2</v>
      </c>
      <c r="AA65" s="67">
        <v>2.2999999999999998</v>
      </c>
      <c r="AB65" s="67">
        <v>2.2999999999999998</v>
      </c>
      <c r="AC65" s="67">
        <v>2.2999999999999998</v>
      </c>
      <c r="AD65" s="67">
        <v>2.2999999999999998</v>
      </c>
      <c r="AE65" s="67">
        <v>0</v>
      </c>
      <c r="AF65" s="67">
        <v>0</v>
      </c>
      <c r="AG65" s="68">
        <v>14</v>
      </c>
      <c r="AH65" s="47">
        <f t="shared" si="2"/>
        <v>10.4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0</v>
      </c>
      <c r="M66" s="60">
        <f t="shared" ref="M66:AF66" si="10">M63+M64+M65</f>
        <v>0</v>
      </c>
      <c r="N66" s="60">
        <f t="shared" si="10"/>
        <v>0</v>
      </c>
      <c r="O66" s="60">
        <f t="shared" si="10"/>
        <v>0</v>
      </c>
      <c r="P66" s="60">
        <f t="shared" si="10"/>
        <v>0</v>
      </c>
      <c r="Q66" s="60">
        <f t="shared" si="10"/>
        <v>20.5</v>
      </c>
      <c r="R66" s="60">
        <f t="shared" ref="R66" si="11">R63+R64+R65</f>
        <v>20.8</v>
      </c>
      <c r="S66" s="60">
        <f t="shared" si="10"/>
        <v>98.5</v>
      </c>
      <c r="T66" s="60">
        <f t="shared" si="10"/>
        <v>99.1</v>
      </c>
      <c r="U66" s="60">
        <f t="shared" si="10"/>
        <v>99.1</v>
      </c>
      <c r="V66" s="60">
        <f t="shared" si="10"/>
        <v>97.9</v>
      </c>
      <c r="W66" s="60">
        <f t="shared" si="10"/>
        <v>61</v>
      </c>
      <c r="X66" s="60">
        <f t="shared" si="10"/>
        <v>63.599999999999994</v>
      </c>
      <c r="Y66" s="60">
        <v>57</v>
      </c>
      <c r="Z66" s="60">
        <f t="shared" si="10"/>
        <v>49.400000000000006</v>
      </c>
      <c r="AA66" s="60">
        <f t="shared" si="10"/>
        <v>18.7</v>
      </c>
      <c r="AB66" s="60">
        <f t="shared" si="10"/>
        <v>18.7</v>
      </c>
      <c r="AC66" s="60">
        <f t="shared" si="10"/>
        <v>18.7</v>
      </c>
      <c r="AD66" s="60">
        <f t="shared" si="10"/>
        <v>18.7</v>
      </c>
      <c r="AE66" s="60">
        <f t="shared" si="10"/>
        <v>0</v>
      </c>
      <c r="AF66" s="60">
        <f t="shared" si="10"/>
        <v>0</v>
      </c>
      <c r="AG66" s="61">
        <f>SUM(AG63:AG65)</f>
        <v>106</v>
      </c>
      <c r="AH66" s="47">
        <f t="shared" si="2"/>
        <v>99.1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61.5</v>
      </c>
      <c r="C67" s="45">
        <v>60</v>
      </c>
      <c r="D67" s="45">
        <v>57.4</v>
      </c>
      <c r="E67" s="45">
        <v>73.599999999999994</v>
      </c>
      <c r="F67" s="45">
        <v>51</v>
      </c>
      <c r="G67" s="45">
        <v>63.7</v>
      </c>
      <c r="H67" s="45">
        <v>61.8</v>
      </c>
      <c r="I67" s="45">
        <v>67.099999999999994</v>
      </c>
      <c r="J67" s="45">
        <v>66.5</v>
      </c>
      <c r="K67" s="45">
        <v>66.5</v>
      </c>
      <c r="L67" s="45">
        <v>63.6</v>
      </c>
      <c r="M67" s="45">
        <v>64.8</v>
      </c>
      <c r="N67" s="45">
        <v>64</v>
      </c>
      <c r="O67" s="45">
        <v>63.2</v>
      </c>
      <c r="P67" s="45">
        <v>63.1</v>
      </c>
      <c r="Q67" s="45">
        <v>75</v>
      </c>
      <c r="R67" s="45">
        <v>69.3</v>
      </c>
      <c r="S67" s="45">
        <v>68</v>
      </c>
      <c r="T67" s="45">
        <v>62.3</v>
      </c>
      <c r="U67" s="45">
        <v>62.3</v>
      </c>
      <c r="V67" s="45">
        <v>67.8</v>
      </c>
      <c r="W67" s="45">
        <v>66.5</v>
      </c>
      <c r="X67" s="45">
        <v>66.5</v>
      </c>
      <c r="Y67" s="45">
        <v>68.900000000000006</v>
      </c>
      <c r="Z67" s="45">
        <v>60.3</v>
      </c>
      <c r="AA67" s="45">
        <v>58.1</v>
      </c>
      <c r="AB67" s="45">
        <v>67</v>
      </c>
      <c r="AC67" s="45">
        <v>65</v>
      </c>
      <c r="AD67" s="45">
        <v>71</v>
      </c>
      <c r="AE67" s="45">
        <v>65</v>
      </c>
      <c r="AF67" s="45">
        <v>70</v>
      </c>
      <c r="AG67" s="51"/>
      <c r="AH67" s="47">
        <f t="shared" si="2"/>
        <v>75</v>
      </c>
      <c r="AI67" s="48">
        <f t="shared" si="3"/>
        <v>51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337</v>
      </c>
      <c r="C69" s="65">
        <v>347.6</v>
      </c>
      <c r="D69" s="65">
        <v>343.7</v>
      </c>
      <c r="E69" s="65">
        <v>353</v>
      </c>
      <c r="F69" s="65">
        <v>335.4</v>
      </c>
      <c r="G69" s="65">
        <v>338</v>
      </c>
      <c r="H69" s="65">
        <v>330</v>
      </c>
      <c r="I69" s="65">
        <v>327</v>
      </c>
      <c r="J69" s="65">
        <v>330</v>
      </c>
      <c r="K69" s="65">
        <v>328</v>
      </c>
      <c r="L69" s="65">
        <v>241</v>
      </c>
      <c r="M69" s="65">
        <v>305</v>
      </c>
      <c r="N69" s="65">
        <v>335</v>
      </c>
      <c r="O69" s="65">
        <v>341</v>
      </c>
      <c r="P69" s="65">
        <v>335</v>
      </c>
      <c r="Q69" s="65">
        <v>338.5</v>
      </c>
      <c r="R69" s="65">
        <v>336.3</v>
      </c>
      <c r="S69" s="65">
        <v>340</v>
      </c>
      <c r="T69" s="65">
        <v>336</v>
      </c>
      <c r="U69" s="65">
        <v>336</v>
      </c>
      <c r="V69" s="65">
        <v>345</v>
      </c>
      <c r="W69" s="65">
        <v>343</v>
      </c>
      <c r="X69" s="65">
        <v>379</v>
      </c>
      <c r="Y69" s="65">
        <v>343</v>
      </c>
      <c r="Z69" s="65">
        <v>342</v>
      </c>
      <c r="AA69" s="65">
        <v>335</v>
      </c>
      <c r="AB69" s="65">
        <v>340</v>
      </c>
      <c r="AC69" s="65">
        <v>336</v>
      </c>
      <c r="AD69" s="65">
        <v>340</v>
      </c>
      <c r="AE69" s="65">
        <v>336</v>
      </c>
      <c r="AF69" s="65">
        <v>340</v>
      </c>
      <c r="AG69" s="75"/>
      <c r="AH69" s="47">
        <f t="shared" si="2"/>
        <v>379</v>
      </c>
      <c r="AI69" s="48">
        <f t="shared" si="3"/>
        <v>241</v>
      </c>
      <c r="AK69" s="49"/>
    </row>
    <row r="70" spans="1:40" x14ac:dyDescent="0.25">
      <c r="A70" s="53" t="s">
        <v>78</v>
      </c>
      <c r="B70" s="76">
        <v>58.7</v>
      </c>
      <c r="C70" s="76">
        <v>59.6</v>
      </c>
      <c r="D70" s="76">
        <v>55.9</v>
      </c>
      <c r="E70" s="76">
        <v>59.4</v>
      </c>
      <c r="F70" s="76">
        <v>60.5</v>
      </c>
      <c r="G70" s="76">
        <v>62.2</v>
      </c>
      <c r="H70" s="76">
        <v>62.5</v>
      </c>
      <c r="I70" s="76">
        <v>66.5</v>
      </c>
      <c r="J70" s="76">
        <v>66.5</v>
      </c>
      <c r="K70" s="76">
        <v>66.5</v>
      </c>
      <c r="L70" s="76">
        <v>60</v>
      </c>
      <c r="M70" s="76">
        <v>61.2</v>
      </c>
      <c r="N70" s="76">
        <v>40.5</v>
      </c>
      <c r="O70" s="76">
        <v>40.799999999999997</v>
      </c>
      <c r="P70" s="76">
        <v>36.799999999999997</v>
      </c>
      <c r="Q70" s="76">
        <v>40.1</v>
      </c>
      <c r="R70" s="76">
        <v>55.8</v>
      </c>
      <c r="S70" s="76">
        <v>55.8</v>
      </c>
      <c r="T70" s="76">
        <v>55.8</v>
      </c>
      <c r="U70" s="76">
        <v>55.8</v>
      </c>
      <c r="V70" s="76">
        <v>55.8</v>
      </c>
      <c r="W70" s="76">
        <v>55.8</v>
      </c>
      <c r="X70" s="76">
        <v>55.8</v>
      </c>
      <c r="Y70" s="65">
        <v>55.8</v>
      </c>
      <c r="Z70" s="65">
        <v>55.8</v>
      </c>
      <c r="AA70" s="65">
        <v>55.8</v>
      </c>
      <c r="AB70" s="65">
        <v>59</v>
      </c>
      <c r="AC70" s="65">
        <v>56</v>
      </c>
      <c r="AD70" s="65">
        <v>56</v>
      </c>
      <c r="AE70" s="65">
        <v>56</v>
      </c>
      <c r="AF70" s="65">
        <v>63</v>
      </c>
      <c r="AG70" s="75"/>
      <c r="AH70" s="47">
        <f t="shared" si="2"/>
        <v>66.5</v>
      </c>
      <c r="AI70" s="48">
        <f t="shared" si="3"/>
        <v>36.799999999999997</v>
      </c>
      <c r="AK70" s="49"/>
    </row>
    <row r="71" spans="1:40" x14ac:dyDescent="0.25">
      <c r="A71" s="53" t="s">
        <v>79</v>
      </c>
      <c r="B71" s="45">
        <v>20</v>
      </c>
      <c r="C71" s="45">
        <v>20</v>
      </c>
      <c r="D71" s="45">
        <v>20</v>
      </c>
      <c r="E71" s="45">
        <v>20.5</v>
      </c>
      <c r="F71" s="45">
        <v>20.5</v>
      </c>
      <c r="G71" s="45">
        <v>20.5</v>
      </c>
      <c r="H71" s="45">
        <v>20.5</v>
      </c>
      <c r="I71" s="45">
        <v>22</v>
      </c>
      <c r="J71" s="45">
        <v>22</v>
      </c>
      <c r="K71" s="45">
        <v>65</v>
      </c>
      <c r="L71" s="45">
        <v>65</v>
      </c>
      <c r="M71" s="45">
        <v>80</v>
      </c>
      <c r="N71" s="45">
        <v>75</v>
      </c>
      <c r="O71" s="45">
        <v>78</v>
      </c>
      <c r="P71" s="45">
        <v>18</v>
      </c>
      <c r="Q71" s="45">
        <v>34</v>
      </c>
      <c r="R71" s="45">
        <v>32</v>
      </c>
      <c r="S71" s="45">
        <v>32</v>
      </c>
      <c r="T71" s="45">
        <v>32</v>
      </c>
      <c r="U71" s="45">
        <v>32</v>
      </c>
      <c r="V71" s="45">
        <v>32</v>
      </c>
      <c r="W71" s="45">
        <v>32</v>
      </c>
      <c r="X71" s="45">
        <v>32</v>
      </c>
      <c r="Y71" s="45">
        <v>32</v>
      </c>
      <c r="Z71" s="45">
        <v>32</v>
      </c>
      <c r="AA71" s="45">
        <v>32</v>
      </c>
      <c r="AB71" s="45">
        <v>68</v>
      </c>
      <c r="AC71" s="45">
        <v>68</v>
      </c>
      <c r="AD71" s="45">
        <v>23</v>
      </c>
      <c r="AE71" s="45">
        <v>25</v>
      </c>
      <c r="AF71" s="45">
        <v>25</v>
      </c>
      <c r="AG71" s="75"/>
      <c r="AH71" s="47">
        <f t="shared" si="2"/>
        <v>80</v>
      </c>
      <c r="AI71" s="48">
        <f t="shared" si="3"/>
        <v>18</v>
      </c>
      <c r="AK71" s="49"/>
    </row>
    <row r="72" spans="1:40" x14ac:dyDescent="0.25">
      <c r="A72" s="53" t="s">
        <v>80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>
        <v>5</v>
      </c>
      <c r="AB72" s="77">
        <v>5</v>
      </c>
      <c r="AC72" s="77">
        <v>5</v>
      </c>
      <c r="AD72" s="77">
        <v>5</v>
      </c>
      <c r="AE72" s="77">
        <v>5</v>
      </c>
      <c r="AF72" s="77">
        <v>5</v>
      </c>
      <c r="AG72" s="75"/>
      <c r="AH72" s="47">
        <f t="shared" si="2"/>
        <v>5</v>
      </c>
      <c r="AI72" s="48">
        <f t="shared" si="3"/>
        <v>0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>
        <v>0</v>
      </c>
      <c r="AB73" s="77">
        <v>0</v>
      </c>
      <c r="AC73" s="77">
        <v>0</v>
      </c>
      <c r="AD73" s="77">
        <v>0</v>
      </c>
      <c r="AE73" s="77">
        <v>0</v>
      </c>
      <c r="AF73" s="77">
        <v>0</v>
      </c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>
        <v>0</v>
      </c>
      <c r="AB74" s="77">
        <v>0</v>
      </c>
      <c r="AC74" s="77">
        <v>0</v>
      </c>
      <c r="AD74" s="77">
        <v>0</v>
      </c>
      <c r="AE74" s="77">
        <v>0</v>
      </c>
      <c r="AF74" s="77">
        <v>0</v>
      </c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>
        <v>0</v>
      </c>
      <c r="AB75" s="77">
        <v>0</v>
      </c>
      <c r="AC75" s="77">
        <v>0</v>
      </c>
      <c r="AD75" s="77">
        <v>0</v>
      </c>
      <c r="AE75" s="77">
        <v>0</v>
      </c>
      <c r="AF75" s="77">
        <v>0</v>
      </c>
      <c r="AG75" s="75"/>
      <c r="AH75" s="47">
        <f t="shared" ref="AH75:AH113" si="12">MAX(B75:AF75)</f>
        <v>0</v>
      </c>
      <c r="AI75" s="48">
        <f t="shared" ref="AI75:AI113" si="13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>
        <v>0</v>
      </c>
      <c r="AB76" s="77">
        <v>0</v>
      </c>
      <c r="AC76" s="77">
        <v>0</v>
      </c>
      <c r="AD76" s="77">
        <v>0</v>
      </c>
      <c r="AE76" s="77">
        <v>0</v>
      </c>
      <c r="AF76" s="77">
        <v>0</v>
      </c>
      <c r="AG76" s="85"/>
      <c r="AH76" s="47">
        <f t="shared" si="12"/>
        <v>0</v>
      </c>
      <c r="AI76" s="48">
        <f t="shared" si="13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>
        <v>0</v>
      </c>
      <c r="AB77" s="77">
        <v>0</v>
      </c>
      <c r="AC77" s="77">
        <v>0</v>
      </c>
      <c r="AD77" s="77">
        <v>0</v>
      </c>
      <c r="AE77" s="77">
        <v>0</v>
      </c>
      <c r="AF77" s="77">
        <v>0</v>
      </c>
      <c r="AG77" s="85"/>
      <c r="AH77" s="47">
        <f t="shared" si="12"/>
        <v>0</v>
      </c>
      <c r="AI77" s="48">
        <f t="shared" si="13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F78" si="14">SUMIF(B67:B77,"&gt;0")</f>
        <v>477.2</v>
      </c>
      <c r="C78" s="60">
        <f t="shared" si="14"/>
        <v>487.20000000000005</v>
      </c>
      <c r="D78" s="60">
        <f t="shared" si="14"/>
        <v>476.99999999999994</v>
      </c>
      <c r="E78" s="60">
        <f t="shared" si="14"/>
        <v>506.5</v>
      </c>
      <c r="F78" s="60">
        <f t="shared" si="14"/>
        <v>467.4</v>
      </c>
      <c r="G78" s="60">
        <f t="shared" si="14"/>
        <v>489.4</v>
      </c>
      <c r="H78" s="60">
        <f t="shared" si="14"/>
        <v>479.8</v>
      </c>
      <c r="I78" s="60">
        <f t="shared" si="14"/>
        <v>487.6</v>
      </c>
      <c r="J78" s="60">
        <f t="shared" si="14"/>
        <v>490</v>
      </c>
      <c r="K78" s="60">
        <f t="shared" si="14"/>
        <v>531</v>
      </c>
      <c r="L78" s="60">
        <f t="shared" si="14"/>
        <v>434.6</v>
      </c>
      <c r="M78" s="60">
        <f t="shared" si="14"/>
        <v>516</v>
      </c>
      <c r="N78" s="60">
        <f t="shared" si="14"/>
        <v>519.5</v>
      </c>
      <c r="O78" s="60">
        <f t="shared" si="14"/>
        <v>528</v>
      </c>
      <c r="P78" s="60">
        <f t="shared" si="14"/>
        <v>457.90000000000003</v>
      </c>
      <c r="Q78" s="60">
        <f t="shared" si="14"/>
        <v>492.6</v>
      </c>
      <c r="R78" s="60">
        <f t="shared" ref="R78" si="15">SUMIF(R67:R77,"&gt;0")</f>
        <v>498.40000000000003</v>
      </c>
      <c r="S78" s="60">
        <f t="shared" si="14"/>
        <v>500.8</v>
      </c>
      <c r="T78" s="60">
        <f t="shared" si="14"/>
        <v>491.1</v>
      </c>
      <c r="U78" s="60">
        <f t="shared" si="14"/>
        <v>491.1</v>
      </c>
      <c r="V78" s="60">
        <f t="shared" si="14"/>
        <v>505.6</v>
      </c>
      <c r="W78" s="60">
        <f t="shared" si="14"/>
        <v>502.3</v>
      </c>
      <c r="X78" s="60">
        <f t="shared" si="14"/>
        <v>538.29999999999995</v>
      </c>
      <c r="Y78" s="60">
        <v>504.7</v>
      </c>
      <c r="Z78" s="60">
        <f t="shared" si="14"/>
        <v>495.1</v>
      </c>
      <c r="AA78" s="60">
        <f t="shared" si="14"/>
        <v>485.90000000000003</v>
      </c>
      <c r="AB78" s="60">
        <f t="shared" si="14"/>
        <v>539</v>
      </c>
      <c r="AC78" s="60">
        <f t="shared" si="14"/>
        <v>530</v>
      </c>
      <c r="AD78" s="60">
        <f t="shared" si="14"/>
        <v>495</v>
      </c>
      <c r="AE78" s="60">
        <f t="shared" si="14"/>
        <v>487</v>
      </c>
      <c r="AF78" s="60">
        <f t="shared" si="14"/>
        <v>503</v>
      </c>
      <c r="AG78" s="88">
        <f>SUM(AG67:AG77)</f>
        <v>0</v>
      </c>
      <c r="AH78" s="47">
        <f t="shared" si="12"/>
        <v>539</v>
      </c>
      <c r="AI78" s="48">
        <f t="shared" si="13"/>
        <v>434.6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12"/>
        <v>0</v>
      </c>
      <c r="AI79" s="48">
        <f t="shared" si="13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12"/>
        <v>0</v>
      </c>
      <c r="AI80" s="48">
        <f t="shared" si="13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12"/>
        <v>0</v>
      </c>
      <c r="AI81" s="48">
        <f t="shared" si="13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>
        <v>0</v>
      </c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12"/>
        <v>0</v>
      </c>
      <c r="AI82" s="48">
        <f t="shared" si="13"/>
        <v>0</v>
      </c>
    </row>
    <row r="83" spans="1:37" ht="15.75" thickBot="1" x14ac:dyDescent="0.3">
      <c r="A83" s="74" t="s">
        <v>94</v>
      </c>
      <c r="B83" s="95">
        <f>B44+B48+B66+B62+B78+B82</f>
        <v>1015.6400000000001</v>
      </c>
      <c r="C83" s="95">
        <f t="shared" ref="C83:AG83" si="16">C44+C48+C66+C62+C78+C82</f>
        <v>1025.8400000000001</v>
      </c>
      <c r="D83" s="95">
        <f t="shared" si="16"/>
        <v>985.63999999999987</v>
      </c>
      <c r="E83" s="95">
        <f t="shared" si="16"/>
        <v>1020.94</v>
      </c>
      <c r="F83" s="95">
        <f t="shared" si="16"/>
        <v>1001.84</v>
      </c>
      <c r="G83" s="95">
        <f t="shared" si="16"/>
        <v>1054.54</v>
      </c>
      <c r="H83" s="95">
        <f t="shared" si="16"/>
        <v>1114.04</v>
      </c>
      <c r="I83" s="95">
        <f t="shared" si="16"/>
        <v>1194.94</v>
      </c>
      <c r="J83" s="95">
        <f t="shared" si="16"/>
        <v>1258.94</v>
      </c>
      <c r="K83" s="95">
        <f t="shared" si="16"/>
        <v>1284.04</v>
      </c>
      <c r="L83" s="95">
        <f t="shared" si="16"/>
        <v>1308.54</v>
      </c>
      <c r="M83" s="95">
        <f t="shared" si="16"/>
        <v>1362.7399999999998</v>
      </c>
      <c r="N83" s="95">
        <f t="shared" si="16"/>
        <v>1284.94</v>
      </c>
      <c r="O83" s="95">
        <f t="shared" si="16"/>
        <v>1252.54</v>
      </c>
      <c r="P83" s="95">
        <f t="shared" si="16"/>
        <v>1175.1399999999999</v>
      </c>
      <c r="Q83" s="95">
        <f t="shared" si="16"/>
        <v>1289.3400000000001</v>
      </c>
      <c r="R83" s="95">
        <f t="shared" ref="R83" si="17">R44+R48+R66+R62+R78+R82</f>
        <v>1272.94</v>
      </c>
      <c r="S83" s="95">
        <f t="shared" si="16"/>
        <v>1267.4399999999998</v>
      </c>
      <c r="T83" s="95">
        <f t="shared" si="16"/>
        <v>1255.2399999999998</v>
      </c>
      <c r="U83" s="95">
        <f t="shared" si="16"/>
        <v>1225.2399999999998</v>
      </c>
      <c r="V83" s="95">
        <f t="shared" si="16"/>
        <v>1205.54</v>
      </c>
      <c r="W83" s="95">
        <f t="shared" si="16"/>
        <v>1152.54</v>
      </c>
      <c r="X83" s="95">
        <f t="shared" si="16"/>
        <v>1325.04</v>
      </c>
      <c r="Y83" s="95">
        <v>1389.74</v>
      </c>
      <c r="Z83" s="95">
        <f t="shared" si="16"/>
        <v>1313.74</v>
      </c>
      <c r="AA83" s="95">
        <f t="shared" si="16"/>
        <v>1254.8400000000001</v>
      </c>
      <c r="AB83" s="95">
        <f t="shared" si="16"/>
        <v>1262.44</v>
      </c>
      <c r="AC83" s="95">
        <f t="shared" si="16"/>
        <v>1223.44</v>
      </c>
      <c r="AD83" s="95">
        <f t="shared" si="16"/>
        <v>1190.44</v>
      </c>
      <c r="AE83" s="95">
        <f t="shared" si="16"/>
        <v>3471.7399999999993</v>
      </c>
      <c r="AF83" s="95">
        <f t="shared" si="16"/>
        <v>1118.74</v>
      </c>
      <c r="AG83" s="61">
        <f t="shared" si="16"/>
        <v>2004.1900000000003</v>
      </c>
      <c r="AH83" s="47">
        <f>MAX(B83:AF83)</f>
        <v>3471.7399999999993</v>
      </c>
      <c r="AI83" s="48">
        <f>MIN(B83:AF83)</f>
        <v>985.63999999999987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>
        <v>150</v>
      </c>
      <c r="L84" s="97">
        <v>150</v>
      </c>
      <c r="M84" s="97">
        <v>150</v>
      </c>
      <c r="N84" s="97">
        <v>150</v>
      </c>
      <c r="O84" s="97">
        <v>150</v>
      </c>
      <c r="P84" s="97">
        <v>150</v>
      </c>
      <c r="Q84" s="97"/>
      <c r="R84" s="97"/>
      <c r="S84" s="97"/>
      <c r="T84" s="97"/>
      <c r="U84" s="97"/>
      <c r="V84" s="97"/>
      <c r="W84" s="97"/>
      <c r="X84" s="97">
        <v>160</v>
      </c>
      <c r="Y84" s="97">
        <v>160</v>
      </c>
      <c r="Z84" s="97">
        <v>150</v>
      </c>
      <c r="AA84" s="97">
        <v>120</v>
      </c>
      <c r="AB84" s="97">
        <v>80</v>
      </c>
      <c r="AC84" s="97">
        <v>40</v>
      </c>
      <c r="AD84" s="97">
        <v>0</v>
      </c>
      <c r="AE84" s="97"/>
      <c r="AF84" s="97"/>
      <c r="AG84" s="88"/>
      <c r="AH84" s="47">
        <f t="shared" si="12"/>
        <v>160</v>
      </c>
      <c r="AI84" s="48">
        <f t="shared" si="13"/>
        <v>0</v>
      </c>
    </row>
    <row r="85" spans="1:37" ht="15.75" thickBot="1" x14ac:dyDescent="0.3">
      <c r="A85" s="74" t="s">
        <v>96</v>
      </c>
      <c r="B85" s="95">
        <f>B83+B84</f>
        <v>1015.6400000000001</v>
      </c>
      <c r="C85" s="95">
        <f t="shared" ref="C85:AF85" si="18">C83+C84</f>
        <v>1025.8400000000001</v>
      </c>
      <c r="D85" s="95">
        <f t="shared" si="18"/>
        <v>985.63999999999987</v>
      </c>
      <c r="E85" s="95">
        <f t="shared" si="18"/>
        <v>1020.94</v>
      </c>
      <c r="F85" s="95">
        <f t="shared" si="18"/>
        <v>1001.84</v>
      </c>
      <c r="G85" s="95">
        <f t="shared" si="18"/>
        <v>1054.54</v>
      </c>
      <c r="H85" s="95">
        <f t="shared" si="18"/>
        <v>1114.04</v>
      </c>
      <c r="I85" s="95">
        <f t="shared" si="18"/>
        <v>1194.94</v>
      </c>
      <c r="J85" s="95">
        <f t="shared" si="18"/>
        <v>1258.94</v>
      </c>
      <c r="K85" s="95">
        <f t="shared" si="18"/>
        <v>1434.04</v>
      </c>
      <c r="L85" s="95">
        <f t="shared" si="18"/>
        <v>1458.54</v>
      </c>
      <c r="M85" s="95">
        <f t="shared" si="18"/>
        <v>1512.7399999999998</v>
      </c>
      <c r="N85" s="95">
        <f t="shared" si="18"/>
        <v>1434.94</v>
      </c>
      <c r="O85" s="95">
        <f t="shared" si="18"/>
        <v>1402.54</v>
      </c>
      <c r="P85" s="95">
        <f t="shared" si="18"/>
        <v>1325.1399999999999</v>
      </c>
      <c r="Q85" s="95">
        <f t="shared" si="18"/>
        <v>1289.3400000000001</v>
      </c>
      <c r="R85" s="95">
        <f t="shared" si="18"/>
        <v>1272.94</v>
      </c>
      <c r="S85" s="95">
        <f t="shared" si="18"/>
        <v>1267.4399999999998</v>
      </c>
      <c r="T85" s="95">
        <f t="shared" si="18"/>
        <v>1255.2399999999998</v>
      </c>
      <c r="U85" s="95">
        <f t="shared" si="18"/>
        <v>1225.2399999999998</v>
      </c>
      <c r="V85" s="95">
        <f t="shared" si="18"/>
        <v>1205.54</v>
      </c>
      <c r="W85" s="95">
        <f t="shared" si="18"/>
        <v>1152.54</v>
      </c>
      <c r="X85" s="95">
        <f t="shared" si="18"/>
        <v>1485.04</v>
      </c>
      <c r="Y85" s="95">
        <v>1549.74</v>
      </c>
      <c r="Z85" s="95">
        <f t="shared" si="18"/>
        <v>1463.74</v>
      </c>
      <c r="AA85" s="95">
        <f t="shared" si="18"/>
        <v>1374.8400000000001</v>
      </c>
      <c r="AB85" s="95">
        <f t="shared" si="18"/>
        <v>1342.44</v>
      </c>
      <c r="AC85" s="95">
        <f t="shared" si="18"/>
        <v>1263.44</v>
      </c>
      <c r="AD85" s="95">
        <f t="shared" si="18"/>
        <v>1190.44</v>
      </c>
      <c r="AE85" s="95">
        <f t="shared" si="18"/>
        <v>3471.7399999999993</v>
      </c>
      <c r="AF85" s="95">
        <f t="shared" si="18"/>
        <v>1118.74</v>
      </c>
      <c r="AG85" s="88">
        <f>AG82+AG78+AG66+AG62+AG44+AG84</f>
        <v>1466.0900000000001</v>
      </c>
      <c r="AH85" s="47">
        <f t="shared" si="12"/>
        <v>3471.7399999999993</v>
      </c>
      <c r="AI85" s="48">
        <f t="shared" si="13"/>
        <v>985.63999999999987</v>
      </c>
    </row>
    <row r="86" spans="1:37" ht="15.75" thickBot="1" x14ac:dyDescent="0.3">
      <c r="A86" s="74" t="s">
        <v>97</v>
      </c>
      <c r="B86" s="95">
        <f t="shared" ref="B86:AF86" si="19">B85-B93</f>
        <v>1015.6400000000001</v>
      </c>
      <c r="C86" s="95">
        <f t="shared" si="19"/>
        <v>1025.8400000000001</v>
      </c>
      <c r="D86" s="95">
        <f t="shared" si="19"/>
        <v>985.63999999999987</v>
      </c>
      <c r="E86" s="95">
        <f t="shared" si="19"/>
        <v>1020.94</v>
      </c>
      <c r="F86" s="95">
        <f t="shared" si="19"/>
        <v>1001.84</v>
      </c>
      <c r="G86" s="95">
        <f t="shared" si="19"/>
        <v>1054.54</v>
      </c>
      <c r="H86" s="95">
        <f t="shared" si="19"/>
        <v>1114.04</v>
      </c>
      <c r="I86" s="95">
        <f t="shared" si="19"/>
        <v>1194.94</v>
      </c>
      <c r="J86" s="95">
        <f t="shared" si="19"/>
        <v>1258.94</v>
      </c>
      <c r="K86" s="95">
        <f t="shared" si="19"/>
        <v>1434.04</v>
      </c>
      <c r="L86" s="95">
        <f t="shared" si="19"/>
        <v>1458.54</v>
      </c>
      <c r="M86" s="95">
        <f t="shared" si="19"/>
        <v>1512.7399999999998</v>
      </c>
      <c r="N86" s="95">
        <f t="shared" si="19"/>
        <v>1434.94</v>
      </c>
      <c r="O86" s="95">
        <f t="shared" si="19"/>
        <v>1402.54</v>
      </c>
      <c r="P86" s="95">
        <f t="shared" si="19"/>
        <v>1325.1399999999999</v>
      </c>
      <c r="Q86" s="95">
        <f t="shared" si="19"/>
        <v>1289.3400000000001</v>
      </c>
      <c r="R86" s="95">
        <f t="shared" si="19"/>
        <v>1272.94</v>
      </c>
      <c r="S86" s="95">
        <f t="shared" si="19"/>
        <v>1267.4399999999998</v>
      </c>
      <c r="T86" s="95">
        <f t="shared" si="19"/>
        <v>1255.2399999999998</v>
      </c>
      <c r="U86" s="95">
        <f t="shared" si="19"/>
        <v>1225.2399999999998</v>
      </c>
      <c r="V86" s="95">
        <f t="shared" si="19"/>
        <v>1205.54</v>
      </c>
      <c r="W86" s="95">
        <f t="shared" si="19"/>
        <v>1152.54</v>
      </c>
      <c r="X86" s="95">
        <f t="shared" si="19"/>
        <v>1485.04</v>
      </c>
      <c r="Y86" s="95">
        <v>1549.74</v>
      </c>
      <c r="Z86" s="95">
        <f t="shared" si="19"/>
        <v>1463.74</v>
      </c>
      <c r="AA86" s="95">
        <f t="shared" si="19"/>
        <v>1374.8400000000001</v>
      </c>
      <c r="AB86" s="95">
        <f t="shared" si="19"/>
        <v>1342.44</v>
      </c>
      <c r="AC86" s="95">
        <f t="shared" si="19"/>
        <v>1263.44</v>
      </c>
      <c r="AD86" s="95">
        <f t="shared" si="19"/>
        <v>1190.44</v>
      </c>
      <c r="AE86" s="95">
        <f t="shared" si="19"/>
        <v>3471.7399999999993</v>
      </c>
      <c r="AF86" s="95">
        <f t="shared" si="19"/>
        <v>1118.74</v>
      </c>
      <c r="AG86" s="88"/>
      <c r="AH86" s="47">
        <f t="shared" si="12"/>
        <v>3471.7399999999993</v>
      </c>
      <c r="AI86" s="48">
        <f t="shared" si="13"/>
        <v>985.63999999999987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12"/>
        <v>0</v>
      </c>
      <c r="AI87" s="48">
        <f t="shared" si="13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12"/>
        <v>0</v>
      </c>
      <c r="AI88" s="48">
        <f t="shared" si="13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12"/>
        <v>0</v>
      </c>
      <c r="AI89" s="48">
        <f t="shared" si="13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12"/>
        <v>0</v>
      </c>
      <c r="AI90" s="48">
        <f t="shared" si="13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12"/>
        <v>0</v>
      </c>
      <c r="AI91" s="48">
        <f t="shared" si="13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12"/>
        <v>0</v>
      </c>
      <c r="AI92" s="48">
        <f t="shared" si="13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>
        <v>0</v>
      </c>
      <c r="Z93" s="60"/>
      <c r="AA93" s="60"/>
      <c r="AB93" s="60"/>
      <c r="AC93" s="60"/>
      <c r="AD93" s="60"/>
      <c r="AE93" s="60"/>
      <c r="AF93" s="60"/>
      <c r="AG93" s="88"/>
      <c r="AH93" s="47">
        <f t="shared" si="12"/>
        <v>0</v>
      </c>
      <c r="AI93" s="48">
        <f t="shared" si="13"/>
        <v>0</v>
      </c>
      <c r="AK93" s="49"/>
    </row>
    <row r="94" spans="1:37" ht="15.75" thickBot="1" x14ac:dyDescent="0.3">
      <c r="A94" s="74" t="s">
        <v>102</v>
      </c>
      <c r="B94" s="60">
        <f t="shared" ref="B94:AF94" si="20">B78-B93</f>
        <v>477.2</v>
      </c>
      <c r="C94" s="60">
        <f t="shared" si="20"/>
        <v>487.20000000000005</v>
      </c>
      <c r="D94" s="60">
        <f t="shared" si="20"/>
        <v>476.99999999999994</v>
      </c>
      <c r="E94" s="60">
        <f t="shared" si="20"/>
        <v>506.5</v>
      </c>
      <c r="F94" s="60">
        <f t="shared" si="20"/>
        <v>467.4</v>
      </c>
      <c r="G94" s="60">
        <f t="shared" si="20"/>
        <v>489.4</v>
      </c>
      <c r="H94" s="60">
        <f t="shared" si="20"/>
        <v>479.8</v>
      </c>
      <c r="I94" s="60">
        <f t="shared" si="20"/>
        <v>487.6</v>
      </c>
      <c r="J94" s="60">
        <f t="shared" si="20"/>
        <v>490</v>
      </c>
      <c r="K94" s="60">
        <f t="shared" si="20"/>
        <v>531</v>
      </c>
      <c r="L94" s="60">
        <f t="shared" si="20"/>
        <v>434.6</v>
      </c>
      <c r="M94" s="60">
        <f t="shared" si="20"/>
        <v>516</v>
      </c>
      <c r="N94" s="60">
        <f t="shared" si="20"/>
        <v>519.5</v>
      </c>
      <c r="O94" s="60">
        <f t="shared" si="20"/>
        <v>528</v>
      </c>
      <c r="P94" s="60">
        <f t="shared" si="20"/>
        <v>457.90000000000003</v>
      </c>
      <c r="Q94" s="60">
        <f t="shared" si="20"/>
        <v>492.6</v>
      </c>
      <c r="R94" s="60">
        <f t="shared" si="20"/>
        <v>498.40000000000003</v>
      </c>
      <c r="S94" s="60">
        <f t="shared" si="20"/>
        <v>500.8</v>
      </c>
      <c r="T94" s="60">
        <f t="shared" si="20"/>
        <v>491.1</v>
      </c>
      <c r="U94" s="60">
        <f t="shared" si="20"/>
        <v>491.1</v>
      </c>
      <c r="V94" s="60">
        <f t="shared" si="20"/>
        <v>505.6</v>
      </c>
      <c r="W94" s="60">
        <f t="shared" si="20"/>
        <v>502.3</v>
      </c>
      <c r="X94" s="60">
        <f t="shared" si="20"/>
        <v>538.29999999999995</v>
      </c>
      <c r="Y94" s="60">
        <v>504.7</v>
      </c>
      <c r="Z94" s="60">
        <f t="shared" si="20"/>
        <v>495.1</v>
      </c>
      <c r="AA94" s="60">
        <f t="shared" si="20"/>
        <v>485.90000000000003</v>
      </c>
      <c r="AB94" s="60">
        <f t="shared" si="20"/>
        <v>539</v>
      </c>
      <c r="AC94" s="60">
        <f t="shared" si="20"/>
        <v>530</v>
      </c>
      <c r="AD94" s="60">
        <f t="shared" si="20"/>
        <v>495</v>
      </c>
      <c r="AE94" s="60">
        <f t="shared" si="20"/>
        <v>487</v>
      </c>
      <c r="AF94" s="60">
        <f t="shared" si="20"/>
        <v>503</v>
      </c>
      <c r="AG94" s="88"/>
      <c r="AH94" s="47">
        <f t="shared" si="12"/>
        <v>539</v>
      </c>
      <c r="AI94" s="48">
        <f t="shared" si="13"/>
        <v>434.6</v>
      </c>
    </row>
    <row r="95" spans="1:37" x14ac:dyDescent="0.25">
      <c r="A95" s="100" t="s">
        <v>103</v>
      </c>
      <c r="B95" s="101">
        <v>49.962000000000003</v>
      </c>
      <c r="C95" s="101">
        <v>50.029000000000003</v>
      </c>
      <c r="D95" s="101">
        <v>50.031999999999996</v>
      </c>
      <c r="E95" s="101">
        <v>50.031999999999996</v>
      </c>
      <c r="F95" s="101">
        <v>50.04</v>
      </c>
      <c r="G95" s="101">
        <v>49.939</v>
      </c>
      <c r="H95" s="101">
        <v>50.034999999999997</v>
      </c>
      <c r="I95" s="101">
        <v>50.124000000000002</v>
      </c>
      <c r="J95" s="101">
        <v>49.932000000000002</v>
      </c>
      <c r="K95" s="101">
        <v>49.932000000000002</v>
      </c>
      <c r="L95" s="101">
        <v>50.058</v>
      </c>
      <c r="M95" s="101">
        <v>50.09</v>
      </c>
      <c r="N95" s="101">
        <v>50.052999999999997</v>
      </c>
      <c r="O95" s="101">
        <v>49.997999999999998</v>
      </c>
      <c r="P95" s="101">
        <v>50.026000000000003</v>
      </c>
      <c r="Q95" s="101">
        <v>50.11</v>
      </c>
      <c r="R95" s="101">
        <v>50.2</v>
      </c>
      <c r="S95" s="101">
        <v>50.21</v>
      </c>
      <c r="T95" s="101">
        <v>50.06</v>
      </c>
      <c r="U95" s="101">
        <v>50.06</v>
      </c>
      <c r="V95" s="101">
        <v>50.03</v>
      </c>
      <c r="W95" s="101">
        <v>49.97</v>
      </c>
      <c r="X95" s="101">
        <v>50.01</v>
      </c>
      <c r="Y95" s="101">
        <v>50.03</v>
      </c>
      <c r="Z95" s="101">
        <v>49.96</v>
      </c>
      <c r="AA95" s="101">
        <v>49.96</v>
      </c>
      <c r="AB95" s="101">
        <v>50</v>
      </c>
      <c r="AC95" s="101">
        <v>49.96</v>
      </c>
      <c r="AD95" s="101">
        <v>50.1</v>
      </c>
      <c r="AE95" s="101">
        <v>50.01</v>
      </c>
      <c r="AF95" s="101">
        <v>50.07</v>
      </c>
      <c r="AG95" s="102"/>
      <c r="AH95" s="47">
        <f t="shared" si="12"/>
        <v>50.21</v>
      </c>
      <c r="AI95" s="48">
        <f t="shared" si="13"/>
        <v>49.932000000000002</v>
      </c>
    </row>
    <row r="96" spans="1:37" x14ac:dyDescent="0.25">
      <c r="A96" s="103" t="s">
        <v>104</v>
      </c>
      <c r="B96" s="65">
        <v>129.69999999999999</v>
      </c>
      <c r="C96" s="65">
        <v>128.30000000000001</v>
      </c>
      <c r="D96" s="65">
        <v>128.30000000000001</v>
      </c>
      <c r="E96" s="65">
        <v>129</v>
      </c>
      <c r="F96" s="65">
        <v>128.9</v>
      </c>
      <c r="G96" s="65">
        <v>130.19999999999999</v>
      </c>
      <c r="H96" s="65">
        <v>128.69999999999999</v>
      </c>
      <c r="I96" s="65">
        <v>128.30000000000001</v>
      </c>
      <c r="J96" s="65">
        <v>128.1</v>
      </c>
      <c r="K96" s="65">
        <v>128.1</v>
      </c>
      <c r="L96" s="65">
        <v>125.8</v>
      </c>
      <c r="M96" s="65">
        <v>125.1</v>
      </c>
      <c r="N96" s="65">
        <v>125.8</v>
      </c>
      <c r="O96" s="65">
        <v>126.5</v>
      </c>
      <c r="P96" s="65">
        <v>125</v>
      </c>
      <c r="Q96" s="65">
        <v>125.1</v>
      </c>
      <c r="R96" s="65">
        <v>126.8</v>
      </c>
      <c r="S96" s="65">
        <v>127.3</v>
      </c>
      <c r="T96" s="65">
        <v>128.19999999999999</v>
      </c>
      <c r="U96" s="65">
        <v>128.19999999999999</v>
      </c>
      <c r="V96" s="65">
        <v>127.1</v>
      </c>
      <c r="W96" s="65">
        <v>129</v>
      </c>
      <c r="X96" s="65">
        <v>128.4</v>
      </c>
      <c r="Y96" s="65">
        <v>128.19999999999999</v>
      </c>
      <c r="Z96" s="65">
        <v>128.30000000000001</v>
      </c>
      <c r="AA96" s="65">
        <v>128.30000000000001</v>
      </c>
      <c r="AB96" s="65">
        <v>130</v>
      </c>
      <c r="AC96" s="65">
        <v>128.30000000000001</v>
      </c>
      <c r="AD96" s="65">
        <v>128.30000000000001</v>
      </c>
      <c r="AE96" s="65">
        <v>128</v>
      </c>
      <c r="AF96" s="65">
        <v>128</v>
      </c>
      <c r="AG96" s="104"/>
      <c r="AH96" s="47">
        <f t="shared" si="12"/>
        <v>130.19999999999999</v>
      </c>
      <c r="AI96" s="48">
        <f t="shared" si="13"/>
        <v>125</v>
      </c>
    </row>
    <row r="97" spans="1:35" x14ac:dyDescent="0.25">
      <c r="A97" s="103" t="s">
        <v>105</v>
      </c>
      <c r="B97" s="65">
        <v>133.1</v>
      </c>
      <c r="C97" s="65">
        <v>132.30000000000001</v>
      </c>
      <c r="D97" s="65">
        <v>132.30000000000001</v>
      </c>
      <c r="E97" s="65">
        <v>133</v>
      </c>
      <c r="F97" s="65">
        <v>132.80000000000001</v>
      </c>
      <c r="G97" s="65">
        <v>133.6</v>
      </c>
      <c r="H97" s="65">
        <v>132.30000000000001</v>
      </c>
      <c r="I97" s="65">
        <v>132</v>
      </c>
      <c r="J97" s="65">
        <v>130.4</v>
      </c>
      <c r="K97" s="65">
        <v>130.4</v>
      </c>
      <c r="L97" s="65">
        <v>127.2</v>
      </c>
      <c r="M97" s="65">
        <v>126.8</v>
      </c>
      <c r="N97" s="65">
        <v>127.8</v>
      </c>
      <c r="O97" s="65">
        <v>128.1</v>
      </c>
      <c r="P97" s="65">
        <v>127.2</v>
      </c>
      <c r="Q97" s="65">
        <v>128</v>
      </c>
      <c r="R97" s="65">
        <v>129.19999999999999</v>
      </c>
      <c r="S97" s="65">
        <v>130.1</v>
      </c>
      <c r="T97" s="65">
        <v>130.6</v>
      </c>
      <c r="U97" s="65">
        <v>130.6</v>
      </c>
      <c r="V97" s="65">
        <v>129.69999999999999</v>
      </c>
      <c r="W97" s="65">
        <v>130.5</v>
      </c>
      <c r="X97" s="65">
        <v>130.19999999999999</v>
      </c>
      <c r="Y97" s="65">
        <v>129.69999999999999</v>
      </c>
      <c r="Z97" s="65">
        <v>130</v>
      </c>
      <c r="AA97" s="65">
        <v>130.19999999999999</v>
      </c>
      <c r="AB97" s="65">
        <v>131</v>
      </c>
      <c r="AC97" s="65">
        <v>130.6</v>
      </c>
      <c r="AD97" s="65">
        <v>130.6</v>
      </c>
      <c r="AE97" s="65">
        <v>131</v>
      </c>
      <c r="AF97" s="65">
        <v>131</v>
      </c>
      <c r="AG97" s="104"/>
      <c r="AH97" s="47">
        <f t="shared" si="12"/>
        <v>133.6</v>
      </c>
      <c r="AI97" s="48">
        <f t="shared" si="13"/>
        <v>126.8</v>
      </c>
    </row>
    <row r="98" spans="1:35" x14ac:dyDescent="0.25">
      <c r="A98" s="103" t="s">
        <v>106</v>
      </c>
      <c r="B98" s="65">
        <v>132.6</v>
      </c>
      <c r="C98" s="65">
        <v>132.4</v>
      </c>
      <c r="D98" s="65">
        <v>132.4</v>
      </c>
      <c r="E98" s="65">
        <v>131</v>
      </c>
      <c r="F98" s="65">
        <v>130.19999999999999</v>
      </c>
      <c r="G98" s="65">
        <v>130.4</v>
      </c>
      <c r="H98" s="65">
        <v>129.1</v>
      </c>
      <c r="I98" s="65">
        <v>127.8</v>
      </c>
      <c r="J98" s="65">
        <v>129</v>
      </c>
      <c r="K98" s="65">
        <v>129</v>
      </c>
      <c r="L98" s="65">
        <v>128.5</v>
      </c>
      <c r="M98" s="65">
        <v>129.9</v>
      </c>
      <c r="N98" s="65">
        <v>129.30000000000001</v>
      </c>
      <c r="O98" s="65">
        <v>130.30000000000001</v>
      </c>
      <c r="P98" s="65">
        <v>127.6</v>
      </c>
      <c r="Q98" s="65">
        <v>130.30000000000001</v>
      </c>
      <c r="R98" s="65">
        <v>131.30000000000001</v>
      </c>
      <c r="S98" s="65">
        <v>129.80000000000001</v>
      </c>
      <c r="T98" s="65">
        <v>130.5</v>
      </c>
      <c r="U98" s="65">
        <v>130.5</v>
      </c>
      <c r="V98" s="65">
        <v>130.30000000000001</v>
      </c>
      <c r="W98" s="65">
        <v>132.1</v>
      </c>
      <c r="X98" s="65">
        <v>127.8</v>
      </c>
      <c r="Y98" s="65">
        <v>128.1</v>
      </c>
      <c r="Z98" s="65">
        <v>131.19999999999999</v>
      </c>
      <c r="AA98" s="65">
        <v>132.6</v>
      </c>
      <c r="AB98" s="65">
        <v>131</v>
      </c>
      <c r="AC98" s="65">
        <v>130.5</v>
      </c>
      <c r="AD98" s="65">
        <v>130.5</v>
      </c>
      <c r="AE98" s="65">
        <v>131</v>
      </c>
      <c r="AF98" s="65">
        <v>131</v>
      </c>
      <c r="AG98" s="104"/>
      <c r="AH98" s="47">
        <f t="shared" si="12"/>
        <v>132.6</v>
      </c>
      <c r="AI98" s="48">
        <f t="shared" si="13"/>
        <v>127.6</v>
      </c>
    </row>
    <row r="99" spans="1:35" x14ac:dyDescent="0.25">
      <c r="A99" s="105" t="s">
        <v>107</v>
      </c>
      <c r="B99" s="65">
        <v>135.5</v>
      </c>
      <c r="C99" s="65">
        <v>135.4</v>
      </c>
      <c r="D99" s="65">
        <v>135.4</v>
      </c>
      <c r="E99" s="65">
        <v>134.30000000000001</v>
      </c>
      <c r="F99" s="65">
        <v>133.80000000000001</v>
      </c>
      <c r="G99" s="65">
        <v>133.5</v>
      </c>
      <c r="H99" s="65">
        <v>132.30000000000001</v>
      </c>
      <c r="I99" s="65">
        <v>131</v>
      </c>
      <c r="J99" s="65">
        <v>130.6</v>
      </c>
      <c r="K99" s="65">
        <v>130.6</v>
      </c>
      <c r="L99" s="65">
        <v>131.9</v>
      </c>
      <c r="M99" s="65">
        <v>131.9</v>
      </c>
      <c r="N99" s="65">
        <v>131.30000000000001</v>
      </c>
      <c r="O99" s="65">
        <v>132.1</v>
      </c>
      <c r="P99" s="65">
        <v>130.1</v>
      </c>
      <c r="Q99" s="65">
        <v>131.1</v>
      </c>
      <c r="R99" s="65">
        <v>132.30000000000001</v>
      </c>
      <c r="S99" s="65">
        <v>132.9</v>
      </c>
      <c r="T99" s="65">
        <v>132.69999999999999</v>
      </c>
      <c r="U99" s="65">
        <v>132.69999999999999</v>
      </c>
      <c r="V99" s="65">
        <v>131.80000000000001</v>
      </c>
      <c r="W99" s="65">
        <v>133.30000000000001</v>
      </c>
      <c r="X99" s="65">
        <v>129</v>
      </c>
      <c r="Y99" s="65">
        <v>130.1</v>
      </c>
      <c r="Z99" s="65">
        <v>132.30000000000001</v>
      </c>
      <c r="AA99" s="65">
        <v>132.4</v>
      </c>
      <c r="AB99" s="65">
        <v>133.80000000000001</v>
      </c>
      <c r="AC99" s="65">
        <v>133.5</v>
      </c>
      <c r="AD99" s="65">
        <v>133.5</v>
      </c>
      <c r="AE99" s="65">
        <v>134</v>
      </c>
      <c r="AF99" s="65">
        <v>134</v>
      </c>
      <c r="AG99" s="104"/>
      <c r="AH99" s="47">
        <f t="shared" si="12"/>
        <v>135.5</v>
      </c>
      <c r="AI99" s="48">
        <f t="shared" si="13"/>
        <v>129</v>
      </c>
    </row>
    <row r="100" spans="1:35" x14ac:dyDescent="0.25">
      <c r="A100" s="105" t="s">
        <v>108</v>
      </c>
      <c r="B100" s="106">
        <v>133.1</v>
      </c>
      <c r="C100" s="106">
        <v>132.19999999999999</v>
      </c>
      <c r="D100" s="106">
        <v>132.19999999999999</v>
      </c>
      <c r="E100" s="106">
        <v>130.6</v>
      </c>
      <c r="F100" s="106">
        <v>132.69999999999999</v>
      </c>
      <c r="G100" s="106">
        <v>133</v>
      </c>
      <c r="H100" s="106">
        <v>133.4</v>
      </c>
      <c r="I100" s="106">
        <v>135.30000000000001</v>
      </c>
      <c r="J100" s="106">
        <v>134.9</v>
      </c>
      <c r="K100" s="106">
        <v>134.9</v>
      </c>
      <c r="L100" s="106">
        <v>132.6</v>
      </c>
      <c r="M100" s="106">
        <v>132.9</v>
      </c>
      <c r="N100" s="106">
        <v>131.4</v>
      </c>
      <c r="O100" s="106">
        <v>134.80000000000001</v>
      </c>
      <c r="P100" s="106">
        <v>135</v>
      </c>
      <c r="Q100" s="106">
        <v>130.9</v>
      </c>
      <c r="R100" s="106">
        <v>134.69999999999999</v>
      </c>
      <c r="S100" s="106">
        <v>133.9</v>
      </c>
      <c r="T100" s="106">
        <v>132.19999999999999</v>
      </c>
      <c r="U100" s="106">
        <v>132.19999999999999</v>
      </c>
      <c r="V100" s="106">
        <v>134.6</v>
      </c>
      <c r="W100" s="106">
        <v>134.5</v>
      </c>
      <c r="X100" s="106">
        <v>90.2</v>
      </c>
      <c r="Y100" s="106">
        <v>135.5</v>
      </c>
      <c r="Z100" s="106">
        <v>133.4</v>
      </c>
      <c r="AA100" s="106">
        <v>134.1</v>
      </c>
      <c r="AB100" s="106">
        <v>135.80000000000001</v>
      </c>
      <c r="AC100" s="106">
        <v>135.80000000000001</v>
      </c>
      <c r="AD100" s="106">
        <v>135.80000000000001</v>
      </c>
      <c r="AE100" s="106">
        <v>130</v>
      </c>
      <c r="AF100" s="106">
        <v>130</v>
      </c>
      <c r="AG100" s="107"/>
      <c r="AH100" s="47">
        <f t="shared" si="12"/>
        <v>135.80000000000001</v>
      </c>
      <c r="AI100" s="48">
        <f t="shared" si="13"/>
        <v>90.2</v>
      </c>
    </row>
    <row r="101" spans="1:35" x14ac:dyDescent="0.25">
      <c r="A101" s="103" t="s">
        <v>109</v>
      </c>
      <c r="B101" s="65">
        <v>132.5</v>
      </c>
      <c r="C101" s="65">
        <v>133.5</v>
      </c>
      <c r="D101" s="65">
        <v>133.5</v>
      </c>
      <c r="E101" s="65">
        <v>131.4</v>
      </c>
      <c r="F101" s="65">
        <v>131.6</v>
      </c>
      <c r="G101" s="65">
        <v>126.8</v>
      </c>
      <c r="H101" s="65">
        <v>132</v>
      </c>
      <c r="I101" s="65">
        <v>126.6</v>
      </c>
      <c r="J101" s="65">
        <v>129.19999999999999</v>
      </c>
      <c r="K101" s="65">
        <v>129.19999999999999</v>
      </c>
      <c r="L101" s="65">
        <v>132.30000000000001</v>
      </c>
      <c r="M101" s="65">
        <v>132.4</v>
      </c>
      <c r="N101" s="65">
        <v>131.1</v>
      </c>
      <c r="O101" s="65">
        <v>126.7</v>
      </c>
      <c r="P101" s="65">
        <v>131.9</v>
      </c>
      <c r="Q101" s="65">
        <v>135</v>
      </c>
      <c r="R101" s="65">
        <v>132.9</v>
      </c>
      <c r="S101" s="65">
        <v>134.80000000000001</v>
      </c>
      <c r="T101" s="65">
        <v>132.30000000000001</v>
      </c>
      <c r="U101" s="65">
        <v>132.30000000000001</v>
      </c>
      <c r="V101" s="65">
        <v>133.6</v>
      </c>
      <c r="W101" s="65">
        <v>134.19999999999999</v>
      </c>
      <c r="X101" s="65">
        <v>130.6</v>
      </c>
      <c r="Y101" s="65">
        <v>130.9</v>
      </c>
      <c r="Z101" s="65">
        <v>133.4</v>
      </c>
      <c r="AA101" s="65">
        <v>133.19999999999999</v>
      </c>
      <c r="AB101" s="65">
        <v>133.19999999999999</v>
      </c>
      <c r="AC101" s="65">
        <v>133.19999999999999</v>
      </c>
      <c r="AD101" s="65">
        <v>133.19999999999999</v>
      </c>
      <c r="AE101" s="65">
        <v>136</v>
      </c>
      <c r="AF101" s="65">
        <v>136</v>
      </c>
      <c r="AG101" s="104"/>
      <c r="AH101" s="47">
        <f t="shared" si="12"/>
        <v>136</v>
      </c>
      <c r="AI101" s="48">
        <f t="shared" si="13"/>
        <v>126.6</v>
      </c>
    </row>
    <row r="102" spans="1:35" ht="15.75" thickBot="1" x14ac:dyDescent="0.3">
      <c r="A102" s="103" t="s">
        <v>110</v>
      </c>
      <c r="B102" s="92">
        <v>67.2</v>
      </c>
      <c r="C102" s="92">
        <v>66.8</v>
      </c>
      <c r="D102" s="92">
        <v>66.8</v>
      </c>
      <c r="E102" s="92">
        <v>66.8</v>
      </c>
      <c r="F102" s="92">
        <v>66.900000000000006</v>
      </c>
      <c r="G102" s="92">
        <v>67.2</v>
      </c>
      <c r="H102" s="92">
        <v>66.599999999999994</v>
      </c>
      <c r="I102" s="92">
        <v>66.2</v>
      </c>
      <c r="J102" s="92">
        <v>65.5</v>
      </c>
      <c r="K102" s="92">
        <v>65.5</v>
      </c>
      <c r="L102" s="92">
        <v>63.6</v>
      </c>
      <c r="M102" s="92">
        <v>63.6</v>
      </c>
      <c r="N102" s="92">
        <v>64.099999999999994</v>
      </c>
      <c r="O102" s="92">
        <v>64.2</v>
      </c>
      <c r="P102" s="92">
        <v>63.6</v>
      </c>
      <c r="Q102" s="92">
        <v>64.099999999999994</v>
      </c>
      <c r="R102" s="92">
        <v>64.7</v>
      </c>
      <c r="S102" s="92">
        <v>65.2</v>
      </c>
      <c r="T102" s="92">
        <v>65.400000000000006</v>
      </c>
      <c r="U102" s="92">
        <v>65.400000000000006</v>
      </c>
      <c r="V102" s="92">
        <v>64.900000000000006</v>
      </c>
      <c r="W102" s="92">
        <v>65.3</v>
      </c>
      <c r="X102" s="92">
        <v>65.2</v>
      </c>
      <c r="Y102" s="92">
        <v>64.900000000000006</v>
      </c>
      <c r="Z102" s="92">
        <v>64.5</v>
      </c>
      <c r="AA102" s="92">
        <v>65.5</v>
      </c>
      <c r="AB102" s="92">
        <v>65.5</v>
      </c>
      <c r="AC102" s="92">
        <v>65.5</v>
      </c>
      <c r="AD102" s="92">
        <v>65.5</v>
      </c>
      <c r="AE102" s="92">
        <v>65.5</v>
      </c>
      <c r="AF102" s="92">
        <v>65.5</v>
      </c>
      <c r="AG102" s="108"/>
      <c r="AH102" s="47">
        <f t="shared" si="12"/>
        <v>67.2</v>
      </c>
      <c r="AI102" s="48">
        <f t="shared" si="13"/>
        <v>63.6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 t="s">
        <v>529</v>
      </c>
      <c r="Z103" s="92"/>
      <c r="AA103" s="92"/>
      <c r="AB103" s="92"/>
      <c r="AC103" s="92"/>
      <c r="AD103" s="92"/>
      <c r="AE103" s="92"/>
      <c r="AF103" s="92"/>
      <c r="AG103" s="108"/>
      <c r="AH103" s="47">
        <f t="shared" si="12"/>
        <v>0</v>
      </c>
      <c r="AI103" s="48">
        <f t="shared" si="13"/>
        <v>0</v>
      </c>
    </row>
    <row r="104" spans="1:35" ht="15.75" thickBot="1" x14ac:dyDescent="0.3">
      <c r="A104" s="110" t="s">
        <v>112</v>
      </c>
      <c r="B104" s="111">
        <f t="shared" ref="B104:AF104" si="21">SUM(B16,B22,B25:B26,B52,B54:B55,B57,B59,B105:B109,B131,B137,B143,B152,B154,B166,B173,B176:B177,B184,B186,B188,B192:B194,B196:B198,B203,B209:B210,B212:B214,B222,B227)</f>
        <v>130.4</v>
      </c>
      <c r="C104" s="111">
        <f t="shared" si="21"/>
        <v>129.04000000000002</v>
      </c>
      <c r="D104" s="111">
        <f t="shared" si="21"/>
        <v>119.93999999999998</v>
      </c>
      <c r="E104" s="111">
        <f t="shared" si="21"/>
        <v>120.24</v>
      </c>
      <c r="F104" s="111">
        <f t="shared" si="21"/>
        <v>123.03999999999998</v>
      </c>
      <c r="G104" s="111">
        <f t="shared" si="21"/>
        <v>138.54</v>
      </c>
      <c r="H104" s="111">
        <f t="shared" si="21"/>
        <v>168.83999999999997</v>
      </c>
      <c r="I104" s="111">
        <f t="shared" si="21"/>
        <v>206.33999999999997</v>
      </c>
      <c r="J104" s="111">
        <f t="shared" si="21"/>
        <v>265.83999999999997</v>
      </c>
      <c r="K104" s="111">
        <f t="shared" si="21"/>
        <v>265.83999999999997</v>
      </c>
      <c r="L104" s="111">
        <f t="shared" si="21"/>
        <v>363.14</v>
      </c>
      <c r="M104" s="111">
        <f t="shared" si="21"/>
        <v>363.18</v>
      </c>
      <c r="N104" s="111">
        <f t="shared" si="21"/>
        <v>341.14</v>
      </c>
      <c r="O104" s="111">
        <f t="shared" si="21"/>
        <v>333.34</v>
      </c>
      <c r="P104" s="111">
        <v>42</v>
      </c>
      <c r="Q104" s="111">
        <f t="shared" si="21"/>
        <v>282.60000000000002</v>
      </c>
      <c r="R104" s="111">
        <f t="shared" si="21"/>
        <v>273.10000000000002</v>
      </c>
      <c r="S104" s="111">
        <f t="shared" si="21"/>
        <v>223.89999999999998</v>
      </c>
      <c r="T104" s="111">
        <f t="shared" si="21"/>
        <v>229.2</v>
      </c>
      <c r="U104" s="111">
        <f t="shared" si="21"/>
        <v>229.2</v>
      </c>
      <c r="V104" s="111">
        <f t="shared" si="21"/>
        <v>264.8</v>
      </c>
      <c r="W104" s="111">
        <f t="shared" si="21"/>
        <v>303.69999999999993</v>
      </c>
      <c r="X104" s="111">
        <f t="shared" si="21"/>
        <v>337.6</v>
      </c>
      <c r="Y104" s="111">
        <v>448.49708333333331</v>
      </c>
      <c r="Z104" s="111">
        <f t="shared" si="21"/>
        <v>361.09999999999997</v>
      </c>
      <c r="AA104" s="111">
        <f t="shared" si="21"/>
        <v>358</v>
      </c>
      <c r="AB104" s="111">
        <f t="shared" si="21"/>
        <v>336.2</v>
      </c>
      <c r="AC104" s="111">
        <f t="shared" si="21"/>
        <v>302.2</v>
      </c>
      <c r="AD104" s="111">
        <f t="shared" si="21"/>
        <v>293.7</v>
      </c>
      <c r="AE104" s="111">
        <f t="shared" si="21"/>
        <v>217.2</v>
      </c>
      <c r="AF104" s="111">
        <f t="shared" si="21"/>
        <v>173.3</v>
      </c>
      <c r="AG104" s="112"/>
      <c r="AH104" s="47">
        <f t="shared" si="12"/>
        <v>448.49708333333331</v>
      </c>
      <c r="AI104" s="48">
        <f t="shared" si="13"/>
        <v>42</v>
      </c>
    </row>
    <row r="105" spans="1:35" x14ac:dyDescent="0.25">
      <c r="A105" s="100" t="s">
        <v>113</v>
      </c>
      <c r="B105" s="113">
        <v>-16.600000000000001</v>
      </c>
      <c r="C105" s="113">
        <v>-18.899999999999999</v>
      </c>
      <c r="D105" s="113">
        <v>-19.2</v>
      </c>
      <c r="E105" s="113">
        <v>-18</v>
      </c>
      <c r="F105" s="113">
        <v>-14.9</v>
      </c>
      <c r="G105" s="113">
        <v>-4.4000000000000004</v>
      </c>
      <c r="H105" s="113">
        <v>-1.4</v>
      </c>
      <c r="I105" s="113">
        <v>11.1</v>
      </c>
      <c r="J105" s="113">
        <v>16.600000000000001</v>
      </c>
      <c r="K105" s="113">
        <v>16.600000000000001</v>
      </c>
      <c r="L105" s="113">
        <v>37.1</v>
      </c>
      <c r="M105" s="113">
        <v>30.3</v>
      </c>
      <c r="N105" s="113">
        <v>25.3</v>
      </c>
      <c r="O105" s="113">
        <v>29.2</v>
      </c>
      <c r="P105" s="113">
        <v>21.7</v>
      </c>
      <c r="Q105" s="113">
        <v>27</v>
      </c>
      <c r="R105" s="113">
        <v>22.6</v>
      </c>
      <c r="S105" s="113">
        <v>1.1000000000000001</v>
      </c>
      <c r="T105" s="113">
        <v>2.7</v>
      </c>
      <c r="U105" s="113">
        <v>2.7</v>
      </c>
      <c r="V105" s="113">
        <v>8.5</v>
      </c>
      <c r="W105" s="113">
        <v>7</v>
      </c>
      <c r="X105" s="113">
        <v>27.8</v>
      </c>
      <c r="Y105" s="113">
        <v>35.299999999999997</v>
      </c>
      <c r="Z105" s="113">
        <v>32.4</v>
      </c>
      <c r="AA105" s="113">
        <v>35.299999999999997</v>
      </c>
      <c r="AB105" s="113">
        <v>27</v>
      </c>
      <c r="AC105" s="113">
        <v>31</v>
      </c>
      <c r="AD105" s="113">
        <v>28</v>
      </c>
      <c r="AE105" s="113">
        <v>17</v>
      </c>
      <c r="AF105" s="113">
        <v>-2.9</v>
      </c>
      <c r="AG105" s="114">
        <v>75</v>
      </c>
      <c r="AH105" s="47">
        <f t="shared" si="12"/>
        <v>37.1</v>
      </c>
      <c r="AI105" s="48">
        <f t="shared" si="13"/>
        <v>-19.2</v>
      </c>
    </row>
    <row r="106" spans="1:35" x14ac:dyDescent="0.25">
      <c r="A106" s="103" t="s">
        <v>114</v>
      </c>
      <c r="B106" s="115">
        <v>-17.100000000000001</v>
      </c>
      <c r="C106" s="115">
        <v>-20.9</v>
      </c>
      <c r="D106" s="115">
        <v>-20.9</v>
      </c>
      <c r="E106" s="115">
        <v>-19.899999999999999</v>
      </c>
      <c r="F106" s="115">
        <v>-16.7</v>
      </c>
      <c r="G106" s="115">
        <v>0</v>
      </c>
      <c r="H106" s="115">
        <v>2.2999999999999998</v>
      </c>
      <c r="I106" s="115">
        <v>19.399999999999999</v>
      </c>
      <c r="J106" s="115">
        <v>27.1</v>
      </c>
      <c r="K106" s="115">
        <v>27.1</v>
      </c>
      <c r="L106" s="115">
        <v>46</v>
      </c>
      <c r="M106" s="115">
        <v>33.74</v>
      </c>
      <c r="N106" s="115">
        <v>29.1</v>
      </c>
      <c r="O106" s="115">
        <v>34.799999999999997</v>
      </c>
      <c r="P106" s="115">
        <v>44.4</v>
      </c>
      <c r="Q106" s="115">
        <v>42.7</v>
      </c>
      <c r="R106" s="115">
        <v>34.9</v>
      </c>
      <c r="S106" s="115">
        <v>4.2</v>
      </c>
      <c r="T106" s="115">
        <v>6.9</v>
      </c>
      <c r="U106" s="115">
        <v>6.9</v>
      </c>
      <c r="V106" s="115">
        <v>12.1</v>
      </c>
      <c r="W106" s="115">
        <v>1.1000000000000001</v>
      </c>
      <c r="X106" s="115">
        <v>30.5</v>
      </c>
      <c r="Y106" s="115">
        <v>42.3</v>
      </c>
      <c r="Z106" s="115">
        <v>38.5</v>
      </c>
      <c r="AA106" s="115">
        <v>42.4</v>
      </c>
      <c r="AB106" s="115">
        <v>30</v>
      </c>
      <c r="AC106" s="115">
        <v>36</v>
      </c>
      <c r="AD106" s="115">
        <v>34</v>
      </c>
      <c r="AE106" s="115">
        <v>20</v>
      </c>
      <c r="AF106" s="115">
        <v>-1</v>
      </c>
      <c r="AG106" s="114">
        <v>240</v>
      </c>
      <c r="AH106" s="47">
        <f t="shared" si="12"/>
        <v>46</v>
      </c>
      <c r="AI106" s="48">
        <f t="shared" si="13"/>
        <v>-20.9</v>
      </c>
    </row>
    <row r="107" spans="1:35" x14ac:dyDescent="0.25">
      <c r="A107" s="103" t="s">
        <v>115</v>
      </c>
      <c r="B107" s="115">
        <v>-30</v>
      </c>
      <c r="C107" s="115">
        <v>-31</v>
      </c>
      <c r="D107" s="115">
        <v>-31</v>
      </c>
      <c r="E107" s="115">
        <f>-15.5-17.3</f>
        <v>-32.799999999999997</v>
      </c>
      <c r="F107" s="115">
        <f>-16.9-18.3</f>
        <v>-35.200000000000003</v>
      </c>
      <c r="G107" s="115">
        <f>-18.1-19.4</f>
        <v>-37.5</v>
      </c>
      <c r="H107" s="115">
        <f>-13.3-14.9</f>
        <v>-28.200000000000003</v>
      </c>
      <c r="I107" s="115">
        <f>-12.4-13</f>
        <v>-25.4</v>
      </c>
      <c r="J107" s="115">
        <f>2.6+2.7</f>
        <v>5.3000000000000007</v>
      </c>
      <c r="K107" s="115">
        <f>2.6+2.7</f>
        <v>5.3000000000000007</v>
      </c>
      <c r="L107" s="115">
        <v>58</v>
      </c>
      <c r="M107" s="115">
        <f>36+39.5</f>
        <v>75.5</v>
      </c>
      <c r="N107" s="115">
        <v>72.3</v>
      </c>
      <c r="O107" s="115">
        <v>60</v>
      </c>
      <c r="P107" s="115">
        <v>44.2</v>
      </c>
      <c r="Q107" s="115">
        <v>-8.6999999999999993</v>
      </c>
      <c r="R107" s="115">
        <f>-1.7-3.6</f>
        <v>-5.3</v>
      </c>
      <c r="S107" s="115">
        <v>-30</v>
      </c>
      <c r="T107" s="115">
        <f>-29.8+1.2</f>
        <v>-28.6</v>
      </c>
      <c r="U107" s="115">
        <f t="shared" ref="U107" si="22">-29.8+1.2</f>
        <v>-28.6</v>
      </c>
      <c r="V107" s="115">
        <f>-18.7+13</f>
        <v>-5.6999999999999993</v>
      </c>
      <c r="W107" s="115">
        <f>13.7+33.9</f>
        <v>47.599999999999994</v>
      </c>
      <c r="X107" s="115">
        <f>17</f>
        <v>17</v>
      </c>
      <c r="Y107" s="115">
        <v>52.5</v>
      </c>
      <c r="Z107" s="115">
        <f>18.1+36.6</f>
        <v>54.7</v>
      </c>
      <c r="AA107" s="115">
        <f>25.6+34.9</f>
        <v>60.5</v>
      </c>
      <c r="AB107" s="115">
        <v>50</v>
      </c>
      <c r="AC107" s="115">
        <v>25</v>
      </c>
      <c r="AD107" s="115">
        <v>17</v>
      </c>
      <c r="AE107" s="115">
        <v>-16</v>
      </c>
      <c r="AF107" s="115">
        <v>-21</v>
      </c>
      <c r="AG107" s="114">
        <v>240</v>
      </c>
      <c r="AH107" s="47">
        <f t="shared" si="12"/>
        <v>75.5</v>
      </c>
      <c r="AI107" s="48">
        <f t="shared" si="13"/>
        <v>-37.5</v>
      </c>
    </row>
    <row r="108" spans="1:35" x14ac:dyDescent="0.25">
      <c r="A108" s="103" t="s">
        <v>116</v>
      </c>
      <c r="B108" s="115">
        <v>0</v>
      </c>
      <c r="C108" s="115">
        <v>0</v>
      </c>
      <c r="D108" s="115">
        <v>-2.7</v>
      </c>
      <c r="E108" s="115">
        <v>-2.2000000000000002</v>
      </c>
      <c r="F108" s="115">
        <v>-3.5</v>
      </c>
      <c r="G108" s="115">
        <v>-1.5</v>
      </c>
      <c r="H108" s="115">
        <v>-1.3</v>
      </c>
      <c r="I108" s="115">
        <v>2.2000000000000002</v>
      </c>
      <c r="J108" s="115">
        <v>13.3</v>
      </c>
      <c r="K108" s="115">
        <v>13.3</v>
      </c>
      <c r="L108" s="115">
        <v>24.7</v>
      </c>
      <c r="M108" s="115">
        <v>26.3</v>
      </c>
      <c r="N108" s="115">
        <v>24.4</v>
      </c>
      <c r="O108" s="115">
        <v>23.5</v>
      </c>
      <c r="P108" s="115">
        <v>18.5</v>
      </c>
      <c r="Q108" s="115">
        <v>21.6</v>
      </c>
      <c r="R108" s="115">
        <v>21.5</v>
      </c>
      <c r="S108" s="115">
        <v>49.1</v>
      </c>
      <c r="T108" s="115">
        <v>48.8</v>
      </c>
      <c r="U108" s="115">
        <v>48.8</v>
      </c>
      <c r="V108" s="115">
        <v>50</v>
      </c>
      <c r="W108" s="115">
        <v>46.2</v>
      </c>
      <c r="X108" s="115">
        <f>31+39.9</f>
        <v>70.900000000000006</v>
      </c>
      <c r="Y108" s="115">
        <v>52</v>
      </c>
      <c r="Z108" s="115">
        <v>46.3</v>
      </c>
      <c r="AA108" s="115">
        <v>33.700000000000003</v>
      </c>
      <c r="AB108" s="115">
        <v>32</v>
      </c>
      <c r="AC108" s="115">
        <v>20</v>
      </c>
      <c r="AD108" s="115">
        <v>17</v>
      </c>
      <c r="AE108" s="115">
        <v>4</v>
      </c>
      <c r="AF108" s="115">
        <v>-2</v>
      </c>
      <c r="AG108" s="114">
        <v>60</v>
      </c>
      <c r="AH108" s="47">
        <f t="shared" si="12"/>
        <v>70.900000000000006</v>
      </c>
      <c r="AI108" s="48">
        <f t="shared" si="13"/>
        <v>-3.5</v>
      </c>
    </row>
    <row r="109" spans="1:35" x14ac:dyDescent="0.25">
      <c r="A109" s="116" t="s">
        <v>117</v>
      </c>
      <c r="B109" s="117">
        <v>89.4</v>
      </c>
      <c r="C109" s="117">
        <v>94.2</v>
      </c>
      <c r="D109" s="117">
        <v>88.1</v>
      </c>
      <c r="E109" s="117">
        <v>87.8</v>
      </c>
      <c r="F109" s="117">
        <v>87.5</v>
      </c>
      <c r="G109" s="117">
        <v>73.400000000000006</v>
      </c>
      <c r="H109" s="117">
        <v>88.6</v>
      </c>
      <c r="I109" s="117">
        <v>90.2</v>
      </c>
      <c r="J109" s="117">
        <v>95</v>
      </c>
      <c r="K109" s="117">
        <v>95</v>
      </c>
      <c r="L109" s="117">
        <v>88.8</v>
      </c>
      <c r="M109" s="117">
        <v>89</v>
      </c>
      <c r="N109" s="117">
        <v>87.9</v>
      </c>
      <c r="O109" s="117">
        <v>91.2</v>
      </c>
      <c r="P109" s="117">
        <v>89.4</v>
      </c>
      <c r="Q109" s="117">
        <v>100.9</v>
      </c>
      <c r="R109" s="117">
        <v>100</v>
      </c>
      <c r="S109" s="117">
        <v>100.1</v>
      </c>
      <c r="T109" s="117">
        <v>100.2</v>
      </c>
      <c r="U109" s="117">
        <v>100.2</v>
      </c>
      <c r="V109" s="117">
        <v>100.7</v>
      </c>
      <c r="W109" s="117">
        <v>102.6</v>
      </c>
      <c r="X109" s="117">
        <v>92.2</v>
      </c>
      <c r="Y109" s="117">
        <v>103.1</v>
      </c>
      <c r="Z109" s="117">
        <v>91.7</v>
      </c>
      <c r="AA109" s="117">
        <v>88.6</v>
      </c>
      <c r="AB109" s="117">
        <v>99</v>
      </c>
      <c r="AC109" s="117">
        <v>92</v>
      </c>
      <c r="AD109" s="117">
        <v>99.5</v>
      </c>
      <c r="AE109" s="117">
        <v>94</v>
      </c>
      <c r="AF109" s="117">
        <v>102</v>
      </c>
      <c r="AG109" s="118">
        <v>120</v>
      </c>
      <c r="AH109" s="47">
        <f t="shared" si="12"/>
        <v>103.1</v>
      </c>
      <c r="AI109" s="48">
        <f t="shared" si="13"/>
        <v>73.400000000000006</v>
      </c>
    </row>
    <row r="110" spans="1:35" x14ac:dyDescent="0.25">
      <c r="A110" s="116" t="s">
        <v>118</v>
      </c>
      <c r="B110" s="117">
        <v>93.5</v>
      </c>
      <c r="C110" s="117">
        <v>100.3</v>
      </c>
      <c r="D110" s="117">
        <v>96.4</v>
      </c>
      <c r="E110" s="117">
        <v>95.5</v>
      </c>
      <c r="F110" s="117">
        <v>96</v>
      </c>
      <c r="G110" s="117">
        <v>80.5</v>
      </c>
      <c r="H110" s="117">
        <v>91.6</v>
      </c>
      <c r="I110" s="117">
        <v>90</v>
      </c>
      <c r="J110" s="117">
        <v>85</v>
      </c>
      <c r="K110" s="117">
        <v>85</v>
      </c>
      <c r="L110" s="117">
        <v>74.400000000000006</v>
      </c>
      <c r="M110" s="117">
        <v>101</v>
      </c>
      <c r="N110" s="117">
        <v>94</v>
      </c>
      <c r="O110" s="117">
        <v>88.2</v>
      </c>
      <c r="P110" s="117">
        <v>87.5</v>
      </c>
      <c r="Q110" s="117">
        <v>95.3</v>
      </c>
      <c r="R110" s="117">
        <v>98.9</v>
      </c>
      <c r="S110" s="117">
        <v>96.1</v>
      </c>
      <c r="T110" s="117">
        <v>94.7</v>
      </c>
      <c r="U110" s="117">
        <v>94.7</v>
      </c>
      <c r="V110" s="117">
        <v>87.4</v>
      </c>
      <c r="W110" s="117">
        <v>75.900000000000006</v>
      </c>
      <c r="X110" s="117">
        <v>77.8</v>
      </c>
      <c r="Y110" s="117">
        <v>74.3</v>
      </c>
      <c r="Z110" s="117">
        <v>74.900000000000006</v>
      </c>
      <c r="AA110" s="117">
        <v>80.099999999999994</v>
      </c>
      <c r="AB110" s="117">
        <v>66</v>
      </c>
      <c r="AC110" s="117">
        <v>67</v>
      </c>
      <c r="AD110" s="117">
        <v>80</v>
      </c>
      <c r="AE110" s="117">
        <v>94</v>
      </c>
      <c r="AF110" s="117">
        <v>104</v>
      </c>
      <c r="AG110" s="118"/>
      <c r="AH110" s="47">
        <f t="shared" si="12"/>
        <v>104</v>
      </c>
      <c r="AI110" s="48">
        <f t="shared" si="13"/>
        <v>66</v>
      </c>
    </row>
    <row r="111" spans="1:35" x14ac:dyDescent="0.25">
      <c r="A111" s="116" t="s">
        <v>119</v>
      </c>
      <c r="B111" s="117"/>
      <c r="C111" s="117">
        <v>42.6</v>
      </c>
      <c r="D111" s="117"/>
      <c r="E111" s="117">
        <v>43.5</v>
      </c>
      <c r="F111" s="117"/>
      <c r="G111" s="117"/>
      <c r="H111" s="117"/>
      <c r="I111" s="117">
        <v>16.899999999999999</v>
      </c>
      <c r="J111" s="117"/>
      <c r="K111" s="117"/>
      <c r="L111" s="117"/>
      <c r="M111" s="117"/>
      <c r="N111" s="117">
        <v>-0.2</v>
      </c>
      <c r="O111" s="117"/>
      <c r="P111" s="117"/>
      <c r="Q111" s="117"/>
      <c r="R111" s="117">
        <v>13.9</v>
      </c>
      <c r="S111" s="117">
        <v>24.7</v>
      </c>
      <c r="T111" s="117">
        <v>29.2</v>
      </c>
      <c r="U111" s="117">
        <v>29.2</v>
      </c>
      <c r="V111" s="117">
        <v>19.2</v>
      </c>
      <c r="W111" s="117">
        <v>22</v>
      </c>
      <c r="X111" s="117">
        <v>13.9</v>
      </c>
      <c r="Y111" s="117">
        <v>5.7</v>
      </c>
      <c r="Z111" s="117">
        <v>13.3</v>
      </c>
      <c r="AA111" s="117">
        <v>12.32</v>
      </c>
      <c r="AB111" s="117">
        <v>15</v>
      </c>
      <c r="AC111" s="117">
        <v>13</v>
      </c>
      <c r="AD111" s="117">
        <v>14</v>
      </c>
      <c r="AE111" s="117">
        <v>26</v>
      </c>
      <c r="AF111" s="117">
        <v>38</v>
      </c>
      <c r="AG111" s="119"/>
      <c r="AH111" s="47">
        <f t="shared" si="12"/>
        <v>43.5</v>
      </c>
      <c r="AI111" s="48">
        <f t="shared" si="13"/>
        <v>-0.2</v>
      </c>
    </row>
    <row r="112" spans="1:35" x14ac:dyDescent="0.25">
      <c r="A112" s="120" t="s">
        <v>120</v>
      </c>
      <c r="B112" s="106">
        <v>14.8</v>
      </c>
      <c r="C112" s="106">
        <v>16.399999999999999</v>
      </c>
      <c r="D112" s="106">
        <v>21.4</v>
      </c>
      <c r="E112" s="106">
        <v>23</v>
      </c>
      <c r="F112" s="106">
        <v>23.6</v>
      </c>
      <c r="G112" s="106">
        <v>20</v>
      </c>
      <c r="H112" s="106">
        <v>11.4</v>
      </c>
      <c r="I112" s="106">
        <v>0</v>
      </c>
      <c r="J112" s="106">
        <v>-18.899999999999999</v>
      </c>
      <c r="K112" s="106">
        <v>-18.899999999999999</v>
      </c>
      <c r="L112" s="106">
        <v>-42.4</v>
      </c>
      <c r="M112" s="106">
        <v>42.6</v>
      </c>
      <c r="N112" s="106">
        <v>-31.8</v>
      </c>
      <c r="O112" s="106">
        <v>-26.3</v>
      </c>
      <c r="P112" s="106">
        <v>-21.8</v>
      </c>
      <c r="Q112" s="106">
        <v>-10.9</v>
      </c>
      <c r="R112" s="106">
        <v>-8</v>
      </c>
      <c r="S112" s="106">
        <v>-1.4</v>
      </c>
      <c r="T112" s="106">
        <v>-18.600000000000001</v>
      </c>
      <c r="U112" s="106">
        <v>-18.600000000000001</v>
      </c>
      <c r="V112" s="106">
        <v>-19.3</v>
      </c>
      <c r="W112" s="106">
        <v>-23.8</v>
      </c>
      <c r="X112" s="106">
        <v>-69.599999999999994</v>
      </c>
      <c r="Y112" s="106">
        <v>97.1</v>
      </c>
      <c r="Z112" s="106">
        <v>-38.799999999999997</v>
      </c>
      <c r="AA112" s="106">
        <v>-37.700000000000003</v>
      </c>
      <c r="AB112" s="106">
        <v>-22</v>
      </c>
      <c r="AC112" s="106">
        <v>-16.5</v>
      </c>
      <c r="AD112" s="106">
        <v>-14</v>
      </c>
      <c r="AE112" s="106">
        <v>-4</v>
      </c>
      <c r="AF112" s="106">
        <v>8.4</v>
      </c>
      <c r="AG112" s="119"/>
      <c r="AH112" s="47">
        <f t="shared" si="12"/>
        <v>97.1</v>
      </c>
      <c r="AI112" s="48">
        <f t="shared" si="13"/>
        <v>-69.599999999999994</v>
      </c>
    </row>
    <row r="113" spans="1:37" ht="15.75" thickBot="1" x14ac:dyDescent="0.3">
      <c r="A113" s="120" t="s">
        <v>715</v>
      </c>
      <c r="B113" s="106">
        <v>66.5</v>
      </c>
      <c r="C113" s="106">
        <v>66.900000000000006</v>
      </c>
      <c r="D113" s="106">
        <v>6.4</v>
      </c>
      <c r="E113" s="106">
        <v>61.7</v>
      </c>
      <c r="F113" s="106">
        <v>61.2</v>
      </c>
      <c r="G113" s="106">
        <v>70.5</v>
      </c>
      <c r="H113" s="106">
        <v>67</v>
      </c>
      <c r="I113" s="106">
        <v>74</v>
      </c>
      <c r="J113" s="106">
        <v>72.3</v>
      </c>
      <c r="K113" s="106">
        <v>72.3</v>
      </c>
      <c r="L113" s="106">
        <v>91.6</v>
      </c>
      <c r="M113" s="106">
        <v>96.2</v>
      </c>
      <c r="N113" s="106">
        <v>95.2</v>
      </c>
      <c r="O113" s="106">
        <v>93.7</v>
      </c>
      <c r="P113" s="106">
        <v>93.9</v>
      </c>
      <c r="Q113" s="106">
        <v>90</v>
      </c>
      <c r="R113" s="106">
        <v>88.2</v>
      </c>
      <c r="S113" s="106">
        <v>85.7</v>
      </c>
      <c r="T113" s="106">
        <v>87.56</v>
      </c>
      <c r="U113" s="106">
        <v>87.56</v>
      </c>
      <c r="V113" s="106">
        <v>65.8</v>
      </c>
      <c r="W113" s="106">
        <v>-68</v>
      </c>
      <c r="X113" s="106">
        <v>-90.3</v>
      </c>
      <c r="Y113" s="106">
        <v>80</v>
      </c>
      <c r="Z113" s="106">
        <v>73.5</v>
      </c>
      <c r="AA113" s="106">
        <v>68</v>
      </c>
      <c r="AB113" s="106">
        <v>77</v>
      </c>
      <c r="AC113" s="106">
        <v>75</v>
      </c>
      <c r="AD113" s="106">
        <v>74</v>
      </c>
      <c r="AE113" s="106">
        <v>60</v>
      </c>
      <c r="AF113" s="106">
        <v>61</v>
      </c>
      <c r="AG113" s="119"/>
      <c r="AH113" s="47">
        <f t="shared" si="12"/>
        <v>96.2</v>
      </c>
      <c r="AI113" s="48">
        <f t="shared" si="13"/>
        <v>-90.3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23">SUM(B115:B219)</f>
        <v>0</v>
      </c>
      <c r="C220" s="136">
        <f t="shared" si="23"/>
        <v>0</v>
      </c>
      <c r="D220" s="136">
        <f t="shared" si="23"/>
        <v>0</v>
      </c>
      <c r="E220" s="136">
        <f t="shared" si="23"/>
        <v>0</v>
      </c>
      <c r="F220" s="136">
        <f t="shared" si="23"/>
        <v>0</v>
      </c>
      <c r="G220" s="136">
        <f t="shared" si="23"/>
        <v>0</v>
      </c>
      <c r="H220" s="136">
        <f t="shared" si="23"/>
        <v>0</v>
      </c>
      <c r="I220" s="136">
        <f t="shared" si="23"/>
        <v>0</v>
      </c>
      <c r="J220" s="136">
        <f t="shared" si="23"/>
        <v>0</v>
      </c>
      <c r="K220" s="136">
        <f t="shared" si="23"/>
        <v>0</v>
      </c>
      <c r="L220" s="136">
        <f t="shared" si="23"/>
        <v>0</v>
      </c>
      <c r="M220" s="136">
        <f t="shared" si="23"/>
        <v>0</v>
      </c>
      <c r="N220" s="136">
        <f t="shared" si="23"/>
        <v>0</v>
      </c>
      <c r="O220" s="136">
        <f t="shared" si="23"/>
        <v>0</v>
      </c>
      <c r="P220" s="136">
        <f t="shared" si="23"/>
        <v>0</v>
      </c>
      <c r="Q220" s="136">
        <f t="shared" si="23"/>
        <v>0</v>
      </c>
      <c r="R220" s="136">
        <f t="shared" si="23"/>
        <v>0</v>
      </c>
      <c r="S220" s="136">
        <f t="shared" si="23"/>
        <v>0</v>
      </c>
      <c r="T220" s="136">
        <f t="shared" si="23"/>
        <v>0</v>
      </c>
      <c r="U220" s="136">
        <f t="shared" si="23"/>
        <v>0</v>
      </c>
      <c r="V220" s="136">
        <f t="shared" si="23"/>
        <v>0</v>
      </c>
      <c r="W220" s="136">
        <f t="shared" si="23"/>
        <v>0</v>
      </c>
      <c r="X220" s="136">
        <f t="shared" si="23"/>
        <v>0</v>
      </c>
      <c r="Y220" s="136">
        <f t="shared" si="23"/>
        <v>0</v>
      </c>
      <c r="Z220" s="136">
        <f t="shared" si="23"/>
        <v>0</v>
      </c>
      <c r="AA220" s="136">
        <f t="shared" si="23"/>
        <v>0</v>
      </c>
      <c r="AB220" s="136">
        <f t="shared" si="23"/>
        <v>0</v>
      </c>
      <c r="AC220" s="136">
        <f t="shared" si="23"/>
        <v>0</v>
      </c>
      <c r="AD220" s="136">
        <f t="shared" si="23"/>
        <v>0</v>
      </c>
      <c r="AE220" s="136">
        <f t="shared" si="23"/>
        <v>0</v>
      </c>
      <c r="AF220" s="137">
        <f t="shared" si="23"/>
        <v>0</v>
      </c>
      <c r="AG220" s="138">
        <f t="shared" si="23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24">AF222</f>
        <v>0</v>
      </c>
      <c r="C222" s="140">
        <v>0.3</v>
      </c>
      <c r="D222" s="140">
        <f t="shared" ref="D222:P227" si="25">C222</f>
        <v>0.3</v>
      </c>
      <c r="E222" s="140">
        <f t="shared" si="25"/>
        <v>0.3</v>
      </c>
      <c r="F222" s="140">
        <f t="shared" si="25"/>
        <v>0.3</v>
      </c>
      <c r="G222" s="140">
        <f t="shared" si="25"/>
        <v>0.3</v>
      </c>
      <c r="H222" s="140">
        <f t="shared" si="25"/>
        <v>0.3</v>
      </c>
      <c r="I222" s="140">
        <f t="shared" si="25"/>
        <v>0.3</v>
      </c>
      <c r="J222" s="140">
        <f t="shared" si="25"/>
        <v>0.3</v>
      </c>
      <c r="K222" s="140">
        <f t="shared" si="25"/>
        <v>0.3</v>
      </c>
      <c r="L222" s="140">
        <f t="shared" si="25"/>
        <v>0.3</v>
      </c>
      <c r="M222" s="140">
        <f t="shared" si="25"/>
        <v>0.3</v>
      </c>
      <c r="N222" s="140">
        <f t="shared" si="25"/>
        <v>0.3</v>
      </c>
      <c r="O222" s="140">
        <f t="shared" si="25"/>
        <v>0.3</v>
      </c>
      <c r="P222" s="140">
        <f t="shared" si="25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24"/>
        <v>0</v>
      </c>
      <c r="C223" s="128">
        <v>0.4</v>
      </c>
      <c r="D223" s="128">
        <f t="shared" si="25"/>
        <v>0.4</v>
      </c>
      <c r="E223" s="128">
        <f t="shared" si="25"/>
        <v>0.4</v>
      </c>
      <c r="F223" s="128">
        <f t="shared" si="25"/>
        <v>0.4</v>
      </c>
      <c r="G223" s="128">
        <f t="shared" si="25"/>
        <v>0.4</v>
      </c>
      <c r="H223" s="128">
        <f t="shared" si="25"/>
        <v>0.4</v>
      </c>
      <c r="I223" s="128">
        <f t="shared" si="25"/>
        <v>0.4</v>
      </c>
      <c r="J223" s="128">
        <f t="shared" si="25"/>
        <v>0.4</v>
      </c>
      <c r="K223" s="128">
        <f t="shared" si="25"/>
        <v>0.4</v>
      </c>
      <c r="L223" s="128">
        <f t="shared" si="25"/>
        <v>0.4</v>
      </c>
      <c r="M223" s="128">
        <f t="shared" si="25"/>
        <v>0.4</v>
      </c>
      <c r="N223" s="128">
        <f t="shared" si="25"/>
        <v>0.4</v>
      </c>
      <c r="O223" s="128">
        <f t="shared" si="25"/>
        <v>0.4</v>
      </c>
      <c r="P223" s="128">
        <f t="shared" si="25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24"/>
        <v>0</v>
      </c>
      <c r="C224" s="128">
        <v>1.5</v>
      </c>
      <c r="D224" s="128">
        <f t="shared" si="25"/>
        <v>1.5</v>
      </c>
      <c r="E224" s="128">
        <f t="shared" si="25"/>
        <v>1.5</v>
      </c>
      <c r="F224" s="128">
        <f t="shared" si="25"/>
        <v>1.5</v>
      </c>
      <c r="G224" s="128">
        <f t="shared" si="25"/>
        <v>1.5</v>
      </c>
      <c r="H224" s="128">
        <f t="shared" si="25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25"/>
        <v>1.5</v>
      </c>
      <c r="K224" s="128">
        <f t="shared" ca="1" si="25"/>
        <v>1.5</v>
      </c>
      <c r="L224" s="128">
        <f t="shared" ca="1" si="25"/>
        <v>1.5</v>
      </c>
      <c r="M224" s="128">
        <f t="shared" ca="1" si="25"/>
        <v>1.5</v>
      </c>
      <c r="N224" s="128">
        <f t="shared" ca="1" si="25"/>
        <v>1.5</v>
      </c>
      <c r="O224" s="128">
        <f t="shared" ca="1" si="25"/>
        <v>1.5</v>
      </c>
      <c r="P224" s="128">
        <f t="shared" ca="1" si="25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24"/>
        <v>0</v>
      </c>
      <c r="C225" s="128">
        <v>0.3</v>
      </c>
      <c r="D225" s="128">
        <f t="shared" si="25"/>
        <v>0.3</v>
      </c>
      <c r="E225" s="128">
        <f t="shared" si="25"/>
        <v>0.3</v>
      </c>
      <c r="F225" s="128">
        <f t="shared" si="25"/>
        <v>0.3</v>
      </c>
      <c r="G225" s="128">
        <f t="shared" si="25"/>
        <v>0.3</v>
      </c>
      <c r="H225" s="128">
        <f t="shared" si="25"/>
        <v>0.3</v>
      </c>
      <c r="I225" s="128">
        <f t="shared" si="25"/>
        <v>0.3</v>
      </c>
      <c r="J225" s="128">
        <f t="shared" si="25"/>
        <v>0.3</v>
      </c>
      <c r="K225" s="128">
        <f t="shared" si="25"/>
        <v>0.3</v>
      </c>
      <c r="L225" s="128">
        <f t="shared" si="25"/>
        <v>0.3</v>
      </c>
      <c r="M225" s="128">
        <f t="shared" si="25"/>
        <v>0.3</v>
      </c>
      <c r="N225" s="128">
        <f t="shared" si="25"/>
        <v>0.3</v>
      </c>
      <c r="O225" s="128">
        <f t="shared" si="25"/>
        <v>0.3</v>
      </c>
      <c r="P225" s="128">
        <f t="shared" si="25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24"/>
        <v>0</v>
      </c>
      <c r="C226" s="128">
        <v>0.4</v>
      </c>
      <c r="D226" s="128">
        <f t="shared" si="25"/>
        <v>0.4</v>
      </c>
      <c r="E226" s="128">
        <f t="shared" si="25"/>
        <v>0.4</v>
      </c>
      <c r="F226" s="128">
        <f t="shared" si="25"/>
        <v>0.4</v>
      </c>
      <c r="G226" s="128">
        <f t="shared" si="25"/>
        <v>0.4</v>
      </c>
      <c r="H226" s="128">
        <f t="shared" si="25"/>
        <v>0.4</v>
      </c>
      <c r="I226" s="128">
        <f t="shared" si="25"/>
        <v>0.4</v>
      </c>
      <c r="J226" s="128">
        <f t="shared" si="25"/>
        <v>0.4</v>
      </c>
      <c r="K226" s="128">
        <f t="shared" si="25"/>
        <v>0.4</v>
      </c>
      <c r="L226" s="128">
        <f t="shared" si="25"/>
        <v>0.4</v>
      </c>
      <c r="M226" s="128">
        <f t="shared" si="25"/>
        <v>0.4</v>
      </c>
      <c r="N226" s="128">
        <f t="shared" si="25"/>
        <v>0.4</v>
      </c>
      <c r="O226" s="128">
        <f t="shared" si="25"/>
        <v>0.4</v>
      </c>
      <c r="P226" s="128">
        <f t="shared" si="25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24"/>
        <v>0</v>
      </c>
      <c r="C227" s="132">
        <v>0.64</v>
      </c>
      <c r="D227" s="132">
        <f t="shared" si="25"/>
        <v>0.64</v>
      </c>
      <c r="E227" s="132">
        <f t="shared" si="25"/>
        <v>0.64</v>
      </c>
      <c r="F227" s="132">
        <f t="shared" si="25"/>
        <v>0.64</v>
      </c>
      <c r="G227" s="132">
        <f t="shared" si="25"/>
        <v>0.64</v>
      </c>
      <c r="H227" s="132">
        <f t="shared" si="25"/>
        <v>0.64</v>
      </c>
      <c r="I227" s="132">
        <f t="shared" si="25"/>
        <v>0.64</v>
      </c>
      <c r="J227" s="132">
        <f t="shared" si="25"/>
        <v>0.64</v>
      </c>
      <c r="K227" s="132">
        <f t="shared" si="25"/>
        <v>0.64</v>
      </c>
      <c r="L227" s="132">
        <f t="shared" si="25"/>
        <v>0.64</v>
      </c>
      <c r="M227" s="132">
        <f t="shared" si="25"/>
        <v>0.64</v>
      </c>
      <c r="N227" s="132">
        <f t="shared" si="25"/>
        <v>0.64</v>
      </c>
      <c r="O227" s="132">
        <f t="shared" si="25"/>
        <v>0.64</v>
      </c>
      <c r="P227" s="132">
        <f t="shared" si="25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26">SUM(B222:B227)</f>
        <v>0</v>
      </c>
      <c r="C228" s="136">
        <f t="shared" si="26"/>
        <v>3.54</v>
      </c>
      <c r="D228" s="136">
        <f t="shared" si="26"/>
        <v>3.54</v>
      </c>
      <c r="E228" s="136">
        <f t="shared" si="26"/>
        <v>3.54</v>
      </c>
      <c r="F228" s="136">
        <f t="shared" si="26"/>
        <v>3.54</v>
      </c>
      <c r="G228" s="136">
        <f t="shared" si="26"/>
        <v>3.54</v>
      </c>
      <c r="H228" s="136">
        <f t="shared" si="26"/>
        <v>3.54</v>
      </c>
      <c r="I228" s="136">
        <f t="shared" ca="1" si="26"/>
        <v>3.54</v>
      </c>
      <c r="J228" s="136">
        <f t="shared" ca="1" si="26"/>
        <v>3.54</v>
      </c>
      <c r="K228" s="136">
        <f t="shared" ca="1" si="26"/>
        <v>3.54</v>
      </c>
      <c r="L228" s="136">
        <f t="shared" ca="1" si="26"/>
        <v>3.54</v>
      </c>
      <c r="M228" s="136">
        <f t="shared" ca="1" si="26"/>
        <v>3.54</v>
      </c>
      <c r="N228" s="136">
        <f t="shared" ca="1" si="26"/>
        <v>3.54</v>
      </c>
      <c r="O228" s="136">
        <f t="shared" ca="1" si="26"/>
        <v>3.54</v>
      </c>
      <c r="P228" s="136">
        <f t="shared" ca="1" si="26"/>
        <v>3.54</v>
      </c>
      <c r="Q228" s="136">
        <f t="shared" si="26"/>
        <v>0</v>
      </c>
      <c r="R228" s="136">
        <f t="shared" si="26"/>
        <v>0</v>
      </c>
      <c r="S228" s="136">
        <f t="shared" si="26"/>
        <v>0</v>
      </c>
      <c r="T228" s="136">
        <f t="shared" si="26"/>
        <v>0</v>
      </c>
      <c r="U228" s="136">
        <f t="shared" si="26"/>
        <v>0</v>
      </c>
      <c r="V228" s="136">
        <f t="shared" si="26"/>
        <v>0</v>
      </c>
      <c r="W228" s="136">
        <f t="shared" si="26"/>
        <v>0</v>
      </c>
      <c r="X228" s="136">
        <f t="shared" si="26"/>
        <v>0</v>
      </c>
      <c r="Y228" s="136">
        <f t="shared" si="26"/>
        <v>0</v>
      </c>
      <c r="Z228" s="136">
        <f t="shared" si="26"/>
        <v>0</v>
      </c>
      <c r="AA228" s="136">
        <f t="shared" si="26"/>
        <v>0</v>
      </c>
      <c r="AB228" s="136">
        <f t="shared" si="26"/>
        <v>0</v>
      </c>
      <c r="AC228" s="136">
        <f t="shared" si="26"/>
        <v>0</v>
      </c>
      <c r="AD228" s="136">
        <f t="shared" si="26"/>
        <v>0</v>
      </c>
      <c r="AE228" s="136">
        <f t="shared" si="26"/>
        <v>0</v>
      </c>
      <c r="AF228" s="136">
        <f t="shared" si="26"/>
        <v>0</v>
      </c>
      <c r="AG228" s="145">
        <f t="shared" si="26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1512.7399999999998</v>
      </c>
      <c r="C237" s="161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29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str">
        <f ca="1">"Pie Chart of Daily Peak Demand(Inclusive of Export) of Nepal ("&amp;A4&amp;" "&amp;B4&amp;")"</f>
        <v>Pie Chart of Daily Peak Demand(Inclusive of Export) of Nepal (Nepali Date: 2079/10/29)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str">
        <f ca="1">"Daily Load Curve(Excluding of Export) of Nepal ("&amp;A4&amp;" "&amp;B4&amp;")"</f>
        <v>Daily Load Curve(Excluding of Export) of Nepal (Nepali Date: 2079/10/29)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7">B85</f>
        <v>1015.6400000000001</v>
      </c>
      <c r="U242" s="170">
        <f t="shared" si="27"/>
        <v>1025.8400000000001</v>
      </c>
      <c r="V242" s="170">
        <f t="shared" si="27"/>
        <v>985.63999999999987</v>
      </c>
      <c r="W242" s="170">
        <f t="shared" si="27"/>
        <v>1020.94</v>
      </c>
      <c r="X242" s="170">
        <f t="shared" si="27"/>
        <v>1001.84</v>
      </c>
      <c r="Y242" s="170">
        <f t="shared" si="27"/>
        <v>1054.54</v>
      </c>
      <c r="Z242" s="170">
        <f t="shared" si="27"/>
        <v>1114.04</v>
      </c>
      <c r="AA242" s="170">
        <f t="shared" si="27"/>
        <v>1194.94</v>
      </c>
      <c r="AB242" s="170">
        <f t="shared" si="27"/>
        <v>1258.94</v>
      </c>
      <c r="AC242" s="170">
        <f t="shared" si="27"/>
        <v>1434.04</v>
      </c>
      <c r="AD242" s="170">
        <f t="shared" si="27"/>
        <v>1458.54</v>
      </c>
      <c r="AE242" s="170">
        <f t="shared" si="27"/>
        <v>1512.7399999999998</v>
      </c>
      <c r="AF242" s="170">
        <f t="shared" si="27"/>
        <v>1434.94</v>
      </c>
      <c r="AG242" s="170">
        <f t="shared" si="27"/>
        <v>1402.54</v>
      </c>
      <c r="AH242" s="170">
        <f t="shared" si="27"/>
        <v>1325.1399999999999</v>
      </c>
      <c r="AI242" s="170">
        <f t="shared" si="27"/>
        <v>1289.3400000000001</v>
      </c>
      <c r="AJ242" s="170">
        <f t="shared" si="27"/>
        <v>1272.94</v>
      </c>
      <c r="AK242" s="170">
        <f t="shared" si="27"/>
        <v>1267.4399999999998</v>
      </c>
      <c r="AL242" s="170">
        <f t="shared" si="27"/>
        <v>1255.2399999999998</v>
      </c>
      <c r="AM242" s="170">
        <f t="shared" si="27"/>
        <v>1225.2399999999998</v>
      </c>
      <c r="AN242" s="170">
        <f t="shared" si="27"/>
        <v>1205.54</v>
      </c>
      <c r="AO242" s="170">
        <f t="shared" si="27"/>
        <v>1152.54</v>
      </c>
      <c r="AP242" s="170">
        <f t="shared" si="27"/>
        <v>1485.04</v>
      </c>
      <c r="AQ242" s="170">
        <f t="shared" si="27"/>
        <v>1549.74</v>
      </c>
      <c r="AR242" s="170">
        <f t="shared" si="27"/>
        <v>1463.74</v>
      </c>
      <c r="AS242" s="170">
        <f t="shared" si="27"/>
        <v>1374.8400000000001</v>
      </c>
      <c r="AT242" s="170">
        <f t="shared" si="27"/>
        <v>1342.44</v>
      </c>
      <c r="AU242" s="170">
        <f t="shared" si="27"/>
        <v>1263.44</v>
      </c>
      <c r="AV242" s="170">
        <f t="shared" si="27"/>
        <v>1190.44</v>
      </c>
      <c r="AW242" s="170">
        <f t="shared" si="27"/>
        <v>3471.7399999999993</v>
      </c>
      <c r="AX242" s="170">
        <f t="shared" si="27"/>
        <v>1118.74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8">C227</f>
        <v>0.64</v>
      </c>
      <c r="C263" s="173">
        <f t="shared" si="28"/>
        <v>0.64</v>
      </c>
      <c r="D263" s="173">
        <f t="shared" si="28"/>
        <v>0.64</v>
      </c>
      <c r="E263" s="173">
        <f t="shared" si="28"/>
        <v>0.64</v>
      </c>
      <c r="F263" s="173">
        <f t="shared" si="28"/>
        <v>0.64</v>
      </c>
      <c r="G263" s="173">
        <f t="shared" si="28"/>
        <v>0.64</v>
      </c>
      <c r="H263" s="173">
        <f t="shared" si="28"/>
        <v>0.64</v>
      </c>
      <c r="I263" s="173">
        <f t="shared" si="28"/>
        <v>0.64</v>
      </c>
      <c r="J263" s="173">
        <f t="shared" si="28"/>
        <v>0.64</v>
      </c>
      <c r="K263" s="173">
        <f t="shared" si="28"/>
        <v>0.64</v>
      </c>
      <c r="L263" s="173">
        <f t="shared" si="28"/>
        <v>0.64</v>
      </c>
      <c r="M263" s="173">
        <f t="shared" si="28"/>
        <v>0.64</v>
      </c>
      <c r="N263" s="173">
        <f t="shared" si="28"/>
        <v>0.64</v>
      </c>
      <c r="O263" s="173">
        <f t="shared" si="28"/>
        <v>0.64</v>
      </c>
      <c r="P263" s="173">
        <f t="shared" si="28"/>
        <v>0</v>
      </c>
      <c r="Q263" s="173">
        <f t="shared" si="28"/>
        <v>0</v>
      </c>
      <c r="R263" s="173">
        <f t="shared" si="28"/>
        <v>0</v>
      </c>
      <c r="S263" s="173">
        <f t="shared" si="28"/>
        <v>0</v>
      </c>
      <c r="T263" s="173">
        <f t="shared" si="28"/>
        <v>0</v>
      </c>
      <c r="U263" s="173">
        <f t="shared" si="28"/>
        <v>0</v>
      </c>
      <c r="V263" s="173">
        <f t="shared" si="28"/>
        <v>0</v>
      </c>
      <c r="W263" s="173">
        <f t="shared" si="28"/>
        <v>0</v>
      </c>
      <c r="X263" s="173">
        <f t="shared" si="28"/>
        <v>0</v>
      </c>
      <c r="Y263" s="173">
        <f t="shared" si="28"/>
        <v>0</v>
      </c>
      <c r="Z263" s="173">
        <f t="shared" si="28"/>
        <v>0</v>
      </c>
      <c r="AA263" s="173">
        <f t="shared" si="28"/>
        <v>0</v>
      </c>
      <c r="AB263" s="173">
        <f t="shared" si="28"/>
        <v>0</v>
      </c>
      <c r="AC263" s="173">
        <f t="shared" si="28"/>
        <v>0</v>
      </c>
      <c r="AD263" s="173">
        <f t="shared" si="28"/>
        <v>0</v>
      </c>
      <c r="AE263" s="173">
        <f t="shared" si="28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9">IF(B231&lt;100,"",B231-520)</f>
        <v/>
      </c>
      <c r="C264" s="174" t="str">
        <f t="shared" si="29"/>
        <v/>
      </c>
      <c r="D264" s="174" t="str">
        <f t="shared" si="29"/>
        <v/>
      </c>
      <c r="E264" s="174" t="str">
        <f t="shared" si="29"/>
        <v/>
      </c>
      <c r="F264" s="174" t="str">
        <f t="shared" si="29"/>
        <v/>
      </c>
      <c r="G264" s="174" t="str">
        <f t="shared" si="29"/>
        <v/>
      </c>
      <c r="H264" s="174" t="str">
        <f t="shared" si="29"/>
        <v/>
      </c>
      <c r="I264" s="174" t="str">
        <f t="shared" si="29"/>
        <v/>
      </c>
      <c r="J264" s="174" t="str">
        <f t="shared" si="29"/>
        <v/>
      </c>
      <c r="K264" s="174" t="str">
        <f t="shared" si="29"/>
        <v/>
      </c>
      <c r="L264" s="174" t="str">
        <f t="shared" si="29"/>
        <v/>
      </c>
      <c r="M264" s="174" t="str">
        <f t="shared" si="29"/>
        <v/>
      </c>
      <c r="N264" s="174" t="str">
        <f t="shared" si="29"/>
        <v/>
      </c>
      <c r="O264" s="174" t="str">
        <f t="shared" si="29"/>
        <v/>
      </c>
      <c r="P264" s="174" t="str">
        <f t="shared" si="29"/>
        <v/>
      </c>
      <c r="Q264" s="174" t="str">
        <f t="shared" si="29"/>
        <v/>
      </c>
      <c r="R264" s="174" t="str">
        <f t="shared" si="29"/>
        <v/>
      </c>
      <c r="S264" s="174" t="str">
        <f t="shared" si="29"/>
        <v/>
      </c>
      <c r="T264" s="174" t="str">
        <f t="shared" si="29"/>
        <v/>
      </c>
      <c r="U264" s="174" t="str">
        <f t="shared" si="29"/>
        <v/>
      </c>
      <c r="V264" s="174" t="str">
        <f t="shared" si="29"/>
        <v/>
      </c>
      <c r="W264" s="174" t="str">
        <f t="shared" si="29"/>
        <v/>
      </c>
      <c r="X264" s="174" t="str">
        <f t="shared" si="29"/>
        <v/>
      </c>
      <c r="Y264" s="174" t="str">
        <f t="shared" si="29"/>
        <v/>
      </c>
      <c r="Z264" s="174" t="str">
        <f t="shared" si="29"/>
        <v/>
      </c>
      <c r="AA264" s="174" t="str">
        <f t="shared" si="29"/>
        <v/>
      </c>
      <c r="AB264" s="174" t="str">
        <f t="shared" si="29"/>
        <v/>
      </c>
      <c r="AC264" s="174" t="str">
        <f t="shared" si="29"/>
        <v/>
      </c>
      <c r="AD264" s="174" t="str">
        <f t="shared" si="29"/>
        <v/>
      </c>
      <c r="AE264" s="174" t="str">
        <f t="shared" si="29"/>
        <v/>
      </c>
      <c r="AF264" s="174" t="str">
        <f t="shared" si="29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30">IF(B232&lt;100,"",B232-620)</f>
        <v/>
      </c>
      <c r="C265" s="174" t="str">
        <f t="shared" si="30"/>
        <v/>
      </c>
      <c r="D265" s="174" t="str">
        <f t="shared" si="30"/>
        <v/>
      </c>
      <c r="E265" s="174" t="str">
        <f t="shared" si="30"/>
        <v/>
      </c>
      <c r="F265" s="174" t="str">
        <f t="shared" si="30"/>
        <v/>
      </c>
      <c r="G265" s="174" t="str">
        <f t="shared" si="30"/>
        <v/>
      </c>
      <c r="H265" s="174" t="str">
        <f t="shared" si="30"/>
        <v/>
      </c>
      <c r="I265" s="174" t="str">
        <f t="shared" si="30"/>
        <v/>
      </c>
      <c r="J265" s="174" t="str">
        <f t="shared" si="30"/>
        <v/>
      </c>
      <c r="K265" s="174" t="str">
        <f t="shared" si="30"/>
        <v/>
      </c>
      <c r="L265" s="174" t="str">
        <f t="shared" si="30"/>
        <v/>
      </c>
      <c r="M265" s="174" t="str">
        <f t="shared" si="30"/>
        <v/>
      </c>
      <c r="N265" s="174" t="str">
        <f t="shared" si="30"/>
        <v/>
      </c>
      <c r="O265" s="174" t="str">
        <f t="shared" si="30"/>
        <v/>
      </c>
      <c r="P265" s="174" t="str">
        <f t="shared" si="30"/>
        <v/>
      </c>
      <c r="Q265" s="174" t="str">
        <f t="shared" si="30"/>
        <v/>
      </c>
      <c r="R265" s="174" t="str">
        <f t="shared" si="30"/>
        <v/>
      </c>
      <c r="S265" s="174" t="str">
        <f t="shared" si="30"/>
        <v/>
      </c>
      <c r="T265" s="174" t="str">
        <f t="shared" si="30"/>
        <v/>
      </c>
      <c r="U265" s="174" t="str">
        <f t="shared" si="30"/>
        <v/>
      </c>
      <c r="V265" s="174" t="str">
        <f t="shared" si="30"/>
        <v/>
      </c>
      <c r="W265" s="174" t="str">
        <f t="shared" si="30"/>
        <v/>
      </c>
      <c r="X265" s="174" t="str">
        <f t="shared" si="30"/>
        <v/>
      </c>
      <c r="Y265" s="174" t="str">
        <f t="shared" si="30"/>
        <v/>
      </c>
      <c r="Z265" s="174" t="str">
        <f t="shared" si="30"/>
        <v/>
      </c>
      <c r="AA265" s="174" t="str">
        <f t="shared" si="30"/>
        <v/>
      </c>
      <c r="AB265" s="174" t="str">
        <f t="shared" si="30"/>
        <v/>
      </c>
      <c r="AC265" s="174" t="str">
        <f t="shared" si="30"/>
        <v/>
      </c>
      <c r="AD265" s="174" t="str">
        <f t="shared" si="30"/>
        <v/>
      </c>
      <c r="AE265" s="174" t="str">
        <f t="shared" si="30"/>
        <v/>
      </c>
      <c r="AF265" s="174" t="str">
        <f t="shared" si="30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31">IF(B233&lt;100,"",B233-330)</f>
        <v/>
      </c>
      <c r="C266" s="174" t="str">
        <f t="shared" si="31"/>
        <v/>
      </c>
      <c r="D266" s="174" t="str">
        <f t="shared" si="31"/>
        <v/>
      </c>
      <c r="E266" s="174" t="str">
        <f t="shared" si="31"/>
        <v/>
      </c>
      <c r="F266" s="174" t="str">
        <f t="shared" si="31"/>
        <v/>
      </c>
      <c r="G266" s="174" t="str">
        <f t="shared" si="31"/>
        <v/>
      </c>
      <c r="H266" s="174" t="str">
        <f t="shared" si="31"/>
        <v/>
      </c>
      <c r="I266" s="174" t="str">
        <f t="shared" si="31"/>
        <v/>
      </c>
      <c r="J266" s="174" t="str">
        <f t="shared" si="31"/>
        <v/>
      </c>
      <c r="K266" s="174" t="str">
        <f t="shared" si="31"/>
        <v/>
      </c>
      <c r="L266" s="174" t="str">
        <f t="shared" si="31"/>
        <v/>
      </c>
      <c r="M266" s="174" t="str">
        <f t="shared" si="31"/>
        <v/>
      </c>
      <c r="N266" s="174" t="str">
        <f t="shared" si="31"/>
        <v/>
      </c>
      <c r="O266" s="174" t="str">
        <f t="shared" si="31"/>
        <v/>
      </c>
      <c r="P266" s="174" t="str">
        <f t="shared" si="31"/>
        <v/>
      </c>
      <c r="Q266" s="174" t="str">
        <f t="shared" si="31"/>
        <v/>
      </c>
      <c r="R266" s="174" t="str">
        <f t="shared" si="31"/>
        <v/>
      </c>
      <c r="S266" s="174" t="str">
        <f t="shared" si="31"/>
        <v/>
      </c>
      <c r="T266" s="174" t="str">
        <f t="shared" si="31"/>
        <v/>
      </c>
      <c r="U266" s="174" t="str">
        <f t="shared" si="31"/>
        <v/>
      </c>
      <c r="V266" s="174" t="str">
        <f t="shared" si="31"/>
        <v/>
      </c>
      <c r="W266" s="174" t="str">
        <f t="shared" si="31"/>
        <v/>
      </c>
      <c r="X266" s="174" t="str">
        <f t="shared" si="31"/>
        <v/>
      </c>
      <c r="Y266" s="174" t="str">
        <f t="shared" si="31"/>
        <v/>
      </c>
      <c r="Z266" s="174" t="str">
        <f t="shared" si="31"/>
        <v/>
      </c>
      <c r="AA266" s="174" t="str">
        <f t="shared" si="31"/>
        <v/>
      </c>
      <c r="AB266" s="174" t="str">
        <f t="shared" si="31"/>
        <v/>
      </c>
      <c r="AC266" s="174" t="str">
        <f t="shared" si="31"/>
        <v/>
      </c>
      <c r="AD266" s="174" t="str">
        <f t="shared" si="31"/>
        <v/>
      </c>
      <c r="AE266" s="174" t="str">
        <f t="shared" si="31"/>
        <v/>
      </c>
      <c r="AF266" s="174" t="str">
        <f t="shared" si="31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32">IF(B234&lt;100,"",B234-1500)</f>
        <v/>
      </c>
      <c r="C267" s="174" t="str">
        <f t="shared" si="32"/>
        <v/>
      </c>
      <c r="D267" s="174" t="str">
        <f t="shared" si="32"/>
        <v/>
      </c>
      <c r="E267" s="174" t="str">
        <f t="shared" si="32"/>
        <v/>
      </c>
      <c r="F267" s="174" t="str">
        <f t="shared" si="32"/>
        <v/>
      </c>
      <c r="G267" s="174" t="str">
        <f t="shared" si="32"/>
        <v/>
      </c>
      <c r="H267" s="174" t="str">
        <f t="shared" si="32"/>
        <v/>
      </c>
      <c r="I267" s="174" t="str">
        <f t="shared" si="32"/>
        <v/>
      </c>
      <c r="J267" s="174" t="str">
        <f t="shared" si="32"/>
        <v/>
      </c>
      <c r="K267" s="174" t="str">
        <f t="shared" si="32"/>
        <v/>
      </c>
      <c r="L267" s="174" t="str">
        <f t="shared" si="32"/>
        <v/>
      </c>
      <c r="M267" s="174" t="str">
        <f t="shared" si="32"/>
        <v/>
      </c>
      <c r="N267" s="174" t="str">
        <f t="shared" si="32"/>
        <v/>
      </c>
      <c r="O267" s="174" t="str">
        <f t="shared" si="32"/>
        <v/>
      </c>
      <c r="P267" s="174" t="str">
        <f t="shared" si="32"/>
        <v/>
      </c>
      <c r="Q267" s="174" t="str">
        <f t="shared" si="32"/>
        <v/>
      </c>
      <c r="R267" s="174" t="str">
        <f t="shared" si="32"/>
        <v/>
      </c>
      <c r="S267" s="174" t="str">
        <f t="shared" si="32"/>
        <v/>
      </c>
      <c r="T267" s="174" t="str">
        <f t="shared" si="32"/>
        <v/>
      </c>
      <c r="U267" s="174" t="str">
        <f t="shared" si="32"/>
        <v/>
      </c>
      <c r="V267" s="174" t="str">
        <f t="shared" si="32"/>
        <v/>
      </c>
      <c r="W267" s="174" t="str">
        <f t="shared" si="32"/>
        <v/>
      </c>
      <c r="X267" s="174" t="str">
        <f t="shared" si="32"/>
        <v/>
      </c>
      <c r="Y267" s="174" t="str">
        <f t="shared" si="32"/>
        <v/>
      </c>
      <c r="Z267" s="174" t="str">
        <f t="shared" si="32"/>
        <v/>
      </c>
      <c r="AA267" s="174" t="str">
        <f t="shared" si="32"/>
        <v/>
      </c>
      <c r="AB267" s="174" t="str">
        <f t="shared" si="32"/>
        <v/>
      </c>
      <c r="AC267" s="174" t="str">
        <f t="shared" si="32"/>
        <v/>
      </c>
      <c r="AD267" s="174" t="str">
        <f t="shared" si="32"/>
        <v/>
      </c>
      <c r="AE267" s="174" t="str">
        <f t="shared" si="32"/>
        <v/>
      </c>
      <c r="AF267" s="174" t="str">
        <f t="shared" si="32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5:AF105 D107:AF112 Y11:AF41">
    <cfRule type="expression" dxfId="1951" priority="234">
      <formula>B$9&gt;=20/24</formula>
    </cfRule>
    <cfRule type="expression" dxfId="1950" priority="235">
      <formula>AND(B$9&gt;=14/24,B$9&lt;20/24)</formula>
    </cfRule>
    <cfRule type="expression" dxfId="1949" priority="236">
      <formula>AND(B$9&gt;=8/24,B$9&lt;14/24)</formula>
    </cfRule>
    <cfRule type="expression" dxfId="1948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G61 Y11:AF41">
    <cfRule type="expression" dxfId="1947" priority="232">
      <formula>Y11&gt;$AG11</formula>
    </cfRule>
  </conditionalFormatting>
  <conditionalFormatting sqref="A95:A105 A55:A82 A91:A93 A198:A228 A42:A53 A114:A185 A38:A39 A87:A89 A84:A85 A107:A109 A35:A36 A17:A18 A11:A15 A20:A33">
    <cfRule type="expression" dxfId="1946" priority="231">
      <formula>$AH11=0</formula>
    </cfRule>
  </conditionalFormatting>
  <conditionalFormatting sqref="A110">
    <cfRule type="expression" dxfId="1945" priority="230">
      <formula>$AH110=0</formula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1944" priority="228">
      <formula>$AH41=0</formula>
    </cfRule>
  </conditionalFormatting>
  <conditionalFormatting sqref="A94">
    <cfRule type="expression" dxfId="1943" priority="227">
      <formula>$AH94=0</formula>
    </cfRule>
  </conditionalFormatting>
  <conditionalFormatting sqref="A16">
    <cfRule type="expression" dxfId="1942" priority="226">
      <formula>$AH16=0</formula>
    </cfRule>
  </conditionalFormatting>
  <conditionalFormatting sqref="A192:A197">
    <cfRule type="expression" dxfId="1941" priority="225">
      <formula>$AH192=0</formula>
    </cfRule>
  </conditionalFormatting>
  <conditionalFormatting sqref="A186:A191">
    <cfRule type="expression" dxfId="1940" priority="224">
      <formula>$AH186=0</formula>
    </cfRule>
  </conditionalFormatting>
  <conditionalFormatting sqref="A54">
    <cfRule type="expression" dxfId="1939" priority="223">
      <formula>$AH54=0</formula>
    </cfRule>
  </conditionalFormatting>
  <conditionalFormatting sqref="A90">
    <cfRule type="expression" dxfId="1938" priority="222">
      <formula>$AH90=0</formula>
    </cfRule>
  </conditionalFormatting>
  <conditionalFormatting sqref="AD95:AF95 E95:X95">
    <cfRule type="expression" dxfId="1937" priority="218">
      <formula>E$9&gt;=20/24</formula>
    </cfRule>
    <cfRule type="expression" dxfId="1936" priority="219">
      <formula>AND(E$9&gt;=14/24,E$9&lt;20/24)</formula>
    </cfRule>
    <cfRule type="expression" dxfId="1935" priority="220">
      <formula>AND(E$9&gt;=8/24,E$9&lt;14/24)</formula>
    </cfRule>
    <cfRule type="expression" dxfId="1934" priority="221">
      <formula>E$9&lt;8/24</formula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933" priority="240">
      <formula>C$9&gt;=20/24</formula>
    </cfRule>
    <cfRule type="expression" dxfId="1932" priority="241">
      <formula>AND(C$9&gt;=14/24,C$9&lt;20/24)</formula>
    </cfRule>
    <cfRule type="expression" dxfId="1931" priority="242">
      <formula>AND(C$9&gt;=8/24,C$9&lt;14/24)</formula>
    </cfRule>
    <cfRule type="expression" dxfId="1930" priority="243">
      <formula>C$9&lt;8/24</formula>
    </cfRule>
  </conditionalFormatting>
  <conditionalFormatting sqref="A229">
    <cfRule type="expression" dxfId="1929" priority="244">
      <formula>$AH229=0</formula>
    </cfRule>
  </conditionalFormatting>
  <conditionalFormatting sqref="AG241">
    <cfRule type="expression" dxfId="1928" priority="245">
      <formula>B$9&gt;=20/24</formula>
    </cfRule>
    <cfRule type="expression" dxfId="1927" priority="246">
      <formula>AND(B$9&gt;=14/24,B$9&lt;20/24)</formula>
    </cfRule>
    <cfRule type="expression" dxfId="1926" priority="247">
      <formula>AND(B$9&gt;=8/24,B$9&lt;14/24)</formula>
    </cfRule>
    <cfRule type="expression" dxfId="1925" priority="248">
      <formula>B$9&lt;8/24</formula>
    </cfRule>
  </conditionalFormatting>
  <conditionalFormatting sqref="S8">
    <cfRule type="expression" dxfId="1924" priority="213">
      <formula>U$9&gt;=20/24</formula>
    </cfRule>
    <cfRule type="expression" dxfId="1923" priority="214">
      <formula>AND(U$9&gt;=14/24,U$9&lt;20/24)</formula>
    </cfRule>
    <cfRule type="expression" dxfId="1922" priority="215">
      <formula>AND(U$9&gt;=8/24,U$9&lt;14/24)</formula>
    </cfRule>
    <cfRule type="expression" dxfId="1921" priority="216">
      <formula>U$9&lt;8/24</formula>
    </cfRule>
  </conditionalFormatting>
  <conditionalFormatting sqref="AB8">
    <cfRule type="expression" dxfId="1920" priority="209">
      <formula>AD$9&gt;=20/24</formula>
    </cfRule>
    <cfRule type="expression" dxfId="1919" priority="210">
      <formula>AND(AD$9&gt;=14/24,AD$9&lt;20/24)</formula>
    </cfRule>
    <cfRule type="expression" dxfId="1918" priority="211">
      <formula>AND(AD$9&gt;=8/24,AD$9&lt;14/24)</formula>
    </cfRule>
    <cfRule type="expression" dxfId="1917" priority="212">
      <formula>AD$9&lt;8/24</formula>
    </cfRule>
  </conditionalFormatting>
  <conditionalFormatting sqref="AH241:AX241">
    <cfRule type="expression" dxfId="1916" priority="249">
      <formula>AG$9&gt;=20/24</formula>
    </cfRule>
    <cfRule type="expression" dxfId="1915" priority="250">
      <formula>AND(AG$9&gt;=14/24,AG$9&lt;20/24)</formula>
    </cfRule>
    <cfRule type="expression" dxfId="1914" priority="251">
      <formula>AND(AG$9&gt;=8/24,AG$9&lt;14/24)</formula>
    </cfRule>
    <cfRule type="expression" dxfId="1913" priority="252">
      <formula>AG$9&lt;8/24</formula>
    </cfRule>
  </conditionalFormatting>
  <conditionalFormatting sqref="T241">
    <cfRule type="expression" dxfId="1912" priority="253">
      <formula>AX$9&gt;=20/24</formula>
    </cfRule>
    <cfRule type="expression" dxfId="1911" priority="254">
      <formula>AND(AX$9&gt;=14/24,AX$9&lt;20/24)</formula>
    </cfRule>
    <cfRule type="expression" dxfId="1910" priority="255">
      <formula>AND(AX$9&gt;=8/24,AX$9&lt;14/24)</formula>
    </cfRule>
    <cfRule type="expression" dxfId="1909" priority="256">
      <formula>AX$9&lt;8/24</formula>
    </cfRule>
  </conditionalFormatting>
  <conditionalFormatting sqref="A111:A112">
    <cfRule type="expression" dxfId="1908" priority="208">
      <formula>$AH111=0</formula>
    </cfRule>
  </conditionalFormatting>
  <conditionalFormatting sqref="N50:S53 E67:AF67 AB50:AF51 Y52:AF53">
    <cfRule type="expression" dxfId="1907" priority="204">
      <formula>E$9&gt;=20/24</formula>
    </cfRule>
    <cfRule type="expression" dxfId="1906" priority="205">
      <formula>AND(E$9&gt;=14/24,E$9&lt;20/24)</formula>
    </cfRule>
    <cfRule type="expression" dxfId="1905" priority="206">
      <formula>AND(E$9&gt;=8/24,E$9&lt;14/24)</formula>
    </cfRule>
    <cfRule type="expression" dxfId="1904" priority="207">
      <formula>E$9&lt;8/24</formula>
    </cfRule>
  </conditionalFormatting>
  <conditionalFormatting sqref="N49:S49 AB49:AF49">
    <cfRule type="expression" dxfId="1903" priority="200">
      <formula>N$9&gt;=20/24</formula>
    </cfRule>
    <cfRule type="expression" dxfId="1902" priority="201">
      <formula>AND(N$9&gt;=14/24,N$9&lt;20/24)</formula>
    </cfRule>
    <cfRule type="expression" dxfId="1901" priority="202">
      <formula>AND(N$9&gt;=8/24,N$9&lt;14/24)</formula>
    </cfRule>
    <cfRule type="expression" dxfId="1900" priority="203">
      <formula>N$9&lt;8/24</formula>
    </cfRule>
  </conditionalFormatting>
  <conditionalFormatting sqref="N49:S53 AB49:AF51 Y52:AF53">
    <cfRule type="expression" dxfId="1899" priority="199">
      <formula>N49&gt;$AG49</formula>
    </cfRule>
  </conditionalFormatting>
  <conditionalFormatting sqref="X43:AF43 X92:AF92 D82:AF82 M96:X102 E68:X69 Y68:AF70 X63:AF65 AE96:AF102">
    <cfRule type="expression" dxfId="1898" priority="195">
      <formula>D$9&gt;=20/24</formula>
    </cfRule>
    <cfRule type="expression" dxfId="1897" priority="196">
      <formula>AND(D$9&gt;=14/24,D$9&lt;20/24)</formula>
    </cfRule>
    <cfRule type="expression" dxfId="1896" priority="197">
      <formula>AND(D$9&gt;=8/24,D$9&lt;14/24)</formula>
    </cfRule>
    <cfRule type="expression" dxfId="1895" priority="198">
      <formula>D$9&lt;8/24</formula>
    </cfRule>
  </conditionalFormatting>
  <conditionalFormatting sqref="X43:AF43 X63:AF65">
    <cfRule type="expression" dxfId="1894" priority="194">
      <formula>X43&gt;$AG43</formula>
    </cfRule>
  </conditionalFormatting>
  <conditionalFormatting sqref="T49:X53 Y49:AA51">
    <cfRule type="expression" dxfId="1893" priority="190">
      <formula>T$9&gt;=20/24</formula>
    </cfRule>
    <cfRule type="expression" dxfId="1892" priority="191">
      <formula>AND(T$9&gt;=14/24,T$9&lt;20/24)</formula>
    </cfRule>
    <cfRule type="expression" dxfId="1891" priority="192">
      <formula>AND(T$9&gt;=8/24,T$9&lt;14/24)</formula>
    </cfRule>
    <cfRule type="expression" dxfId="1890" priority="193">
      <formula>T$9&lt;8/24</formula>
    </cfRule>
  </conditionalFormatting>
  <conditionalFormatting sqref="T49:X53 Y49:AA51">
    <cfRule type="expression" dxfId="1889" priority="189">
      <formula>T49&gt;$AG49</formula>
    </cfRule>
  </conditionalFormatting>
  <conditionalFormatting sqref="C93:AF93 C84:AF84">
    <cfRule type="expression" dxfId="1888" priority="185">
      <formula>C$9&gt;=20/24</formula>
    </cfRule>
    <cfRule type="expression" dxfId="1887" priority="186">
      <formula>AND(C$9&gt;=14/24,C$9&lt;20/24)</formula>
    </cfRule>
    <cfRule type="expression" dxfId="1886" priority="187">
      <formula>AND(C$9&gt;=8/24,C$9&lt;14/24)</formula>
    </cfRule>
    <cfRule type="expression" dxfId="1885" priority="188">
      <formula>C$9&lt;8/24</formula>
    </cfRule>
  </conditionalFormatting>
  <conditionalFormatting sqref="T43:W43">
    <cfRule type="expression" dxfId="1884" priority="181">
      <formula>T$9&gt;=20/24</formula>
    </cfRule>
    <cfRule type="expression" dxfId="1883" priority="182">
      <formula>AND(T$9&gt;=14/24,T$9&lt;20/24)</formula>
    </cfRule>
    <cfRule type="expression" dxfId="1882" priority="183">
      <formula>AND(T$9&gt;=8/24,T$9&lt;14/24)</formula>
    </cfRule>
    <cfRule type="expression" dxfId="1881" priority="184">
      <formula>T$9&lt;8/24</formula>
    </cfRule>
  </conditionalFormatting>
  <conditionalFormatting sqref="T43:W43">
    <cfRule type="expression" dxfId="1880" priority="180">
      <formula>T43&gt;$AG43</formula>
    </cfRule>
  </conditionalFormatting>
  <conditionalFormatting sqref="E50:M51 Y42:AF42">
    <cfRule type="expression" dxfId="1879" priority="176">
      <formula>E$9&gt;=20/24</formula>
    </cfRule>
    <cfRule type="expression" dxfId="1878" priority="177">
      <formula>AND(E$9&gt;=14/24,E$9&lt;20/24)</formula>
    </cfRule>
    <cfRule type="expression" dxfId="1877" priority="178">
      <formula>AND(E$9&gt;=8/24,E$9&lt;14/24)</formula>
    </cfRule>
    <cfRule type="expression" dxfId="1876" priority="179">
      <formula>E$9&lt;8/24</formula>
    </cfRule>
  </conditionalFormatting>
  <conditionalFormatting sqref="E49:M49">
    <cfRule type="expression" dxfId="1875" priority="172">
      <formula>E$9&gt;=20/24</formula>
    </cfRule>
    <cfRule type="expression" dxfId="1874" priority="173">
      <formula>AND(E$9&gt;=14/24,E$9&lt;20/24)</formula>
    </cfRule>
    <cfRule type="expression" dxfId="1873" priority="174">
      <formula>AND(E$9&gt;=8/24,E$9&lt;14/24)</formula>
    </cfRule>
    <cfRule type="expression" dxfId="1872" priority="175">
      <formula>E$9&lt;8/24</formula>
    </cfRule>
  </conditionalFormatting>
  <conditionalFormatting sqref="E49:M51 Y42:AF42">
    <cfRule type="expression" dxfId="1871" priority="171">
      <formula>E42&gt;$AG42</formula>
    </cfRule>
  </conditionalFormatting>
  <conditionalFormatting sqref="AG66 AG83 E96:L102 Q63:W65">
    <cfRule type="expression" dxfId="1870" priority="167">
      <formula>E$9&gt;=20/24</formula>
    </cfRule>
    <cfRule type="expression" dxfId="1869" priority="168">
      <formula>AND(E$9&gt;=14/24,E$9&lt;20/24)</formula>
    </cfRule>
    <cfRule type="expression" dxfId="1868" priority="169">
      <formula>AND(E$9&gt;=8/24,E$9&lt;14/24)</formula>
    </cfRule>
    <cfRule type="expression" dxfId="1867" priority="170">
      <formula>E$9&lt;8/24</formula>
    </cfRule>
  </conditionalFormatting>
  <conditionalFormatting sqref="AG44 AG62 AG66 Q63:W65">
    <cfRule type="expression" dxfId="1866" priority="166">
      <formula>Q44&gt;$AG44</formula>
    </cfRule>
  </conditionalFormatting>
  <conditionalFormatting sqref="Y54:AF54">
    <cfRule type="expression" dxfId="1865" priority="162">
      <formula>Y$9&gt;=20/24</formula>
    </cfRule>
    <cfRule type="expression" dxfId="1864" priority="163">
      <formula>AND(Y$9&gt;=14/24,Y$9&lt;20/24)</formula>
    </cfRule>
    <cfRule type="expression" dxfId="1863" priority="164">
      <formula>AND(Y$9&gt;=8/24,Y$9&lt;14/24)</formula>
    </cfRule>
    <cfRule type="expression" dxfId="1862" priority="165">
      <formula>Y$9&lt;8/24</formula>
    </cfRule>
  </conditionalFormatting>
  <conditionalFormatting sqref="Y54:AF54">
    <cfRule type="expression" dxfId="1861" priority="161">
      <formula>Y54&gt;$AG54</formula>
    </cfRule>
  </conditionalFormatting>
  <conditionalFormatting sqref="A40">
    <cfRule type="expression" dxfId="1860" priority="160">
      <formula>$AH40=0</formula>
    </cfRule>
  </conditionalFormatting>
  <conditionalFormatting sqref="X87:AF91">
    <cfRule type="expression" dxfId="1859" priority="156">
      <formula>X$9&gt;=20/24</formula>
    </cfRule>
    <cfRule type="expression" dxfId="1858" priority="157">
      <formula>AND(X$9&gt;=14/24,X$9&lt;20/24)</formula>
    </cfRule>
    <cfRule type="expression" dxfId="1857" priority="158">
      <formula>AND(X$9&gt;=8/24,X$9&lt;14/24)</formula>
    </cfRule>
    <cfRule type="expression" dxfId="1856" priority="159">
      <formula>X$9&lt;8/24</formula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E45:AF47">
    <cfRule type="expression" dxfId="1855" priority="152">
      <formula>E$9&gt;=20/24</formula>
    </cfRule>
    <cfRule type="expression" dxfId="1854" priority="153">
      <formula>AND(E$9&gt;=14/24,E$9&lt;20/24)</formula>
    </cfRule>
    <cfRule type="expression" dxfId="1853" priority="154">
      <formula>AND(E$9&gt;=8/24,E$9&lt;14/24)</formula>
    </cfRule>
    <cfRule type="expression" dxfId="1852" priority="155">
      <formula>E$9&lt;8/24</formula>
    </cfRule>
  </conditionalFormatting>
  <conditionalFormatting sqref="E45:AF47">
    <cfRule type="expression" dxfId="1851" priority="151">
      <formula>E45&gt;$AG45</formula>
    </cfRule>
  </conditionalFormatting>
  <conditionalFormatting sqref="AG48">
    <cfRule type="expression" dxfId="1850" priority="147">
      <formula>AG$9&gt;=20/24</formula>
    </cfRule>
    <cfRule type="expression" dxfId="1849" priority="148">
      <formula>AND(AG$9&gt;=14/24,AG$9&lt;20/24)</formula>
    </cfRule>
    <cfRule type="expression" dxfId="1848" priority="149">
      <formula>AND(AG$9&gt;=8/24,AG$9&lt;14/24)</formula>
    </cfRule>
    <cfRule type="expression" dxfId="1847" priority="150">
      <formula>AG$9&lt;8/24</formula>
    </cfRule>
  </conditionalFormatting>
  <conditionalFormatting sqref="AG48">
    <cfRule type="expression" dxfId="1846" priority="146">
      <formula>AG48&gt;$AG48</formula>
    </cfRule>
  </conditionalFormatting>
  <conditionalFormatting sqref="C103:AF103">
    <cfRule type="expression" dxfId="1845" priority="142">
      <formula>C$9&gt;=20/24</formula>
    </cfRule>
    <cfRule type="expression" dxfId="1844" priority="143">
      <formula>AND(C$9&gt;=14/24,C$9&lt;20/24)</formula>
    </cfRule>
    <cfRule type="expression" dxfId="1843" priority="144">
      <formula>AND(C$9&gt;=8/24,C$9&lt;14/24)</formula>
    </cfRule>
    <cfRule type="expression" dxfId="1842" priority="145">
      <formula>C$9&lt;8/24</formula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841" priority="140">
      <formula>$AH37=0</formula>
    </cfRule>
  </conditionalFormatting>
  <conditionalFormatting sqref="A86">
    <cfRule type="expression" dxfId="1840" priority="138">
      <formula>$AH86=0</formula>
    </cfRule>
  </conditionalFormatting>
  <conditionalFormatting sqref="A83">
    <cfRule type="expression" dxfId="1839" priority="139">
      <formula>$AH83=0</formula>
    </cfRule>
  </conditionalFormatting>
  <conditionalFormatting sqref="D106:AF106">
    <cfRule type="expression" dxfId="1838" priority="126">
      <formula>D$9&gt;=20/24</formula>
    </cfRule>
    <cfRule type="expression" dxfId="1837" priority="127">
      <formula>AND(D$9&gt;=14/24,D$9&lt;20/24)</formula>
    </cfRule>
    <cfRule type="expression" dxfId="1836" priority="128">
      <formula>AND(D$9&gt;=8/24,D$9&lt;14/24)</formula>
    </cfRule>
    <cfRule type="expression" dxfId="1835" priority="129">
      <formula>D$9&lt;8/24</formula>
    </cfRule>
  </conditionalFormatting>
  <conditionalFormatting sqref="A106">
    <cfRule type="expression" dxfId="1834" priority="125">
      <formula>$AH106=0</formula>
    </cfRule>
  </conditionalFormatting>
  <conditionalFormatting sqref="A19">
    <cfRule type="expression" dxfId="1833" priority="123">
      <formula>$AH19=0</formula>
    </cfRule>
  </conditionalFormatting>
  <conditionalFormatting sqref="AL19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1832" priority="121">
      <formula>$AH34=0</formula>
    </cfRule>
  </conditionalFormatting>
  <conditionalFormatting sqref="AL34">
    <cfRule type="iconSet" priority="122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1831" priority="117">
      <formula>Y$9&gt;=20/24</formula>
    </cfRule>
    <cfRule type="expression" dxfId="1830" priority="118">
      <formula>AND(Y$9&gt;=14/24,Y$9&lt;20/24)</formula>
    </cfRule>
    <cfRule type="expression" dxfId="1829" priority="119">
      <formula>AND(Y$9&gt;=8/24,Y$9&lt;14/24)</formula>
    </cfRule>
    <cfRule type="expression" dxfId="1828" priority="120">
      <formula>Y$9&lt;8/24</formula>
    </cfRule>
  </conditionalFormatting>
  <conditionalFormatting sqref="Y96:AD102">
    <cfRule type="expression" dxfId="1827" priority="113">
      <formula>Y$9&gt;=20/24</formula>
    </cfRule>
    <cfRule type="expression" dxfId="1826" priority="114">
      <formula>AND(Y$9&gt;=14/24,Y$9&lt;20/24)</formula>
    </cfRule>
    <cfRule type="expression" dxfId="1825" priority="115">
      <formula>AND(Y$9&gt;=8/24,Y$9&lt;14/24)</formula>
    </cfRule>
    <cfRule type="expression" dxfId="1824" priority="116">
      <formula>Y$9&lt;8/24</formula>
    </cfRule>
  </conditionalFormatting>
  <conditionalFormatting sqref="B105:C105 B107:C112 B15:X40">
    <cfRule type="expression" dxfId="1823" priority="109">
      <formula>B$9&gt;=20/24</formula>
    </cfRule>
    <cfRule type="expression" dxfId="1822" priority="110">
      <formula>AND(B$9&gt;=14/24,B$9&lt;20/24)</formula>
    </cfRule>
    <cfRule type="expression" dxfId="1821" priority="111">
      <formula>AND(B$9&gt;=8/24,B$9&lt;14/24)</formula>
    </cfRule>
    <cfRule type="expression" dxfId="1820" priority="112">
      <formula>B$9&lt;8/24</formula>
    </cfRule>
  </conditionalFormatting>
  <conditionalFormatting sqref="B43:S43">
    <cfRule type="expression" dxfId="1819" priority="105">
      <formula>B$9&gt;=20/24</formula>
    </cfRule>
    <cfRule type="expression" dxfId="1818" priority="106">
      <formula>AND(B$9&gt;=14/24,B$9&lt;20/24)</formula>
    </cfRule>
    <cfRule type="expression" dxfId="1817" priority="107">
      <formula>AND(B$9&gt;=8/24,B$9&lt;14/24)</formula>
    </cfRule>
    <cfRule type="expression" dxfId="1816" priority="108">
      <formula>B$9&lt;8/24</formula>
    </cfRule>
  </conditionalFormatting>
  <conditionalFormatting sqref="B43:S43 B15:X40">
    <cfRule type="expression" dxfId="1815" priority="104">
      <formula>B15&gt;$AG15</formula>
    </cfRule>
  </conditionalFormatting>
  <conditionalFormatting sqref="B95:D95">
    <cfRule type="expression" dxfId="1814" priority="100">
      <formula>B$9&gt;=20/24</formula>
    </cfRule>
    <cfRule type="expression" dxfId="1813" priority="101">
      <formula>AND(B$9&gt;=14/24,B$9&lt;20/24)</formula>
    </cfRule>
    <cfRule type="expression" dxfId="1812" priority="102">
      <formula>AND(B$9&gt;=8/24,B$9&lt;14/24)</formula>
    </cfRule>
    <cfRule type="expression" dxfId="1811" priority="103">
      <formula>B$9&lt;8/24</formula>
    </cfRule>
  </conditionalFormatting>
  <conditionalFormatting sqref="B67:D67 B50:D51">
    <cfRule type="expression" dxfId="1810" priority="96">
      <formula>B$9&gt;=20/24</formula>
    </cfRule>
    <cfRule type="expression" dxfId="1809" priority="97">
      <formula>AND(B$9&gt;=14/24,B$9&lt;20/24)</formula>
    </cfRule>
    <cfRule type="expression" dxfId="1808" priority="98">
      <formula>AND(B$9&gt;=8/24,B$9&lt;14/24)</formula>
    </cfRule>
    <cfRule type="expression" dxfId="1807" priority="99">
      <formula>B$9&lt;8/24</formula>
    </cfRule>
  </conditionalFormatting>
  <conditionalFormatting sqref="B49:D49">
    <cfRule type="expression" dxfId="1806" priority="92">
      <formula>B$9&gt;=20/24</formula>
    </cfRule>
    <cfRule type="expression" dxfId="1805" priority="93">
      <formula>AND(B$9&gt;=14/24,B$9&lt;20/24)</formula>
    </cfRule>
    <cfRule type="expression" dxfId="1804" priority="94">
      <formula>AND(B$9&gt;=8/24,B$9&lt;14/24)</formula>
    </cfRule>
    <cfRule type="expression" dxfId="1803" priority="95">
      <formula>B$9&lt;8/24</formula>
    </cfRule>
  </conditionalFormatting>
  <conditionalFormatting sqref="B49:D51">
    <cfRule type="expression" dxfId="1802" priority="91">
      <formula>B49&gt;$AG49</formula>
    </cfRule>
  </conditionalFormatting>
  <conditionalFormatting sqref="B82:C82 B92:W92 B68:D72 B96:D102 B63:P65 B79:AF81 E70:X72 Y71:AF72">
    <cfRule type="expression" dxfId="1801" priority="87">
      <formula>B$9&gt;=20/24</formula>
    </cfRule>
    <cfRule type="expression" dxfId="1800" priority="88">
      <formula>AND(B$9&gt;=14/24,B$9&lt;20/24)</formula>
    </cfRule>
    <cfRule type="expression" dxfId="1799" priority="89">
      <formula>AND(B$9&gt;=8/24,B$9&lt;14/24)</formula>
    </cfRule>
    <cfRule type="expression" dxfId="1798" priority="90">
      <formula>B$9&lt;8/24</formula>
    </cfRule>
  </conditionalFormatting>
  <conditionalFormatting sqref="B52:M53 B63:P65">
    <cfRule type="expression" dxfId="1797" priority="86">
      <formula>B52&gt;$AG52</formula>
    </cfRule>
  </conditionalFormatting>
  <conditionalFormatting sqref="B54:X54">
    <cfRule type="expression" dxfId="1796" priority="82">
      <formula>B$9&gt;=20/24</formula>
    </cfRule>
    <cfRule type="expression" dxfId="1795" priority="83">
      <formula>AND(B$9&gt;=14/24,B$9&lt;20/24)</formula>
    </cfRule>
    <cfRule type="expression" dxfId="1794" priority="84">
      <formula>AND(B$9&gt;=8/24,B$9&lt;14/24)</formula>
    </cfRule>
    <cfRule type="expression" dxfId="1793" priority="85">
      <formula>B$9&lt;8/24</formula>
    </cfRule>
  </conditionalFormatting>
  <conditionalFormatting sqref="B54:X54">
    <cfRule type="expression" dxfId="1792" priority="81">
      <formula>B54&gt;$AG54</formula>
    </cfRule>
  </conditionalFormatting>
  <conditionalFormatting sqref="B84 B93">
    <cfRule type="expression" dxfId="1791" priority="77">
      <formula>B$9&gt;=20/24</formula>
    </cfRule>
    <cfRule type="expression" dxfId="1790" priority="78">
      <formula>AND(B$9&gt;=14/24,B$9&lt;20/24)</formula>
    </cfRule>
    <cfRule type="expression" dxfId="1789" priority="79">
      <formula>AND(B$9&gt;=8/24,B$9&lt;14/24)</formula>
    </cfRule>
    <cfRule type="expression" dxfId="1788" priority="80">
      <formula>B$9&lt;8/24</formula>
    </cfRule>
  </conditionalFormatting>
  <conditionalFormatting sqref="B42:X42">
    <cfRule type="expression" dxfId="1787" priority="73">
      <formula>B$9&gt;=20/24</formula>
    </cfRule>
    <cfRule type="expression" dxfId="1786" priority="74">
      <formula>AND(B$9&gt;=14/24,B$9&lt;20/24)</formula>
    </cfRule>
    <cfRule type="expression" dxfId="1785" priority="75">
      <formula>AND(B$9&gt;=8/24,B$9&lt;14/24)</formula>
    </cfRule>
    <cfRule type="expression" dxfId="1784" priority="76">
      <formula>B$9&lt;8/24</formula>
    </cfRule>
  </conditionalFormatting>
  <conditionalFormatting sqref="B42:X42">
    <cfRule type="expression" dxfId="1783" priority="72">
      <formula>B42&gt;$AG42</formula>
    </cfRule>
  </conditionalFormatting>
  <conditionalFormatting sqref="B85:AF85 B94:AF94 B66:AF66 B83:AF83">
    <cfRule type="expression" dxfId="1782" priority="68">
      <formula>B$9&gt;=20/24</formula>
    </cfRule>
    <cfRule type="expression" dxfId="1781" priority="69">
      <formula>AND(B$9&gt;=14/24,B$9&lt;20/24)</formula>
    </cfRule>
    <cfRule type="expression" dxfId="1780" priority="70">
      <formula>AND(B$9&gt;=8/24,B$9&lt;14/24)</formula>
    </cfRule>
    <cfRule type="expression" dxfId="1779" priority="71">
      <formula>B$9&lt;8/24</formula>
    </cfRule>
  </conditionalFormatting>
  <conditionalFormatting sqref="B44:AF44 B61:AF62 B66:AF66">
    <cfRule type="expression" dxfId="1778" priority="67">
      <formula>B44&gt;$AG44</formula>
    </cfRule>
  </conditionalFormatting>
  <conditionalFormatting sqref="B78:AF78">
    <cfRule type="expression" dxfId="1777" priority="63">
      <formula>B$9&gt;=20/24</formula>
    </cfRule>
    <cfRule type="expression" dxfId="1776" priority="64">
      <formula>AND(B$9&gt;=14/24,B$9&lt;20/24)</formula>
    </cfRule>
    <cfRule type="expression" dxfId="1775" priority="65">
      <formula>AND(B$9&gt;=8/24,B$9&lt;14/24)</formula>
    </cfRule>
    <cfRule type="expression" dxfId="1774" priority="66">
      <formula>B$9&lt;8/24</formula>
    </cfRule>
  </conditionalFormatting>
  <conditionalFormatting sqref="B87:W91">
    <cfRule type="expression" dxfId="1773" priority="59">
      <formula>B$9&gt;=20/24</formula>
    </cfRule>
    <cfRule type="expression" dxfId="1772" priority="60">
      <formula>AND(B$9&gt;=14/24,B$9&lt;20/24)</formula>
    </cfRule>
    <cfRule type="expression" dxfId="1771" priority="61">
      <formula>AND(B$9&gt;=8/24,B$9&lt;14/24)</formula>
    </cfRule>
    <cfRule type="expression" dxfId="1770" priority="62">
      <formula>B$9&lt;8/24</formula>
    </cfRule>
  </conditionalFormatting>
  <conditionalFormatting sqref="B45:D47">
    <cfRule type="expression" dxfId="1769" priority="55">
      <formula>B$9&gt;=20/24</formula>
    </cfRule>
    <cfRule type="expression" dxfId="1768" priority="56">
      <formula>AND(B$9&gt;=14/24,B$9&lt;20/24)</formula>
    </cfRule>
    <cfRule type="expression" dxfId="1767" priority="57">
      <formula>AND(B$9&gt;=8/24,B$9&lt;14/24)</formula>
    </cfRule>
    <cfRule type="expression" dxfId="1766" priority="58">
      <formula>B$9&lt;8/24</formula>
    </cfRule>
  </conditionalFormatting>
  <conditionalFormatting sqref="B45:D47">
    <cfRule type="expression" dxfId="1765" priority="54">
      <formula>B45&gt;$AG45</formula>
    </cfRule>
  </conditionalFormatting>
  <conditionalFormatting sqref="B48:AF48">
    <cfRule type="expression" dxfId="1764" priority="50">
      <formula>B$9&gt;=20/24</formula>
    </cfRule>
    <cfRule type="expression" dxfId="1763" priority="51">
      <formula>AND(B$9&gt;=14/24,B$9&lt;20/24)</formula>
    </cfRule>
    <cfRule type="expression" dxfId="1762" priority="52">
      <formula>AND(B$9&gt;=8/24,B$9&lt;14/24)</formula>
    </cfRule>
    <cfRule type="expression" dxfId="1761" priority="53">
      <formula>B$9&lt;8/24</formula>
    </cfRule>
  </conditionalFormatting>
  <conditionalFormatting sqref="B48:AF48">
    <cfRule type="expression" dxfId="1760" priority="49">
      <formula>B48&gt;$AG48</formula>
    </cfRule>
  </conditionalFormatting>
  <conditionalFormatting sqref="B103">
    <cfRule type="expression" dxfId="1759" priority="45">
      <formula>B$9&gt;=20/24</formula>
    </cfRule>
    <cfRule type="expression" dxfId="1758" priority="46">
      <formula>AND(B$9&gt;=14/24,B$9&lt;20/24)</formula>
    </cfRule>
    <cfRule type="expression" dxfId="1757" priority="47">
      <formula>AND(B$9&gt;=8/24,B$9&lt;14/24)</formula>
    </cfRule>
    <cfRule type="expression" dxfId="1756" priority="48">
      <formula>B$9&lt;8/24</formula>
    </cfRule>
  </conditionalFormatting>
  <conditionalFormatting sqref="B106:C106">
    <cfRule type="expression" dxfId="1755" priority="33">
      <formula>B$9&gt;=20/24</formula>
    </cfRule>
    <cfRule type="expression" dxfId="1754" priority="34">
      <formula>AND(B$9&gt;=14/24,B$9&lt;20/24)</formula>
    </cfRule>
    <cfRule type="expression" dxfId="1753" priority="35">
      <formula>AND(B$9&gt;=8/24,B$9&lt;14/24)</formula>
    </cfRule>
    <cfRule type="expression" dxfId="1752" priority="36">
      <formula>B$9&lt;8/24</formula>
    </cfRule>
  </conditionalFormatting>
  <conditionalFormatting sqref="B55:AF60">
    <cfRule type="expression" dxfId="1751" priority="29">
      <formula>B$9&gt;=20/24</formula>
    </cfRule>
    <cfRule type="expression" dxfId="1750" priority="30">
      <formula>AND(B$9&gt;=14/24,B$9&lt;20/24)</formula>
    </cfRule>
    <cfRule type="expression" dxfId="1749" priority="31">
      <formula>AND(B$9&gt;=8/24,B$9&lt;14/24)</formula>
    </cfRule>
    <cfRule type="expression" dxfId="1748" priority="32">
      <formula>B$9&lt;8/24</formula>
    </cfRule>
  </conditionalFormatting>
  <conditionalFormatting sqref="B55:AF60">
    <cfRule type="expression" dxfId="1747" priority="28">
      <formula>B55&gt;$AG55</formula>
    </cfRule>
  </conditionalFormatting>
  <conditionalFormatting sqref="B12:X14 B41:X41">
    <cfRule type="expression" dxfId="1746" priority="27">
      <formula>B12&gt;$AG12</formula>
    </cfRule>
  </conditionalFormatting>
  <conditionalFormatting sqref="B11:X11">
    <cfRule type="expression" dxfId="1745" priority="23">
      <formula>B$9&gt;=20/24</formula>
    </cfRule>
    <cfRule type="expression" dxfId="1744" priority="24">
      <formula>AND(B$9&gt;=14/24,B$9&lt;20/24)</formula>
    </cfRule>
    <cfRule type="expression" dxfId="1743" priority="25">
      <formula>AND(B$9&gt;=8/24,B$9&lt;14/24)</formula>
    </cfRule>
    <cfRule type="expression" dxfId="1742" priority="26">
      <formula>B$9&lt;8/24</formula>
    </cfRule>
  </conditionalFormatting>
  <conditionalFormatting sqref="B11:X11">
    <cfRule type="expression" dxfId="1741" priority="22">
      <formula>B11&gt;$AG11</formula>
    </cfRule>
  </conditionalFormatting>
  <conditionalFormatting sqref="B12:X14">
    <cfRule type="expression" dxfId="1740" priority="18">
      <formula>B$9&gt;=20/24</formula>
    </cfRule>
    <cfRule type="expression" dxfId="1739" priority="19">
      <formula>AND(B$9&gt;=14/24,B$9&lt;20/24)</formula>
    </cfRule>
    <cfRule type="expression" dxfId="1738" priority="20">
      <formula>AND(B$9&gt;=8/24,B$9&lt;14/24)</formula>
    </cfRule>
    <cfRule type="expression" dxfId="1737" priority="21">
      <formula>B$9&lt;8/24</formula>
    </cfRule>
  </conditionalFormatting>
  <conditionalFormatting sqref="B41:X41">
    <cfRule type="expression" dxfId="1736" priority="14">
      <formula>B$9&gt;=20/24</formula>
    </cfRule>
    <cfRule type="expression" dxfId="1735" priority="15">
      <formula>AND(B$9&gt;=14/24,B$9&lt;20/24)</formula>
    </cfRule>
    <cfRule type="expression" dxfId="1734" priority="16">
      <formula>AND(B$9&gt;=8/24,B$9&lt;14/24)</formula>
    </cfRule>
    <cfRule type="expression" dxfId="1733" priority="17">
      <formula>B$9&lt;8/24</formula>
    </cfRule>
  </conditionalFormatting>
  <conditionalFormatting sqref="B73:AF77">
    <cfRule type="expression" dxfId="1732" priority="10">
      <formula>B$9&gt;=20/24</formula>
    </cfRule>
    <cfRule type="expression" dxfId="1731" priority="11">
      <formula>AND(B$9&gt;=14/24,B$9&lt;20/24)</formula>
    </cfRule>
    <cfRule type="expression" dxfId="1730" priority="12">
      <formula>AND(B$9&gt;=8/24,B$9&lt;14/24)</formula>
    </cfRule>
    <cfRule type="expression" dxfId="1729" priority="13">
      <formula>B$9&lt;8/24</formula>
    </cfRule>
  </conditionalFormatting>
  <conditionalFormatting sqref="AL74:AN74 AL80:AN80 AN75:AN76">
    <cfRule type="expression" dxfId="1728" priority="6">
      <formula>AL$9&gt;=20/24</formula>
    </cfRule>
    <cfRule type="expression" dxfId="1727" priority="7">
      <formula>AND(AL$9&gt;=14/24,AL$9&lt;20/24)</formula>
    </cfRule>
    <cfRule type="expression" dxfId="1726" priority="8">
      <formula>AND(AL$9&gt;=8/24,AL$9&lt;14/24)</formula>
    </cfRule>
    <cfRule type="expression" dxfId="1725" priority="9">
      <formula>AL$9&lt;8/24</formula>
    </cfRule>
  </conditionalFormatting>
  <conditionalFormatting sqref="AN77:AN78">
    <cfRule type="expression" dxfId="1724" priority="2">
      <formula>AN$9&gt;=20/24</formula>
    </cfRule>
    <cfRule type="expression" dxfId="1723" priority="3">
      <formula>AND(AN$9&gt;=14/24,AN$9&lt;20/24)</formula>
    </cfRule>
    <cfRule type="expression" dxfId="1722" priority="4">
      <formula>AND(AN$9&gt;=8/24,AN$9&lt;14/24)</formula>
    </cfRule>
    <cfRule type="expression" dxfId="1721" priority="5">
      <formula>AN$9&lt;8/24</formula>
    </cfRule>
  </conditionalFormatting>
  <conditionalFormatting sqref="AL75:AM79">
    <cfRule type="expression" dxfId="1720" priority="258">
      <formula>AJ$9&gt;=20/24</formula>
    </cfRule>
    <cfRule type="expression" dxfId="1719" priority="259">
      <formula>AND(AJ$9&gt;=14/24,AJ$9&lt;20/24)</formula>
    </cfRule>
    <cfRule type="expression" dxfId="1718" priority="260">
      <formula>AND(AJ$9&gt;=8/24,AJ$9&lt;14/24)</formula>
    </cfRule>
    <cfRule type="expression" dxfId="1717" priority="261">
      <formula>AJ$9&lt;8/24</formula>
    </cfRule>
  </conditionalFormatting>
  <conditionalFormatting sqref="A113">
    <cfRule type="expression" dxfId="1716" priority="1">
      <formula>$AH113=0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4" id="{01BB22FE-DD59-4351-A4F4-FC5909E115A4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4AFEFB2E-1C00-4188-988F-6AC4E8B71EB2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9F753D29-4078-44DA-9455-7906AED9FDEA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925ED109-5F04-4339-AB38-8CB15DFFD92D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30" id="{AEF24223-1C79-44F5-8A1A-91BE7E97B8C3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FF3B98B1-91A9-44A2-98F2-69660B47837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01EE9E8A-A7C7-491A-B1B5-0A326684943C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0353326A-EBB7-47BF-B610-DA6F97ECD6ED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41" id="{A4F9E2EF-20F4-4799-A47C-99F75C3203F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2" id="{67F80661-B78B-47D8-800F-6557F5D181CD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3" id="{55F24817-F0A3-407F-90AC-D539AEB35E49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4" id="{7E482C87-C7FC-4293-9995-6FFA85D228C6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7" id="{947E21B0-4F99-4D67-B2A0-FBEE77FCE47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8" id="{FD75CC5E-4A0C-43F1-9FB8-BA465321E09D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9" id="{9ED51783-8082-4165-B9A9-183FB16F0992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id="{8F4A09CD-5B99-4E19-B1A2-A3FDE4B9EFE4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J274"/>
  <sheetViews>
    <sheetView workbookViewId="0">
      <pane ySplit="10" topLeftCell="A74" activePane="bottomLeft" state="frozen"/>
      <selection activeCell="Z85" sqref="Z85"/>
      <selection pane="bottomLeft" activeCell="Z85" sqref="Z8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/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e">
        <f ca="1">"2079/"&amp;"10/"&amp;INT(MID(CELL("filename",D6),FIND("]",CELL("filename",D6))+1,200))</f>
        <v>#VALUE!</v>
      </c>
      <c r="C4" s="771"/>
      <c r="D4" s="771"/>
      <c r="E4" s="772" t="e">
        <f ca="1">"2079/"&amp;"10/"&amp;INT(MID(CELL("filename",G6),FIND("]",CELL("filename",G6))+1,200))</f>
        <v>#VALUE!</v>
      </c>
      <c r="F4" s="772"/>
      <c r="G4" s="772"/>
      <c r="H4" s="772" t="e">
        <f ca="1">TEXT(E4,"dddd")</f>
        <v>#VALUE!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483</v>
      </c>
      <c r="C5" s="30">
        <f t="shared" si="0"/>
        <v>490</v>
      </c>
      <c r="D5" s="30">
        <f t="shared" si="0"/>
        <v>454.8</v>
      </c>
      <c r="E5" s="30">
        <f t="shared" si="0"/>
        <v>471.2</v>
      </c>
      <c r="F5" s="30">
        <f t="shared" si="0"/>
        <v>452</v>
      </c>
      <c r="G5" s="30">
        <f t="shared" si="0"/>
        <v>470.5</v>
      </c>
      <c r="H5" s="30">
        <f t="shared" si="0"/>
        <v>469.5</v>
      </c>
      <c r="I5" s="30">
        <f t="shared" si="0"/>
        <v>467</v>
      </c>
      <c r="J5" s="30">
        <f t="shared" si="0"/>
        <v>307</v>
      </c>
      <c r="K5" s="30">
        <f t="shared" si="0"/>
        <v>301</v>
      </c>
      <c r="L5" s="30">
        <f t="shared" si="0"/>
        <v>331.1</v>
      </c>
      <c r="M5" s="30">
        <f t="shared" si="0"/>
        <v>493</v>
      </c>
      <c r="N5" s="30">
        <f t="shared" si="0"/>
        <v>531.1</v>
      </c>
      <c r="O5" s="30">
        <f t="shared" si="0"/>
        <v>569.1</v>
      </c>
      <c r="P5" s="30">
        <f t="shared" si="0"/>
        <v>490.5</v>
      </c>
      <c r="Q5" s="30">
        <f t="shared" si="0"/>
        <v>475.90000000000003</v>
      </c>
      <c r="R5" s="30">
        <f t="shared" si="0"/>
        <v>505.5</v>
      </c>
      <c r="S5" s="30">
        <f t="shared" si="0"/>
        <v>499</v>
      </c>
      <c r="T5" s="30">
        <f t="shared" si="0"/>
        <v>503.7</v>
      </c>
      <c r="U5" s="30">
        <f t="shared" si="0"/>
        <v>472.8</v>
      </c>
      <c r="V5" s="30">
        <f t="shared" si="0"/>
        <v>476.2</v>
      </c>
      <c r="W5" s="30">
        <f t="shared" si="0"/>
        <v>451.3</v>
      </c>
      <c r="X5" s="30">
        <f t="shared" si="0"/>
        <v>487.1</v>
      </c>
      <c r="Y5" s="30">
        <f t="shared" si="0"/>
        <v>289.2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B78</f>
        <v>492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1460MW at 8:00hr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B85</f>
        <v>1061.24</v>
      </c>
      <c r="C7" s="35">
        <f t="shared" si="1"/>
        <v>1036.44</v>
      </c>
      <c r="D7" s="35">
        <f t="shared" si="1"/>
        <v>1052.74</v>
      </c>
      <c r="E7" s="35">
        <f t="shared" si="1"/>
        <v>1012.54</v>
      </c>
      <c r="F7" s="35">
        <f t="shared" si="1"/>
        <v>1055.94</v>
      </c>
      <c r="G7" s="35">
        <f t="shared" si="1"/>
        <v>1046.74</v>
      </c>
      <c r="H7" s="35">
        <f t="shared" si="1"/>
        <v>1155.24</v>
      </c>
      <c r="I7" s="35">
        <f t="shared" si="1"/>
        <v>1185.74</v>
      </c>
      <c r="J7" s="35">
        <f t="shared" si="1"/>
        <v>1283.74</v>
      </c>
      <c r="K7" s="35">
        <f t="shared" si="1"/>
        <v>1364.74</v>
      </c>
      <c r="L7" s="35">
        <f t="shared" si="1"/>
        <v>1412.74</v>
      </c>
      <c r="M7" s="35">
        <f t="shared" si="1"/>
        <v>1459.74</v>
      </c>
      <c r="N7" s="35">
        <f>N85</f>
        <v>1403.14</v>
      </c>
      <c r="O7" s="35">
        <f t="shared" si="1"/>
        <v>1349.2399999999998</v>
      </c>
      <c r="P7" s="35">
        <f t="shared" si="1"/>
        <v>1361.2399999999998</v>
      </c>
      <c r="Q7" s="35">
        <f t="shared" si="1"/>
        <v>1315.9399999999998</v>
      </c>
      <c r="R7" s="35">
        <f t="shared" si="1"/>
        <v>1299.71</v>
      </c>
      <c r="S7" s="35">
        <f t="shared" si="1"/>
        <v>1281.1399999999999</v>
      </c>
      <c r="T7" s="35">
        <f t="shared" si="1"/>
        <v>1354.84</v>
      </c>
      <c r="U7" s="35">
        <f t="shared" si="1"/>
        <v>1355.84</v>
      </c>
      <c r="V7" s="35">
        <f t="shared" si="1"/>
        <v>1319.54</v>
      </c>
      <c r="W7" s="35">
        <f t="shared" si="1"/>
        <v>1271.74</v>
      </c>
      <c r="X7" s="35">
        <f t="shared" si="1"/>
        <v>1321.94</v>
      </c>
      <c r="Y7" s="35">
        <f t="shared" si="1"/>
        <v>1651.44</v>
      </c>
      <c r="Z7" s="35">
        <f t="shared" si="1"/>
        <v>1565.74</v>
      </c>
      <c r="AA7" s="35">
        <f t="shared" si="1"/>
        <v>3.54</v>
      </c>
      <c r="AB7" s="35">
        <f t="shared" si="1"/>
        <v>3.54</v>
      </c>
      <c r="AC7" s="35">
        <f t="shared" si="1"/>
        <v>3.54</v>
      </c>
      <c r="AD7" s="35">
        <f t="shared" si="1"/>
        <v>3.54</v>
      </c>
      <c r="AE7" s="35">
        <f t="shared" si="1"/>
        <v>3.54</v>
      </c>
      <c r="AF7" s="35">
        <f t="shared" si="1"/>
        <v>3.54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>
        <v>17.8</v>
      </c>
      <c r="C11" s="45">
        <v>17</v>
      </c>
      <c r="D11" s="45">
        <v>16.3</v>
      </c>
      <c r="E11" s="45">
        <v>16.3</v>
      </c>
      <c r="F11" s="45">
        <v>16.3</v>
      </c>
      <c r="G11" s="45">
        <v>16.3</v>
      </c>
      <c r="H11" s="45">
        <v>16.3</v>
      </c>
      <c r="I11" s="45">
        <v>16.3</v>
      </c>
      <c r="J11" s="45">
        <v>16.3</v>
      </c>
      <c r="K11" s="45">
        <v>16.3</v>
      </c>
      <c r="L11" s="45">
        <v>16.3</v>
      </c>
      <c r="M11" s="45">
        <v>17</v>
      </c>
      <c r="N11" s="45">
        <v>17</v>
      </c>
      <c r="O11" s="45">
        <v>17</v>
      </c>
      <c r="P11" s="45">
        <v>17</v>
      </c>
      <c r="Q11" s="45">
        <v>17</v>
      </c>
      <c r="R11" s="45">
        <v>17</v>
      </c>
      <c r="S11" s="45">
        <v>17</v>
      </c>
      <c r="T11" s="45">
        <v>17</v>
      </c>
      <c r="U11" s="45">
        <v>17</v>
      </c>
      <c r="V11" s="45">
        <v>17</v>
      </c>
      <c r="W11" s="45">
        <v>17</v>
      </c>
      <c r="X11" s="45">
        <v>17</v>
      </c>
      <c r="Y11" s="45">
        <v>17</v>
      </c>
      <c r="Z11" s="45">
        <v>17</v>
      </c>
      <c r="AA11" s="45"/>
      <c r="AB11" s="45"/>
      <c r="AC11" s="45"/>
      <c r="AD11" s="45"/>
      <c r="AE11" s="45"/>
      <c r="AF11" s="45"/>
      <c r="AG11" s="46">
        <v>52.4</v>
      </c>
      <c r="AH11" s="47">
        <f t="shared" ref="AH11:AH74" si="2">MAX(B11:AF11)</f>
        <v>17.8</v>
      </c>
      <c r="AI11" s="48">
        <f t="shared" ref="AI11:AI74" si="3">MIN(B11:AF11)</f>
        <v>16.3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>
        <v>31.5</v>
      </c>
      <c r="C12" s="45">
        <v>31.5</v>
      </c>
      <c r="D12" s="45">
        <v>31.5</v>
      </c>
      <c r="E12" s="45">
        <v>31.5</v>
      </c>
      <c r="F12" s="45">
        <v>31.5</v>
      </c>
      <c r="G12" s="45">
        <v>31.5</v>
      </c>
      <c r="H12" s="45">
        <v>31.5</v>
      </c>
      <c r="I12" s="45">
        <v>31.5</v>
      </c>
      <c r="J12" s="45">
        <v>31.5</v>
      </c>
      <c r="K12" s="45">
        <v>31.5</v>
      </c>
      <c r="L12" s="45">
        <v>31.5</v>
      </c>
      <c r="M12" s="45">
        <v>31.5</v>
      </c>
      <c r="N12" s="45">
        <v>31.5</v>
      </c>
      <c r="O12" s="45">
        <v>31.5</v>
      </c>
      <c r="P12" s="45">
        <v>31.5</v>
      </c>
      <c r="Q12" s="45">
        <v>31.5</v>
      </c>
      <c r="R12" s="45">
        <v>31.5</v>
      </c>
      <c r="S12" s="45">
        <v>31.5</v>
      </c>
      <c r="T12" s="45">
        <v>31.5</v>
      </c>
      <c r="U12" s="45">
        <v>31.5</v>
      </c>
      <c r="V12" s="45">
        <v>31.5</v>
      </c>
      <c r="W12" s="45">
        <v>31.5</v>
      </c>
      <c r="X12" s="45">
        <v>31.5</v>
      </c>
      <c r="Y12" s="45">
        <v>31.5</v>
      </c>
      <c r="Z12" s="45">
        <v>31.5</v>
      </c>
      <c r="AA12" s="45"/>
      <c r="AB12" s="45"/>
      <c r="AC12" s="45"/>
      <c r="AD12" s="45"/>
      <c r="AE12" s="45"/>
      <c r="AF12" s="45"/>
      <c r="AG12" s="50">
        <v>50</v>
      </c>
      <c r="AH12" s="47">
        <f t="shared" si="2"/>
        <v>31.5</v>
      </c>
      <c r="AI12" s="48">
        <f t="shared" si="3"/>
        <v>31.5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>
        <v>19.100000000000001</v>
      </c>
      <c r="C13" s="45">
        <v>19.100000000000001</v>
      </c>
      <c r="D13" s="45">
        <v>19.100000000000001</v>
      </c>
      <c r="E13" s="45">
        <v>19.100000000000001</v>
      </c>
      <c r="F13" s="45">
        <v>19.100000000000001</v>
      </c>
      <c r="G13" s="45">
        <v>19.100000000000001</v>
      </c>
      <c r="H13" s="45">
        <v>19.100000000000001</v>
      </c>
      <c r="I13" s="45">
        <v>19.100000000000001</v>
      </c>
      <c r="J13" s="45">
        <v>19.100000000000001</v>
      </c>
      <c r="K13" s="45">
        <v>19.100000000000001</v>
      </c>
      <c r="L13" s="45">
        <v>19.100000000000001</v>
      </c>
      <c r="M13" s="45">
        <v>15.5</v>
      </c>
      <c r="N13" s="45">
        <v>15.5</v>
      </c>
      <c r="O13" s="45">
        <v>15.5</v>
      </c>
      <c r="P13" s="45">
        <v>15.5</v>
      </c>
      <c r="Q13" s="45">
        <v>15.5</v>
      </c>
      <c r="R13" s="45">
        <v>15.5</v>
      </c>
      <c r="S13" s="45">
        <v>15.5</v>
      </c>
      <c r="T13" s="45">
        <v>15.5</v>
      </c>
      <c r="U13" s="45">
        <v>15.5</v>
      </c>
      <c r="V13" s="45">
        <v>15.5</v>
      </c>
      <c r="W13" s="45">
        <v>15.5</v>
      </c>
      <c r="X13" s="45">
        <v>15.5</v>
      </c>
      <c r="Y13" s="45">
        <v>15.5</v>
      </c>
      <c r="Z13" s="45">
        <v>15.5</v>
      </c>
      <c r="AA13" s="45"/>
      <c r="AB13" s="45"/>
      <c r="AC13" s="45"/>
      <c r="AD13" s="45"/>
      <c r="AE13" s="45"/>
      <c r="AF13" s="45"/>
      <c r="AG13" s="50">
        <v>45</v>
      </c>
      <c r="AH13" s="47">
        <f t="shared" si="2"/>
        <v>19.100000000000001</v>
      </c>
      <c r="AI13" s="48">
        <f t="shared" si="3"/>
        <v>15.5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>
        <v>8</v>
      </c>
      <c r="C14" s="45">
        <v>8</v>
      </c>
      <c r="D14" s="45">
        <v>8</v>
      </c>
      <c r="E14" s="45">
        <v>8</v>
      </c>
      <c r="F14" s="45">
        <v>8</v>
      </c>
      <c r="G14" s="45">
        <v>8</v>
      </c>
      <c r="H14" s="45">
        <v>8</v>
      </c>
      <c r="I14" s="45">
        <v>8</v>
      </c>
      <c r="J14" s="45">
        <v>8</v>
      </c>
      <c r="K14" s="45">
        <v>8</v>
      </c>
      <c r="L14" s="45">
        <v>8</v>
      </c>
      <c r="M14" s="45">
        <v>8.5</v>
      </c>
      <c r="N14" s="45">
        <v>8.5</v>
      </c>
      <c r="O14" s="45">
        <v>8.5</v>
      </c>
      <c r="P14" s="45">
        <v>8.5</v>
      </c>
      <c r="Q14" s="45">
        <v>8.5</v>
      </c>
      <c r="R14" s="45">
        <v>8.5</v>
      </c>
      <c r="S14" s="45">
        <v>8.5</v>
      </c>
      <c r="T14" s="45">
        <v>8.5</v>
      </c>
      <c r="U14" s="45">
        <v>8.5</v>
      </c>
      <c r="V14" s="45">
        <v>8.5</v>
      </c>
      <c r="W14" s="45">
        <v>8.5</v>
      </c>
      <c r="X14" s="45">
        <v>8.5</v>
      </c>
      <c r="Y14" s="45">
        <v>8.5</v>
      </c>
      <c r="Z14" s="45">
        <v>8.5</v>
      </c>
      <c r="AA14" s="45"/>
      <c r="AB14" s="45"/>
      <c r="AC14" s="45"/>
      <c r="AD14" s="45"/>
      <c r="AE14" s="45"/>
      <c r="AF14" s="45"/>
      <c r="AG14" s="50">
        <v>42</v>
      </c>
      <c r="AH14" s="47">
        <f t="shared" si="2"/>
        <v>8.5</v>
      </c>
      <c r="AI14" s="48">
        <f t="shared" si="3"/>
        <v>8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>
        <v>16.5</v>
      </c>
      <c r="C15" s="45">
        <v>16.5</v>
      </c>
      <c r="D15" s="45">
        <v>16.5</v>
      </c>
      <c r="E15" s="45">
        <v>16.5</v>
      </c>
      <c r="F15" s="45">
        <v>16.5</v>
      </c>
      <c r="G15" s="45">
        <v>16.5</v>
      </c>
      <c r="H15" s="45">
        <v>16.5</v>
      </c>
      <c r="I15" s="45">
        <v>16.5</v>
      </c>
      <c r="J15" s="45">
        <v>16.5</v>
      </c>
      <c r="K15" s="45">
        <v>16.5</v>
      </c>
      <c r="L15" s="45">
        <v>16.5</v>
      </c>
      <c r="M15" s="45">
        <v>16.5</v>
      </c>
      <c r="N15" s="45">
        <v>16.5</v>
      </c>
      <c r="O15" s="45">
        <v>16.5</v>
      </c>
      <c r="P15" s="45">
        <v>16.5</v>
      </c>
      <c r="Q15" s="45">
        <v>16.5</v>
      </c>
      <c r="R15" s="45">
        <v>16.5</v>
      </c>
      <c r="S15" s="45">
        <v>16.5</v>
      </c>
      <c r="T15" s="45">
        <v>16.5</v>
      </c>
      <c r="U15" s="45">
        <v>16.5</v>
      </c>
      <c r="V15" s="45">
        <v>16.5</v>
      </c>
      <c r="W15" s="45">
        <v>16.5</v>
      </c>
      <c r="X15" s="45">
        <v>16.5</v>
      </c>
      <c r="Y15" s="45">
        <v>16.5</v>
      </c>
      <c r="Z15" s="45">
        <v>16.5</v>
      </c>
      <c r="AA15" s="45"/>
      <c r="AB15" s="45"/>
      <c r="AC15" s="45"/>
      <c r="AD15" s="45"/>
      <c r="AE15" s="45"/>
      <c r="AF15" s="45"/>
      <c r="AG15" s="50">
        <v>36</v>
      </c>
      <c r="AH15" s="47">
        <f t="shared" si="2"/>
        <v>16.5</v>
      </c>
      <c r="AI15" s="48">
        <f t="shared" si="3"/>
        <v>16.5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>
        <v>7.4</v>
      </c>
      <c r="C16" s="45">
        <v>7.4</v>
      </c>
      <c r="D16" s="45">
        <v>7.4</v>
      </c>
      <c r="E16" s="45">
        <v>7.4</v>
      </c>
      <c r="F16" s="45">
        <v>7.4</v>
      </c>
      <c r="G16" s="45">
        <v>7.4</v>
      </c>
      <c r="H16" s="45">
        <v>7.4</v>
      </c>
      <c r="I16" s="45">
        <v>7.4</v>
      </c>
      <c r="J16" s="45">
        <v>7.4</v>
      </c>
      <c r="K16" s="45">
        <v>7.4</v>
      </c>
      <c r="L16" s="45">
        <v>7.4</v>
      </c>
      <c r="M16" s="45">
        <v>7.3</v>
      </c>
      <c r="N16" s="45">
        <v>7.3</v>
      </c>
      <c r="O16" s="45">
        <v>7.3</v>
      </c>
      <c r="P16" s="45">
        <v>7.3</v>
      </c>
      <c r="Q16" s="45">
        <v>7.3</v>
      </c>
      <c r="R16" s="45">
        <v>7.3</v>
      </c>
      <c r="S16" s="45">
        <v>7.3</v>
      </c>
      <c r="T16" s="45">
        <v>7.3</v>
      </c>
      <c r="U16" s="45">
        <v>7.3</v>
      </c>
      <c r="V16" s="45">
        <v>7.3</v>
      </c>
      <c r="W16" s="45">
        <v>7.3</v>
      </c>
      <c r="X16" s="45">
        <v>7.3</v>
      </c>
      <c r="Y16" s="45">
        <v>7.3</v>
      </c>
      <c r="Z16" s="45">
        <v>7.3</v>
      </c>
      <c r="AA16" s="45"/>
      <c r="AB16" s="45"/>
      <c r="AC16" s="45"/>
      <c r="AD16" s="45"/>
      <c r="AE16" s="45"/>
      <c r="AF16" s="45"/>
      <c r="AG16" s="51">
        <v>30</v>
      </c>
      <c r="AH16" s="47">
        <f t="shared" si="2"/>
        <v>7.4</v>
      </c>
      <c r="AI16" s="48">
        <f t="shared" si="3"/>
        <v>7.3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>
        <v>6.6</v>
      </c>
      <c r="C17" s="45">
        <v>6.6</v>
      </c>
      <c r="D17" s="45">
        <v>6.6</v>
      </c>
      <c r="E17" s="45">
        <v>6.6</v>
      </c>
      <c r="F17" s="45">
        <v>6.6</v>
      </c>
      <c r="G17" s="45">
        <v>6.6</v>
      </c>
      <c r="H17" s="45">
        <v>6.6</v>
      </c>
      <c r="I17" s="45">
        <v>6.6</v>
      </c>
      <c r="J17" s="45">
        <v>6.6</v>
      </c>
      <c r="K17" s="45">
        <v>6.6</v>
      </c>
      <c r="L17" s="45">
        <v>6.6</v>
      </c>
      <c r="M17" s="45">
        <v>6.6</v>
      </c>
      <c r="N17" s="45">
        <v>6.6</v>
      </c>
      <c r="O17" s="45">
        <v>6.6</v>
      </c>
      <c r="P17" s="45">
        <v>6.6</v>
      </c>
      <c r="Q17" s="45">
        <v>6.6</v>
      </c>
      <c r="R17" s="45">
        <v>6.6</v>
      </c>
      <c r="S17" s="45">
        <v>6.6</v>
      </c>
      <c r="T17" s="45">
        <v>6.6</v>
      </c>
      <c r="U17" s="45">
        <v>6.6</v>
      </c>
      <c r="V17" s="45">
        <v>6.6</v>
      </c>
      <c r="W17" s="45">
        <v>6.6</v>
      </c>
      <c r="X17" s="45">
        <v>6.6</v>
      </c>
      <c r="Y17" s="45">
        <v>6.6</v>
      </c>
      <c r="Z17" s="45">
        <v>6.6</v>
      </c>
      <c r="AA17" s="45"/>
      <c r="AB17" s="45"/>
      <c r="AC17" s="45"/>
      <c r="AD17" s="45"/>
      <c r="AE17" s="45"/>
      <c r="AF17" s="45"/>
      <c r="AG17" s="50">
        <v>24.2</v>
      </c>
      <c r="AH17" s="47">
        <f t="shared" si="2"/>
        <v>6.6</v>
      </c>
      <c r="AI17" s="48">
        <f t="shared" si="3"/>
        <v>6.6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>
        <v>8</v>
      </c>
      <c r="C18" s="45">
        <v>8</v>
      </c>
      <c r="D18" s="45">
        <v>8</v>
      </c>
      <c r="E18" s="45">
        <v>8</v>
      </c>
      <c r="F18" s="45">
        <v>8</v>
      </c>
      <c r="G18" s="45">
        <v>8</v>
      </c>
      <c r="H18" s="45">
        <v>8</v>
      </c>
      <c r="I18" s="45">
        <v>8</v>
      </c>
      <c r="J18" s="45">
        <v>8</v>
      </c>
      <c r="K18" s="45">
        <v>8</v>
      </c>
      <c r="L18" s="45">
        <v>8</v>
      </c>
      <c r="M18" s="45">
        <v>8</v>
      </c>
      <c r="N18" s="45">
        <v>8</v>
      </c>
      <c r="O18" s="45">
        <v>8</v>
      </c>
      <c r="P18" s="45">
        <v>8</v>
      </c>
      <c r="Q18" s="45">
        <v>8</v>
      </c>
      <c r="R18" s="45">
        <v>8</v>
      </c>
      <c r="S18" s="45">
        <v>8</v>
      </c>
      <c r="T18" s="45">
        <v>8</v>
      </c>
      <c r="U18" s="45">
        <v>8</v>
      </c>
      <c r="V18" s="45">
        <v>8</v>
      </c>
      <c r="W18" s="45">
        <v>8</v>
      </c>
      <c r="X18" s="45">
        <v>8</v>
      </c>
      <c r="Y18" s="45">
        <v>8</v>
      </c>
      <c r="Z18" s="45">
        <v>8</v>
      </c>
      <c r="AA18" s="45"/>
      <c r="AB18" s="45"/>
      <c r="AC18" s="45"/>
      <c r="AD18" s="45"/>
      <c r="AE18" s="45"/>
      <c r="AF18" s="45"/>
      <c r="AG18" s="50">
        <v>28</v>
      </c>
      <c r="AH18" s="47">
        <f t="shared" si="2"/>
        <v>8</v>
      </c>
      <c r="AI18" s="48">
        <f t="shared" si="3"/>
        <v>8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>
        <v>13</v>
      </c>
      <c r="C19" s="45">
        <v>13</v>
      </c>
      <c r="D19" s="45">
        <v>13</v>
      </c>
      <c r="E19" s="45">
        <v>13</v>
      </c>
      <c r="F19" s="45">
        <v>13</v>
      </c>
      <c r="G19" s="45">
        <v>13</v>
      </c>
      <c r="H19" s="45">
        <v>13</v>
      </c>
      <c r="I19" s="45">
        <v>13</v>
      </c>
      <c r="J19" s="45">
        <v>13</v>
      </c>
      <c r="K19" s="45">
        <v>13</v>
      </c>
      <c r="L19" s="45">
        <v>13</v>
      </c>
      <c r="M19" s="45">
        <v>13</v>
      </c>
      <c r="N19" s="45">
        <v>13</v>
      </c>
      <c r="O19" s="45">
        <v>13</v>
      </c>
      <c r="P19" s="45">
        <v>13</v>
      </c>
      <c r="Q19" s="45">
        <v>13</v>
      </c>
      <c r="R19" s="45">
        <v>13</v>
      </c>
      <c r="S19" s="45">
        <v>13</v>
      </c>
      <c r="T19" s="45">
        <v>13</v>
      </c>
      <c r="U19" s="45">
        <v>13</v>
      </c>
      <c r="V19" s="45">
        <v>13</v>
      </c>
      <c r="W19" s="45">
        <v>13</v>
      </c>
      <c r="X19" s="45">
        <v>13</v>
      </c>
      <c r="Y19" s="45">
        <v>13</v>
      </c>
      <c r="Z19" s="45">
        <v>13</v>
      </c>
      <c r="AA19" s="45"/>
      <c r="AB19" s="45"/>
      <c r="AC19" s="45"/>
      <c r="AD19" s="45"/>
      <c r="AE19" s="45"/>
      <c r="AF19" s="45"/>
      <c r="AG19" s="51">
        <v>30</v>
      </c>
      <c r="AH19" s="47">
        <f t="shared" si="2"/>
        <v>13</v>
      </c>
      <c r="AI19" s="48">
        <f t="shared" si="3"/>
        <v>13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>
        <v>7</v>
      </c>
      <c r="C20" s="45">
        <v>7</v>
      </c>
      <c r="D20" s="45">
        <v>7</v>
      </c>
      <c r="E20" s="45">
        <v>7</v>
      </c>
      <c r="F20" s="45">
        <v>7</v>
      </c>
      <c r="G20" s="45">
        <v>7</v>
      </c>
      <c r="H20" s="45">
        <v>7</v>
      </c>
      <c r="I20" s="45">
        <v>7</v>
      </c>
      <c r="J20" s="45">
        <v>7</v>
      </c>
      <c r="K20" s="45">
        <v>7</v>
      </c>
      <c r="L20" s="45">
        <v>7</v>
      </c>
      <c r="M20" s="45">
        <v>7</v>
      </c>
      <c r="N20" s="45">
        <v>7</v>
      </c>
      <c r="O20" s="45">
        <v>7</v>
      </c>
      <c r="P20" s="45">
        <v>7</v>
      </c>
      <c r="Q20" s="45">
        <v>7</v>
      </c>
      <c r="R20" s="45">
        <v>7</v>
      </c>
      <c r="S20" s="45">
        <v>7</v>
      </c>
      <c r="T20" s="45">
        <v>7</v>
      </c>
      <c r="U20" s="45">
        <v>7</v>
      </c>
      <c r="V20" s="45">
        <v>7</v>
      </c>
      <c r="W20" s="45">
        <v>7</v>
      </c>
      <c r="X20" s="45">
        <v>7</v>
      </c>
      <c r="Y20" s="45">
        <v>7</v>
      </c>
      <c r="Z20" s="45">
        <v>7</v>
      </c>
      <c r="AA20" s="45"/>
      <c r="AB20" s="45"/>
      <c r="AC20" s="45"/>
      <c r="AD20" s="45"/>
      <c r="AE20" s="45"/>
      <c r="AF20" s="45"/>
      <c r="AG20" s="50">
        <v>25</v>
      </c>
      <c r="AH20" s="47">
        <f t="shared" si="2"/>
        <v>7</v>
      </c>
      <c r="AI20" s="48">
        <f t="shared" si="3"/>
        <v>7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>
        <v>10</v>
      </c>
      <c r="C21" s="45">
        <v>10</v>
      </c>
      <c r="D21" s="45">
        <v>10</v>
      </c>
      <c r="E21" s="45">
        <v>10</v>
      </c>
      <c r="F21" s="45">
        <v>10</v>
      </c>
      <c r="G21" s="45">
        <v>10</v>
      </c>
      <c r="H21" s="45">
        <v>10</v>
      </c>
      <c r="I21" s="45">
        <v>10</v>
      </c>
      <c r="J21" s="45">
        <v>10</v>
      </c>
      <c r="K21" s="45">
        <v>10</v>
      </c>
      <c r="L21" s="45">
        <v>10</v>
      </c>
      <c r="M21" s="45">
        <v>10</v>
      </c>
      <c r="N21" s="45">
        <v>10</v>
      </c>
      <c r="O21" s="45">
        <v>10</v>
      </c>
      <c r="P21" s="45">
        <v>10</v>
      </c>
      <c r="Q21" s="45">
        <v>10</v>
      </c>
      <c r="R21" s="45">
        <v>10</v>
      </c>
      <c r="S21" s="45">
        <v>10</v>
      </c>
      <c r="T21" s="45">
        <v>10</v>
      </c>
      <c r="U21" s="45">
        <v>10</v>
      </c>
      <c r="V21" s="45">
        <v>10</v>
      </c>
      <c r="W21" s="45">
        <v>10</v>
      </c>
      <c r="X21" s="45">
        <v>10</v>
      </c>
      <c r="Y21" s="45">
        <v>10</v>
      </c>
      <c r="Z21" s="45">
        <v>10</v>
      </c>
      <c r="AA21" s="45"/>
      <c r="AB21" s="45"/>
      <c r="AC21" s="45"/>
      <c r="AD21" s="45"/>
      <c r="AE21" s="45"/>
      <c r="AF21" s="45"/>
      <c r="AG21" s="50">
        <v>25</v>
      </c>
      <c r="AH21" s="47">
        <f t="shared" si="2"/>
        <v>10</v>
      </c>
      <c r="AI21" s="48">
        <f t="shared" si="3"/>
        <v>10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>
        <v>6</v>
      </c>
      <c r="C22" s="45">
        <v>6</v>
      </c>
      <c r="D22" s="45">
        <v>6</v>
      </c>
      <c r="E22" s="45">
        <v>6</v>
      </c>
      <c r="F22" s="45">
        <v>6</v>
      </c>
      <c r="G22" s="45">
        <v>6</v>
      </c>
      <c r="H22" s="45">
        <v>6</v>
      </c>
      <c r="I22" s="45">
        <v>6</v>
      </c>
      <c r="J22" s="45">
        <v>6</v>
      </c>
      <c r="K22" s="45">
        <v>6</v>
      </c>
      <c r="L22" s="45">
        <v>6</v>
      </c>
      <c r="M22" s="45">
        <v>6</v>
      </c>
      <c r="N22" s="45">
        <v>6</v>
      </c>
      <c r="O22" s="45">
        <v>6</v>
      </c>
      <c r="P22" s="45">
        <v>6</v>
      </c>
      <c r="Q22" s="45">
        <v>6</v>
      </c>
      <c r="R22" s="45">
        <v>6</v>
      </c>
      <c r="S22" s="45">
        <v>6</v>
      </c>
      <c r="T22" s="45">
        <v>6</v>
      </c>
      <c r="U22" s="45">
        <v>6</v>
      </c>
      <c r="V22" s="45">
        <v>6</v>
      </c>
      <c r="W22" s="45">
        <v>6</v>
      </c>
      <c r="X22" s="45">
        <v>6</v>
      </c>
      <c r="Y22" s="45">
        <v>6</v>
      </c>
      <c r="Z22" s="45">
        <v>6</v>
      </c>
      <c r="AA22" s="45"/>
      <c r="AB22" s="45"/>
      <c r="AC22" s="45"/>
      <c r="AD22" s="45"/>
      <c r="AE22" s="45"/>
      <c r="AF22" s="45"/>
      <c r="AG22" s="50">
        <v>25</v>
      </c>
      <c r="AH22" s="47">
        <f t="shared" si="2"/>
        <v>6</v>
      </c>
      <c r="AI22" s="48">
        <f t="shared" si="3"/>
        <v>6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>
        <v>7.8</v>
      </c>
      <c r="C23" s="45">
        <v>7.8</v>
      </c>
      <c r="D23" s="45">
        <v>7.8</v>
      </c>
      <c r="E23" s="45">
        <v>7.8</v>
      </c>
      <c r="F23" s="45">
        <v>7.8</v>
      </c>
      <c r="G23" s="45">
        <v>7.8</v>
      </c>
      <c r="H23" s="45">
        <v>7.8</v>
      </c>
      <c r="I23" s="45">
        <v>7.8</v>
      </c>
      <c r="J23" s="45">
        <v>7.8</v>
      </c>
      <c r="K23" s="45">
        <v>7.8</v>
      </c>
      <c r="L23" s="45">
        <v>7.8</v>
      </c>
      <c r="M23" s="45">
        <v>7.8</v>
      </c>
      <c r="N23" s="45">
        <v>7.8</v>
      </c>
      <c r="O23" s="45">
        <v>7.8</v>
      </c>
      <c r="P23" s="45">
        <v>7.8</v>
      </c>
      <c r="Q23" s="45">
        <v>7.8</v>
      </c>
      <c r="R23" s="45">
        <v>7.8</v>
      </c>
      <c r="S23" s="45">
        <v>7.8</v>
      </c>
      <c r="T23" s="45">
        <v>7.8</v>
      </c>
      <c r="U23" s="45">
        <v>7.8</v>
      </c>
      <c r="V23" s="45">
        <v>7.8</v>
      </c>
      <c r="W23" s="45">
        <v>7.8</v>
      </c>
      <c r="X23" s="45">
        <v>7.8</v>
      </c>
      <c r="Y23" s="45">
        <v>7.8</v>
      </c>
      <c r="Z23" s="45">
        <v>7.8</v>
      </c>
      <c r="AA23" s="45"/>
      <c r="AB23" s="45"/>
      <c r="AC23" s="45"/>
      <c r="AD23" s="45"/>
      <c r="AE23" s="45"/>
      <c r="AF23" s="45"/>
      <c r="AG23" s="50">
        <v>25</v>
      </c>
      <c r="AH23" s="47">
        <f t="shared" si="2"/>
        <v>7.8</v>
      </c>
      <c r="AI23" s="48">
        <f t="shared" si="3"/>
        <v>7.8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>
        <v>6.9</v>
      </c>
      <c r="C24" s="45">
        <v>6.9</v>
      </c>
      <c r="D24" s="45">
        <v>6.9</v>
      </c>
      <c r="E24" s="45">
        <v>6.9</v>
      </c>
      <c r="F24" s="45">
        <v>6.9</v>
      </c>
      <c r="G24" s="45">
        <v>6.9</v>
      </c>
      <c r="H24" s="45">
        <v>6.9</v>
      </c>
      <c r="I24" s="45">
        <v>6.9</v>
      </c>
      <c r="J24" s="45">
        <v>6.9</v>
      </c>
      <c r="K24" s="45">
        <v>6.9</v>
      </c>
      <c r="L24" s="45">
        <v>6.9</v>
      </c>
      <c r="M24" s="45">
        <v>7.3</v>
      </c>
      <c r="N24" s="45">
        <v>7.3</v>
      </c>
      <c r="O24" s="45">
        <v>7.3</v>
      </c>
      <c r="P24" s="45">
        <v>7.3</v>
      </c>
      <c r="Q24" s="45">
        <v>7.3</v>
      </c>
      <c r="R24" s="45">
        <v>7.3</v>
      </c>
      <c r="S24" s="45">
        <v>7.3</v>
      </c>
      <c r="T24" s="45">
        <v>7.3</v>
      </c>
      <c r="U24" s="45">
        <v>7.3</v>
      </c>
      <c r="V24" s="45">
        <v>7.3</v>
      </c>
      <c r="W24" s="45">
        <v>7.3</v>
      </c>
      <c r="X24" s="45">
        <v>7.3</v>
      </c>
      <c r="Y24" s="45">
        <v>7.3</v>
      </c>
      <c r="Z24" s="45">
        <v>7.3</v>
      </c>
      <c r="AA24" s="45"/>
      <c r="AB24" s="45"/>
      <c r="AC24" s="45"/>
      <c r="AD24" s="45"/>
      <c r="AE24" s="45"/>
      <c r="AF24" s="45"/>
      <c r="AG24" s="50">
        <v>23.5</v>
      </c>
      <c r="AH24" s="47">
        <f t="shared" si="2"/>
        <v>7.3</v>
      </c>
      <c r="AI24" s="48">
        <f t="shared" si="3"/>
        <v>6.9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>
        <v>7</v>
      </c>
      <c r="C25" s="45">
        <v>7</v>
      </c>
      <c r="D25" s="45">
        <v>7</v>
      </c>
      <c r="E25" s="45">
        <v>7</v>
      </c>
      <c r="F25" s="45">
        <v>7</v>
      </c>
      <c r="G25" s="45">
        <v>7</v>
      </c>
      <c r="H25" s="45">
        <v>7</v>
      </c>
      <c r="I25" s="45">
        <v>7</v>
      </c>
      <c r="J25" s="45">
        <v>7</v>
      </c>
      <c r="K25" s="45">
        <v>7</v>
      </c>
      <c r="L25" s="45">
        <v>7</v>
      </c>
      <c r="M25" s="45">
        <v>7</v>
      </c>
      <c r="N25" s="45">
        <v>7</v>
      </c>
      <c r="O25" s="45">
        <v>7</v>
      </c>
      <c r="P25" s="45">
        <v>7</v>
      </c>
      <c r="Q25" s="45">
        <v>7</v>
      </c>
      <c r="R25" s="45">
        <v>7</v>
      </c>
      <c r="S25" s="45">
        <v>7</v>
      </c>
      <c r="T25" s="45">
        <v>7</v>
      </c>
      <c r="U25" s="45">
        <v>7</v>
      </c>
      <c r="V25" s="45">
        <v>7</v>
      </c>
      <c r="W25" s="45">
        <v>7</v>
      </c>
      <c r="X25" s="45">
        <v>7</v>
      </c>
      <c r="Y25" s="45">
        <v>7</v>
      </c>
      <c r="Z25" s="45">
        <v>7</v>
      </c>
      <c r="AA25" s="45"/>
      <c r="AB25" s="45"/>
      <c r="AC25" s="45"/>
      <c r="AD25" s="45"/>
      <c r="AE25" s="45"/>
      <c r="AF25" s="45"/>
      <c r="AG25" s="50">
        <v>22.2</v>
      </c>
      <c r="AH25" s="47">
        <f t="shared" si="2"/>
        <v>7</v>
      </c>
      <c r="AI25" s="48">
        <f t="shared" si="3"/>
        <v>7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>
        <v>7</v>
      </c>
      <c r="C26" s="45">
        <v>7</v>
      </c>
      <c r="D26" s="45">
        <v>7</v>
      </c>
      <c r="E26" s="45">
        <v>7</v>
      </c>
      <c r="F26" s="45">
        <v>7</v>
      </c>
      <c r="G26" s="45">
        <v>7</v>
      </c>
      <c r="H26" s="45">
        <v>7</v>
      </c>
      <c r="I26" s="45">
        <v>7</v>
      </c>
      <c r="J26" s="45">
        <v>7</v>
      </c>
      <c r="K26" s="45">
        <v>7</v>
      </c>
      <c r="L26" s="45">
        <v>7</v>
      </c>
      <c r="M26" s="45">
        <v>7</v>
      </c>
      <c r="N26" s="45">
        <v>7</v>
      </c>
      <c r="O26" s="45">
        <v>7</v>
      </c>
      <c r="P26" s="45">
        <v>7</v>
      </c>
      <c r="Q26" s="45">
        <v>7</v>
      </c>
      <c r="R26" s="45">
        <v>7</v>
      </c>
      <c r="S26" s="45">
        <v>7</v>
      </c>
      <c r="T26" s="45">
        <v>7</v>
      </c>
      <c r="U26" s="45">
        <v>7</v>
      </c>
      <c r="V26" s="45">
        <v>7</v>
      </c>
      <c r="W26" s="45">
        <v>7</v>
      </c>
      <c r="X26" s="45">
        <v>7</v>
      </c>
      <c r="Y26" s="45">
        <v>7</v>
      </c>
      <c r="Z26" s="45">
        <v>7</v>
      </c>
      <c r="AA26" s="45"/>
      <c r="AB26" s="45"/>
      <c r="AC26" s="45"/>
      <c r="AD26" s="45"/>
      <c r="AE26" s="45"/>
      <c r="AF26" s="45"/>
      <c r="AG26" s="50">
        <v>22.1</v>
      </c>
      <c r="AH26" s="47">
        <f t="shared" si="2"/>
        <v>7</v>
      </c>
      <c r="AI26" s="48">
        <f t="shared" si="3"/>
        <v>7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>
        <v>8</v>
      </c>
      <c r="C27" s="45">
        <v>8</v>
      </c>
      <c r="D27" s="45">
        <v>8</v>
      </c>
      <c r="E27" s="45">
        <v>8</v>
      </c>
      <c r="F27" s="45">
        <v>8</v>
      </c>
      <c r="G27" s="45">
        <v>8</v>
      </c>
      <c r="H27" s="45">
        <v>8</v>
      </c>
      <c r="I27" s="45">
        <v>8</v>
      </c>
      <c r="J27" s="45">
        <v>8</v>
      </c>
      <c r="K27" s="45">
        <v>8</v>
      </c>
      <c r="L27" s="45">
        <v>8</v>
      </c>
      <c r="M27" s="45">
        <v>8</v>
      </c>
      <c r="N27" s="45">
        <v>8</v>
      </c>
      <c r="O27" s="45">
        <v>8</v>
      </c>
      <c r="P27" s="45">
        <v>8</v>
      </c>
      <c r="Q27" s="45">
        <v>8</v>
      </c>
      <c r="R27" s="45">
        <v>8</v>
      </c>
      <c r="S27" s="45">
        <v>8</v>
      </c>
      <c r="T27" s="45">
        <v>8</v>
      </c>
      <c r="U27" s="45">
        <v>8</v>
      </c>
      <c r="V27" s="45">
        <v>8</v>
      </c>
      <c r="W27" s="45">
        <v>8</v>
      </c>
      <c r="X27" s="45">
        <v>8</v>
      </c>
      <c r="Y27" s="45">
        <v>8</v>
      </c>
      <c r="Z27" s="45">
        <v>8</v>
      </c>
      <c r="AA27" s="45"/>
      <c r="AB27" s="45"/>
      <c r="AC27" s="45"/>
      <c r="AD27" s="45"/>
      <c r="AE27" s="45"/>
      <c r="AF27" s="45"/>
      <c r="AG27" s="50">
        <v>22</v>
      </c>
      <c r="AH27" s="47">
        <f t="shared" si="2"/>
        <v>8</v>
      </c>
      <c r="AI27" s="48">
        <f t="shared" si="3"/>
        <v>8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>
        <v>8</v>
      </c>
      <c r="C28" s="45">
        <v>8</v>
      </c>
      <c r="D28" s="45">
        <v>8</v>
      </c>
      <c r="E28" s="45">
        <v>8</v>
      </c>
      <c r="F28" s="45">
        <v>8</v>
      </c>
      <c r="G28" s="45">
        <v>8</v>
      </c>
      <c r="H28" s="45">
        <v>8</v>
      </c>
      <c r="I28" s="45">
        <v>8</v>
      </c>
      <c r="J28" s="45">
        <v>8</v>
      </c>
      <c r="K28" s="45">
        <v>8</v>
      </c>
      <c r="L28" s="45">
        <v>8</v>
      </c>
      <c r="M28" s="45">
        <v>8</v>
      </c>
      <c r="N28" s="45">
        <v>8</v>
      </c>
      <c r="O28" s="45">
        <v>8</v>
      </c>
      <c r="P28" s="45">
        <v>8</v>
      </c>
      <c r="Q28" s="45">
        <v>8</v>
      </c>
      <c r="R28" s="45">
        <v>8</v>
      </c>
      <c r="S28" s="45">
        <v>8</v>
      </c>
      <c r="T28" s="45">
        <v>8</v>
      </c>
      <c r="U28" s="45">
        <v>8</v>
      </c>
      <c r="V28" s="45">
        <v>8</v>
      </c>
      <c r="W28" s="45">
        <v>8</v>
      </c>
      <c r="X28" s="45">
        <v>8</v>
      </c>
      <c r="Y28" s="45">
        <v>8</v>
      </c>
      <c r="Z28" s="45">
        <v>8</v>
      </c>
      <c r="AA28" s="45"/>
      <c r="AB28" s="45"/>
      <c r="AC28" s="45"/>
      <c r="AD28" s="45"/>
      <c r="AE28" s="45"/>
      <c r="AF28" s="45"/>
      <c r="AG28" s="50">
        <v>22</v>
      </c>
      <c r="AH28" s="47">
        <f t="shared" si="2"/>
        <v>8</v>
      </c>
      <c r="AI28" s="48">
        <f t="shared" si="3"/>
        <v>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>
        <v>7</v>
      </c>
      <c r="C29" s="45">
        <v>7</v>
      </c>
      <c r="D29" s="45">
        <v>7</v>
      </c>
      <c r="E29" s="45">
        <v>7</v>
      </c>
      <c r="F29" s="45">
        <v>7</v>
      </c>
      <c r="G29" s="45">
        <v>7</v>
      </c>
      <c r="H29" s="45">
        <v>7</v>
      </c>
      <c r="I29" s="45">
        <v>7</v>
      </c>
      <c r="J29" s="45">
        <v>7</v>
      </c>
      <c r="K29" s="45">
        <v>7</v>
      </c>
      <c r="L29" s="45">
        <v>7</v>
      </c>
      <c r="M29" s="45">
        <v>7</v>
      </c>
      <c r="N29" s="45">
        <v>7</v>
      </c>
      <c r="O29" s="45">
        <v>7</v>
      </c>
      <c r="P29" s="45">
        <v>7</v>
      </c>
      <c r="Q29" s="45">
        <v>7</v>
      </c>
      <c r="R29" s="45">
        <v>7</v>
      </c>
      <c r="S29" s="45">
        <v>7</v>
      </c>
      <c r="T29" s="45">
        <v>7</v>
      </c>
      <c r="U29" s="45">
        <v>7</v>
      </c>
      <c r="V29" s="45">
        <v>7</v>
      </c>
      <c r="W29" s="45">
        <v>7</v>
      </c>
      <c r="X29" s="45">
        <v>7</v>
      </c>
      <c r="Y29" s="45">
        <v>7</v>
      </c>
      <c r="Z29" s="45">
        <v>7</v>
      </c>
      <c r="AA29" s="45"/>
      <c r="AB29" s="45"/>
      <c r="AC29" s="45"/>
      <c r="AD29" s="45"/>
      <c r="AE29" s="45"/>
      <c r="AF29" s="45"/>
      <c r="AG29" s="50">
        <v>20</v>
      </c>
      <c r="AH29" s="47">
        <f t="shared" si="2"/>
        <v>7</v>
      </c>
      <c r="AI29" s="48">
        <f t="shared" si="3"/>
        <v>7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>
        <v>3.8</v>
      </c>
      <c r="C30" s="45">
        <v>3.8</v>
      </c>
      <c r="D30" s="45">
        <v>3.8</v>
      </c>
      <c r="E30" s="45">
        <v>3.8</v>
      </c>
      <c r="F30" s="45">
        <v>3.8</v>
      </c>
      <c r="G30" s="45">
        <v>3.8</v>
      </c>
      <c r="H30" s="45">
        <v>3.8</v>
      </c>
      <c r="I30" s="45">
        <v>3.8</v>
      </c>
      <c r="J30" s="45">
        <v>3.8</v>
      </c>
      <c r="K30" s="45">
        <v>3.8</v>
      </c>
      <c r="L30" s="45">
        <v>3.8</v>
      </c>
      <c r="M30" s="45">
        <v>3.8</v>
      </c>
      <c r="N30" s="45">
        <v>3.8</v>
      </c>
      <c r="O30" s="45">
        <v>3.8</v>
      </c>
      <c r="P30" s="45">
        <v>3.8</v>
      </c>
      <c r="Q30" s="45">
        <v>3.8</v>
      </c>
      <c r="R30" s="45">
        <v>3.8</v>
      </c>
      <c r="S30" s="45">
        <v>3.8</v>
      </c>
      <c r="T30" s="45">
        <v>3.8</v>
      </c>
      <c r="U30" s="45">
        <v>3.8</v>
      </c>
      <c r="V30" s="45">
        <v>3.8</v>
      </c>
      <c r="W30" s="45">
        <v>3.8</v>
      </c>
      <c r="X30" s="45">
        <v>3.8</v>
      </c>
      <c r="Y30" s="45">
        <v>3.8</v>
      </c>
      <c r="Z30" s="45">
        <v>3.8</v>
      </c>
      <c r="AA30" s="45"/>
      <c r="AB30" s="45"/>
      <c r="AC30" s="45"/>
      <c r="AD30" s="45"/>
      <c r="AE30" s="45"/>
      <c r="AF30" s="45"/>
      <c r="AG30" s="50">
        <v>18</v>
      </c>
      <c r="AH30" s="47">
        <f t="shared" si="2"/>
        <v>3.8</v>
      </c>
      <c r="AI30" s="48">
        <f t="shared" si="3"/>
        <v>3.8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>
        <v>6.2</v>
      </c>
      <c r="C31" s="45">
        <v>6.2</v>
      </c>
      <c r="D31" s="45">
        <v>6.2</v>
      </c>
      <c r="E31" s="45">
        <v>6.2</v>
      </c>
      <c r="F31" s="45">
        <v>6.2</v>
      </c>
      <c r="G31" s="45">
        <v>6.2</v>
      </c>
      <c r="H31" s="45">
        <v>6.2</v>
      </c>
      <c r="I31" s="45">
        <v>6.2</v>
      </c>
      <c r="J31" s="45">
        <v>6.2</v>
      </c>
      <c r="K31" s="45">
        <v>6.2</v>
      </c>
      <c r="L31" s="45">
        <v>6.2</v>
      </c>
      <c r="M31" s="45">
        <v>6.2</v>
      </c>
      <c r="N31" s="45">
        <v>6.2</v>
      </c>
      <c r="O31" s="45">
        <v>6.2</v>
      </c>
      <c r="P31" s="45">
        <v>6.2</v>
      </c>
      <c r="Q31" s="45">
        <v>6.2</v>
      </c>
      <c r="R31" s="45">
        <v>6.2</v>
      </c>
      <c r="S31" s="45">
        <v>6.2</v>
      </c>
      <c r="T31" s="45">
        <v>6.2</v>
      </c>
      <c r="U31" s="45">
        <v>6.2</v>
      </c>
      <c r="V31" s="45">
        <v>6.2</v>
      </c>
      <c r="W31" s="45">
        <v>6.2</v>
      </c>
      <c r="X31" s="45">
        <v>6.2</v>
      </c>
      <c r="Y31" s="45">
        <v>6.2</v>
      </c>
      <c r="Z31" s="45">
        <v>6.2</v>
      </c>
      <c r="AA31" s="45"/>
      <c r="AB31" s="45"/>
      <c r="AC31" s="45"/>
      <c r="AD31" s="45"/>
      <c r="AE31" s="45"/>
      <c r="AF31" s="45"/>
      <c r="AG31" s="50">
        <v>14.9</v>
      </c>
      <c r="AH31" s="47">
        <f t="shared" si="2"/>
        <v>6.2</v>
      </c>
      <c r="AI31" s="48">
        <f t="shared" si="3"/>
        <v>6.2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0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0</v>
      </c>
      <c r="U32" s="45">
        <v>0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/>
      <c r="AB32" s="45"/>
      <c r="AC32" s="45"/>
      <c r="AD32" s="45"/>
      <c r="AE32" s="45"/>
      <c r="AF32" s="45"/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>
        <v>5</v>
      </c>
      <c r="C33" s="45">
        <v>5</v>
      </c>
      <c r="D33" s="45">
        <v>5</v>
      </c>
      <c r="E33" s="45">
        <v>5</v>
      </c>
      <c r="F33" s="45">
        <v>5</v>
      </c>
      <c r="G33" s="45">
        <v>5</v>
      </c>
      <c r="H33" s="45">
        <v>5</v>
      </c>
      <c r="I33" s="45">
        <v>5</v>
      </c>
      <c r="J33" s="45">
        <v>5</v>
      </c>
      <c r="K33" s="45">
        <v>5</v>
      </c>
      <c r="L33" s="45">
        <v>5</v>
      </c>
      <c r="M33" s="45">
        <v>5</v>
      </c>
      <c r="N33" s="45">
        <v>5</v>
      </c>
      <c r="O33" s="45">
        <v>5</v>
      </c>
      <c r="P33" s="45">
        <v>5</v>
      </c>
      <c r="Q33" s="45">
        <v>5</v>
      </c>
      <c r="R33" s="45">
        <v>5</v>
      </c>
      <c r="S33" s="45">
        <v>5</v>
      </c>
      <c r="T33" s="45">
        <v>5</v>
      </c>
      <c r="U33" s="45">
        <v>5</v>
      </c>
      <c r="V33" s="45">
        <v>5</v>
      </c>
      <c r="W33" s="45">
        <v>5</v>
      </c>
      <c r="X33" s="45">
        <v>5</v>
      </c>
      <c r="Y33" s="45">
        <v>5</v>
      </c>
      <c r="Z33" s="45">
        <v>5</v>
      </c>
      <c r="AA33" s="45"/>
      <c r="AB33" s="45"/>
      <c r="AC33" s="45"/>
      <c r="AD33" s="45"/>
      <c r="AE33" s="45"/>
      <c r="AF33" s="45"/>
      <c r="AG33" s="50">
        <v>13</v>
      </c>
      <c r="AH33" s="47">
        <f t="shared" si="2"/>
        <v>5</v>
      </c>
      <c r="AI33" s="48">
        <f t="shared" si="3"/>
        <v>5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>
        <v>7</v>
      </c>
      <c r="C34" s="45">
        <v>7</v>
      </c>
      <c r="D34" s="45">
        <v>7</v>
      </c>
      <c r="E34" s="45">
        <v>7</v>
      </c>
      <c r="F34" s="45">
        <v>7</v>
      </c>
      <c r="G34" s="45">
        <v>7</v>
      </c>
      <c r="H34" s="45">
        <v>7</v>
      </c>
      <c r="I34" s="45">
        <v>7</v>
      </c>
      <c r="J34" s="45">
        <v>7</v>
      </c>
      <c r="K34" s="45">
        <v>7</v>
      </c>
      <c r="L34" s="45">
        <v>7</v>
      </c>
      <c r="M34" s="45">
        <v>7</v>
      </c>
      <c r="N34" s="45">
        <v>7</v>
      </c>
      <c r="O34" s="45">
        <v>7</v>
      </c>
      <c r="P34" s="45">
        <v>7</v>
      </c>
      <c r="Q34" s="45">
        <v>7</v>
      </c>
      <c r="R34" s="45">
        <v>7</v>
      </c>
      <c r="S34" s="45">
        <v>7</v>
      </c>
      <c r="T34" s="45">
        <v>7</v>
      </c>
      <c r="U34" s="45">
        <v>7</v>
      </c>
      <c r="V34" s="45">
        <v>7</v>
      </c>
      <c r="W34" s="45">
        <v>7</v>
      </c>
      <c r="X34" s="45">
        <v>7</v>
      </c>
      <c r="Y34" s="45">
        <v>7</v>
      </c>
      <c r="Z34" s="45">
        <v>7</v>
      </c>
      <c r="AA34" s="45"/>
      <c r="AB34" s="45"/>
      <c r="AC34" s="45"/>
      <c r="AD34" s="45"/>
      <c r="AE34" s="45"/>
      <c r="AF34" s="45"/>
      <c r="AG34" s="50">
        <v>12</v>
      </c>
      <c r="AH34" s="47">
        <f t="shared" si="2"/>
        <v>7</v>
      </c>
      <c r="AI34" s="48">
        <f t="shared" si="3"/>
        <v>7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>
        <v>10</v>
      </c>
      <c r="C35" s="45">
        <v>10</v>
      </c>
      <c r="D35" s="45">
        <v>10</v>
      </c>
      <c r="E35" s="45">
        <v>10</v>
      </c>
      <c r="F35" s="45">
        <v>10</v>
      </c>
      <c r="G35" s="45">
        <v>10</v>
      </c>
      <c r="H35" s="45">
        <v>10</v>
      </c>
      <c r="I35" s="45">
        <v>10</v>
      </c>
      <c r="J35" s="45">
        <v>10</v>
      </c>
      <c r="K35" s="45">
        <v>10</v>
      </c>
      <c r="L35" s="45">
        <v>10</v>
      </c>
      <c r="M35" s="45">
        <v>10</v>
      </c>
      <c r="N35" s="45">
        <v>10</v>
      </c>
      <c r="O35" s="45">
        <v>10</v>
      </c>
      <c r="P35" s="45">
        <v>10</v>
      </c>
      <c r="Q35" s="45">
        <v>10</v>
      </c>
      <c r="R35" s="45">
        <v>10</v>
      </c>
      <c r="S35" s="45">
        <v>10</v>
      </c>
      <c r="T35" s="45">
        <v>10</v>
      </c>
      <c r="U35" s="45">
        <v>10</v>
      </c>
      <c r="V35" s="45">
        <v>10</v>
      </c>
      <c r="W35" s="45">
        <v>10</v>
      </c>
      <c r="X35" s="45">
        <v>10</v>
      </c>
      <c r="Y35" s="45">
        <v>10</v>
      </c>
      <c r="Z35" s="45">
        <v>10</v>
      </c>
      <c r="AA35" s="45"/>
      <c r="AB35" s="45"/>
      <c r="AC35" s="45"/>
      <c r="AD35" s="45"/>
      <c r="AE35" s="45"/>
      <c r="AF35" s="45"/>
      <c r="AG35" s="50">
        <v>12</v>
      </c>
      <c r="AH35" s="47">
        <f t="shared" si="2"/>
        <v>10</v>
      </c>
      <c r="AI35" s="48">
        <f t="shared" si="3"/>
        <v>10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>
        <v>7</v>
      </c>
      <c r="C36" s="45">
        <v>7</v>
      </c>
      <c r="D36" s="45">
        <v>7</v>
      </c>
      <c r="E36" s="45">
        <v>7</v>
      </c>
      <c r="F36" s="45">
        <v>7</v>
      </c>
      <c r="G36" s="45">
        <v>7</v>
      </c>
      <c r="H36" s="45">
        <v>7</v>
      </c>
      <c r="I36" s="45">
        <v>7</v>
      </c>
      <c r="J36" s="45">
        <v>7</v>
      </c>
      <c r="K36" s="45">
        <v>7</v>
      </c>
      <c r="L36" s="45">
        <v>7</v>
      </c>
      <c r="M36" s="45">
        <v>7</v>
      </c>
      <c r="N36" s="45">
        <v>7</v>
      </c>
      <c r="O36" s="45">
        <v>7</v>
      </c>
      <c r="P36" s="45">
        <v>7</v>
      </c>
      <c r="Q36" s="45">
        <v>7</v>
      </c>
      <c r="R36" s="45">
        <v>7</v>
      </c>
      <c r="S36" s="45">
        <v>7</v>
      </c>
      <c r="T36" s="45">
        <v>7</v>
      </c>
      <c r="U36" s="45">
        <v>7</v>
      </c>
      <c r="V36" s="45">
        <v>7</v>
      </c>
      <c r="W36" s="45">
        <v>7</v>
      </c>
      <c r="X36" s="45">
        <v>7</v>
      </c>
      <c r="Y36" s="45">
        <v>7</v>
      </c>
      <c r="Z36" s="45">
        <v>7</v>
      </c>
      <c r="AA36" s="45"/>
      <c r="AB36" s="45"/>
      <c r="AC36" s="45"/>
      <c r="AD36" s="45"/>
      <c r="AE36" s="45"/>
      <c r="AF36" s="45"/>
      <c r="AG36" s="50">
        <v>12</v>
      </c>
      <c r="AH36" s="47">
        <f t="shared" si="2"/>
        <v>7</v>
      </c>
      <c r="AI36" s="48">
        <f t="shared" si="3"/>
        <v>7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>
        <v>6</v>
      </c>
      <c r="C37" s="45">
        <v>6</v>
      </c>
      <c r="D37" s="45">
        <v>6</v>
      </c>
      <c r="E37" s="45">
        <v>6</v>
      </c>
      <c r="F37" s="45">
        <v>6</v>
      </c>
      <c r="G37" s="45">
        <v>6</v>
      </c>
      <c r="H37" s="45">
        <v>6</v>
      </c>
      <c r="I37" s="45">
        <v>6</v>
      </c>
      <c r="J37" s="45">
        <v>6</v>
      </c>
      <c r="K37" s="45">
        <v>6</v>
      </c>
      <c r="L37" s="45">
        <v>6</v>
      </c>
      <c r="M37" s="45">
        <v>6</v>
      </c>
      <c r="N37" s="45">
        <v>6</v>
      </c>
      <c r="O37" s="45">
        <v>6</v>
      </c>
      <c r="P37" s="45">
        <v>6</v>
      </c>
      <c r="Q37" s="45">
        <v>6</v>
      </c>
      <c r="R37" s="45">
        <v>6</v>
      </c>
      <c r="S37" s="45">
        <v>6</v>
      </c>
      <c r="T37" s="45">
        <v>6</v>
      </c>
      <c r="U37" s="45">
        <v>6</v>
      </c>
      <c r="V37" s="45">
        <v>6</v>
      </c>
      <c r="W37" s="45">
        <v>6</v>
      </c>
      <c r="X37" s="45">
        <v>6</v>
      </c>
      <c r="Y37" s="45">
        <v>6</v>
      </c>
      <c r="Z37" s="45">
        <v>6</v>
      </c>
      <c r="AA37" s="45"/>
      <c r="AB37" s="45"/>
      <c r="AC37" s="45"/>
      <c r="AD37" s="45"/>
      <c r="AE37" s="45"/>
      <c r="AF37" s="45"/>
      <c r="AG37" s="52">
        <v>22</v>
      </c>
      <c r="AH37" s="47">
        <f t="shared" si="2"/>
        <v>6</v>
      </c>
      <c r="AI37" s="48">
        <f t="shared" si="3"/>
        <v>6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>
        <v>5.2</v>
      </c>
      <c r="C38" s="45">
        <v>5.2</v>
      </c>
      <c r="D38" s="45">
        <v>5.2</v>
      </c>
      <c r="E38" s="45">
        <v>5.2</v>
      </c>
      <c r="F38" s="45">
        <v>5.2</v>
      </c>
      <c r="G38" s="45">
        <v>5.2</v>
      </c>
      <c r="H38" s="45">
        <v>5.2</v>
      </c>
      <c r="I38" s="45">
        <v>5.2</v>
      </c>
      <c r="J38" s="45">
        <v>5.2</v>
      </c>
      <c r="K38" s="45">
        <v>5.2</v>
      </c>
      <c r="L38" s="45">
        <v>5.2</v>
      </c>
      <c r="M38" s="45">
        <v>5.2</v>
      </c>
      <c r="N38" s="45">
        <v>5.2</v>
      </c>
      <c r="O38" s="45">
        <v>5.2</v>
      </c>
      <c r="P38" s="45">
        <v>5.2</v>
      </c>
      <c r="Q38" s="45">
        <v>5.2</v>
      </c>
      <c r="R38" s="45">
        <v>5.2</v>
      </c>
      <c r="S38" s="45">
        <v>5.2</v>
      </c>
      <c r="T38" s="45">
        <v>5.2</v>
      </c>
      <c r="U38" s="45">
        <v>5.2</v>
      </c>
      <c r="V38" s="45">
        <v>5.2</v>
      </c>
      <c r="W38" s="45">
        <v>5.2</v>
      </c>
      <c r="X38" s="45">
        <v>5.2</v>
      </c>
      <c r="Y38" s="45">
        <v>5.2</v>
      </c>
      <c r="Z38" s="45">
        <v>5.2</v>
      </c>
      <c r="AA38" s="45"/>
      <c r="AB38" s="45"/>
      <c r="AC38" s="45"/>
      <c r="AD38" s="45"/>
      <c r="AE38" s="45"/>
      <c r="AF38" s="45"/>
      <c r="AG38" s="51">
        <v>11.88</v>
      </c>
      <c r="AH38" s="47">
        <f t="shared" si="2"/>
        <v>5.2</v>
      </c>
      <c r="AI38" s="48">
        <f t="shared" si="3"/>
        <v>5.2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>
        <v>8.5</v>
      </c>
      <c r="C39" s="45">
        <v>8.5</v>
      </c>
      <c r="D39" s="45">
        <v>8.5</v>
      </c>
      <c r="E39" s="45">
        <v>8.5</v>
      </c>
      <c r="F39" s="45">
        <v>8.5</v>
      </c>
      <c r="G39" s="45">
        <v>8.5</v>
      </c>
      <c r="H39" s="45">
        <v>8.5</v>
      </c>
      <c r="I39" s="45">
        <v>8.5</v>
      </c>
      <c r="J39" s="45">
        <v>8.5</v>
      </c>
      <c r="K39" s="45">
        <v>8.5</v>
      </c>
      <c r="L39" s="45">
        <v>8.5</v>
      </c>
      <c r="M39" s="45">
        <v>8.5</v>
      </c>
      <c r="N39" s="45">
        <v>8.5</v>
      </c>
      <c r="O39" s="45">
        <v>8.5</v>
      </c>
      <c r="P39" s="45">
        <v>8.5</v>
      </c>
      <c r="Q39" s="45">
        <v>8.5</v>
      </c>
      <c r="R39" s="45">
        <v>8.5</v>
      </c>
      <c r="S39" s="45">
        <v>8.5</v>
      </c>
      <c r="T39" s="45">
        <v>8.5</v>
      </c>
      <c r="U39" s="45">
        <v>8.5</v>
      </c>
      <c r="V39" s="45">
        <v>8.5</v>
      </c>
      <c r="W39" s="45">
        <v>8.5</v>
      </c>
      <c r="X39" s="45">
        <v>8.5</v>
      </c>
      <c r="Y39" s="45">
        <v>8.5</v>
      </c>
      <c r="Z39" s="45">
        <v>8.5</v>
      </c>
      <c r="AA39" s="45"/>
      <c r="AB39" s="45"/>
      <c r="AC39" s="45"/>
      <c r="AD39" s="45"/>
      <c r="AE39" s="45"/>
      <c r="AF39" s="45"/>
      <c r="AG39" s="54">
        <v>11</v>
      </c>
      <c r="AH39" s="47">
        <f t="shared" si="2"/>
        <v>8.5</v>
      </c>
      <c r="AI39" s="48">
        <f t="shared" si="3"/>
        <v>8.5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>
        <v>4</v>
      </c>
      <c r="C40" s="45">
        <v>4</v>
      </c>
      <c r="D40" s="45">
        <v>4</v>
      </c>
      <c r="E40" s="45">
        <v>4</v>
      </c>
      <c r="F40" s="45">
        <v>4</v>
      </c>
      <c r="G40" s="45">
        <v>4</v>
      </c>
      <c r="H40" s="45">
        <v>4</v>
      </c>
      <c r="I40" s="45">
        <v>4</v>
      </c>
      <c r="J40" s="45">
        <v>4</v>
      </c>
      <c r="K40" s="45">
        <v>4</v>
      </c>
      <c r="L40" s="45">
        <v>4</v>
      </c>
      <c r="M40" s="45">
        <v>4</v>
      </c>
      <c r="N40" s="45">
        <v>4</v>
      </c>
      <c r="O40" s="45">
        <v>4</v>
      </c>
      <c r="P40" s="45">
        <v>4</v>
      </c>
      <c r="Q40" s="45">
        <v>4</v>
      </c>
      <c r="R40" s="45">
        <v>4</v>
      </c>
      <c r="S40" s="45">
        <v>4</v>
      </c>
      <c r="T40" s="45">
        <v>4</v>
      </c>
      <c r="U40" s="45">
        <v>4</v>
      </c>
      <c r="V40" s="45">
        <v>4</v>
      </c>
      <c r="W40" s="45">
        <v>4</v>
      </c>
      <c r="X40" s="45">
        <v>4</v>
      </c>
      <c r="Y40" s="45">
        <v>4</v>
      </c>
      <c r="Z40" s="45">
        <v>4</v>
      </c>
      <c r="AA40" s="45"/>
      <c r="AB40" s="45"/>
      <c r="AC40" s="45"/>
      <c r="AD40" s="45"/>
      <c r="AE40" s="45"/>
      <c r="AF40" s="45"/>
      <c r="AG40" s="54">
        <v>10</v>
      </c>
      <c r="AH40" s="47">
        <f t="shared" si="2"/>
        <v>4</v>
      </c>
      <c r="AI40" s="48">
        <f t="shared" si="3"/>
        <v>4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>
        <v>0</v>
      </c>
      <c r="C41" s="45">
        <v>0</v>
      </c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  <c r="Z41" s="45">
        <v>0</v>
      </c>
      <c r="AA41" s="45"/>
      <c r="AB41" s="45"/>
      <c r="AC41" s="45"/>
      <c r="AD41" s="45"/>
      <c r="AE41" s="45"/>
      <c r="AF41" s="45"/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>
        <v>100</v>
      </c>
      <c r="C42" s="56">
        <v>100</v>
      </c>
      <c r="D42" s="56">
        <v>100</v>
      </c>
      <c r="E42" s="56">
        <v>100</v>
      </c>
      <c r="F42" s="56">
        <v>100</v>
      </c>
      <c r="G42" s="56">
        <v>100</v>
      </c>
      <c r="H42" s="56">
        <v>100</v>
      </c>
      <c r="I42" s="56">
        <v>100</v>
      </c>
      <c r="J42" s="56">
        <v>100</v>
      </c>
      <c r="K42" s="56">
        <v>100</v>
      </c>
      <c r="L42" s="56">
        <v>100</v>
      </c>
      <c r="M42" s="56">
        <v>100</v>
      </c>
      <c r="N42" s="56">
        <v>100</v>
      </c>
      <c r="O42" s="56">
        <v>100</v>
      </c>
      <c r="P42" s="56">
        <v>100</v>
      </c>
      <c r="Q42" s="56">
        <v>100</v>
      </c>
      <c r="R42" s="56">
        <v>100</v>
      </c>
      <c r="S42" s="56">
        <v>100</v>
      </c>
      <c r="T42" s="56">
        <v>100</v>
      </c>
      <c r="U42" s="56">
        <v>100</v>
      </c>
      <c r="V42" s="56">
        <v>100</v>
      </c>
      <c r="W42" s="56">
        <v>100</v>
      </c>
      <c r="X42" s="56">
        <v>100</v>
      </c>
      <c r="Y42" s="56">
        <v>100</v>
      </c>
      <c r="Z42" s="56">
        <v>100</v>
      </c>
      <c r="AA42" s="56"/>
      <c r="AB42" s="56"/>
      <c r="AC42" s="56"/>
      <c r="AD42" s="56"/>
      <c r="AE42" s="56"/>
      <c r="AF42" s="56"/>
      <c r="AG42" s="54">
        <v>85</v>
      </c>
      <c r="AH42" s="47">
        <f t="shared" si="2"/>
        <v>100</v>
      </c>
      <c r="AI42" s="48">
        <f t="shared" si="3"/>
        <v>100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:AG44" si="4">SUM(B11:B42)</f>
        <v>365.3</v>
      </c>
      <c r="C44" s="60">
        <f t="shared" si="4"/>
        <v>364.5</v>
      </c>
      <c r="D44" s="60">
        <f t="shared" si="4"/>
        <v>363.8</v>
      </c>
      <c r="E44" s="60">
        <f t="shared" si="4"/>
        <v>363.8</v>
      </c>
      <c r="F44" s="60">
        <f t="shared" si="4"/>
        <v>363.8</v>
      </c>
      <c r="G44" s="60">
        <f t="shared" si="4"/>
        <v>363.8</v>
      </c>
      <c r="H44" s="60">
        <f t="shared" si="4"/>
        <v>363.8</v>
      </c>
      <c r="I44" s="60">
        <f t="shared" si="4"/>
        <v>363.8</v>
      </c>
      <c r="J44" s="60">
        <f t="shared" si="4"/>
        <v>363.8</v>
      </c>
      <c r="K44" s="60">
        <f t="shared" si="4"/>
        <v>363.8</v>
      </c>
      <c r="L44" s="60">
        <f t="shared" si="4"/>
        <v>363.8</v>
      </c>
      <c r="M44" s="60">
        <f t="shared" si="4"/>
        <v>361.7</v>
      </c>
      <c r="N44" s="60">
        <f t="shared" si="4"/>
        <v>361.7</v>
      </c>
      <c r="O44" s="60">
        <f t="shared" si="4"/>
        <v>361.7</v>
      </c>
      <c r="P44" s="60">
        <f t="shared" si="4"/>
        <v>361.7</v>
      </c>
      <c r="Q44" s="60">
        <f t="shared" si="4"/>
        <v>361.7</v>
      </c>
      <c r="R44" s="60">
        <f t="shared" si="4"/>
        <v>361.7</v>
      </c>
      <c r="S44" s="60">
        <f t="shared" si="4"/>
        <v>361.7</v>
      </c>
      <c r="T44" s="60">
        <f t="shared" si="4"/>
        <v>361.7</v>
      </c>
      <c r="U44" s="60">
        <f t="shared" si="4"/>
        <v>361.7</v>
      </c>
      <c r="V44" s="60">
        <f t="shared" si="4"/>
        <v>361.7</v>
      </c>
      <c r="W44" s="60">
        <f t="shared" si="4"/>
        <v>361.7</v>
      </c>
      <c r="X44" s="60">
        <f t="shared" si="4"/>
        <v>361.7</v>
      </c>
      <c r="Y44" s="60">
        <f t="shared" si="4"/>
        <v>361.7</v>
      </c>
      <c r="Z44" s="60">
        <f t="shared" si="4"/>
        <v>361.7</v>
      </c>
      <c r="AA44" s="60">
        <f t="shared" si="4"/>
        <v>0</v>
      </c>
      <c r="AB44" s="60">
        <f t="shared" si="4"/>
        <v>0</v>
      </c>
      <c r="AC44" s="60">
        <f t="shared" si="4"/>
        <v>0</v>
      </c>
      <c r="AD44" s="60">
        <f t="shared" si="4"/>
        <v>0</v>
      </c>
      <c r="AE44" s="60">
        <f t="shared" si="4"/>
        <v>0</v>
      </c>
      <c r="AF44" s="60">
        <f t="shared" si="4"/>
        <v>0</v>
      </c>
      <c r="AG44" s="61">
        <f t="shared" si="4"/>
        <v>814.78000000000009</v>
      </c>
      <c r="AH44" s="47">
        <f t="shared" si="2"/>
        <v>365.3</v>
      </c>
      <c r="AI44" s="48">
        <f t="shared" si="3"/>
        <v>0</v>
      </c>
      <c r="AK44" s="49"/>
    </row>
    <row r="45" spans="1:88" x14ac:dyDescent="0.25">
      <c r="A45" s="62" t="s">
        <v>53</v>
      </c>
      <c r="B45" s="45">
        <v>45</v>
      </c>
      <c r="C45" s="45">
        <v>45</v>
      </c>
      <c r="D45" s="45">
        <v>55</v>
      </c>
      <c r="E45" s="45">
        <v>50</v>
      </c>
      <c r="F45" s="45">
        <v>60</v>
      </c>
      <c r="G45" s="45">
        <v>70</v>
      </c>
      <c r="H45" s="45">
        <v>80</v>
      </c>
      <c r="I45" s="45">
        <v>80</v>
      </c>
      <c r="J45" s="45">
        <v>80</v>
      </c>
      <c r="K45" s="45">
        <v>150</v>
      </c>
      <c r="L45" s="45">
        <v>225</v>
      </c>
      <c r="M45" s="63">
        <v>260</v>
      </c>
      <c r="N45" s="63">
        <v>130</v>
      </c>
      <c r="O45" s="45">
        <v>110</v>
      </c>
      <c r="P45" s="45">
        <v>110</v>
      </c>
      <c r="Q45" s="45">
        <v>110</v>
      </c>
      <c r="R45" s="45">
        <v>100</v>
      </c>
      <c r="S45" s="45">
        <v>100</v>
      </c>
      <c r="T45" s="45">
        <v>140</v>
      </c>
      <c r="U45" s="45">
        <v>135</v>
      </c>
      <c r="V45" s="45">
        <v>110</v>
      </c>
      <c r="W45" s="45">
        <v>100</v>
      </c>
      <c r="X45" s="45">
        <v>120</v>
      </c>
      <c r="Y45" s="45">
        <v>210</v>
      </c>
      <c r="Z45" s="45">
        <v>310</v>
      </c>
      <c r="AA45" s="45"/>
      <c r="AB45" s="45"/>
      <c r="AC45" s="45"/>
      <c r="AD45" s="45"/>
      <c r="AE45" s="45"/>
      <c r="AF45" s="45"/>
      <c r="AG45" s="51">
        <v>456</v>
      </c>
      <c r="AH45" s="47">
        <f t="shared" si="2"/>
        <v>310</v>
      </c>
      <c r="AI45" s="48">
        <f t="shared" si="3"/>
        <v>45</v>
      </c>
      <c r="AK45" s="49"/>
    </row>
    <row r="46" spans="1:88" x14ac:dyDescent="0.25">
      <c r="A46" s="64" t="s">
        <v>54</v>
      </c>
      <c r="B46" s="65">
        <v>28</v>
      </c>
      <c r="C46" s="65">
        <v>28</v>
      </c>
      <c r="D46" s="65">
        <v>28</v>
      </c>
      <c r="E46" s="65">
        <v>28</v>
      </c>
      <c r="F46" s="65">
        <v>28</v>
      </c>
      <c r="G46" s="65">
        <v>28</v>
      </c>
      <c r="H46" s="65">
        <v>28</v>
      </c>
      <c r="I46" s="65">
        <v>28</v>
      </c>
      <c r="J46" s="65">
        <v>28</v>
      </c>
      <c r="K46" s="65">
        <v>28</v>
      </c>
      <c r="L46" s="65">
        <v>28</v>
      </c>
      <c r="M46" s="65">
        <v>28</v>
      </c>
      <c r="N46" s="65">
        <v>28</v>
      </c>
      <c r="O46" s="65">
        <v>28</v>
      </c>
      <c r="P46" s="65">
        <v>28</v>
      </c>
      <c r="Q46" s="65">
        <v>28</v>
      </c>
      <c r="R46" s="65">
        <v>28</v>
      </c>
      <c r="S46" s="65">
        <v>28</v>
      </c>
      <c r="T46" s="65">
        <v>28</v>
      </c>
      <c r="U46" s="65">
        <v>28</v>
      </c>
      <c r="V46" s="65">
        <v>28</v>
      </c>
      <c r="W46" s="65">
        <v>28</v>
      </c>
      <c r="X46" s="65">
        <v>28</v>
      </c>
      <c r="Y46" s="65">
        <v>28</v>
      </c>
      <c r="Z46" s="65">
        <v>28</v>
      </c>
      <c r="AA46" s="65"/>
      <c r="AB46" s="65"/>
      <c r="AC46" s="65"/>
      <c r="AD46" s="65"/>
      <c r="AE46" s="65"/>
      <c r="AF46" s="65"/>
      <c r="AG46" s="54">
        <v>60</v>
      </c>
      <c r="AH46" s="47">
        <f t="shared" si="2"/>
        <v>28</v>
      </c>
      <c r="AI46" s="48">
        <f t="shared" si="3"/>
        <v>28</v>
      </c>
      <c r="AK46" s="49"/>
    </row>
    <row r="47" spans="1:88" ht="15.75" thickBot="1" x14ac:dyDescent="0.3">
      <c r="A47" s="66" t="s">
        <v>55</v>
      </c>
      <c r="B47" s="67">
        <v>9</v>
      </c>
      <c r="C47" s="67">
        <v>9</v>
      </c>
      <c r="D47" s="67">
        <v>9</v>
      </c>
      <c r="E47" s="67">
        <v>9</v>
      </c>
      <c r="F47" s="67">
        <v>9</v>
      </c>
      <c r="G47" s="67">
        <v>9</v>
      </c>
      <c r="H47" s="67">
        <v>9</v>
      </c>
      <c r="I47" s="67">
        <v>9</v>
      </c>
      <c r="J47" s="67">
        <v>9</v>
      </c>
      <c r="K47" s="67">
        <v>9</v>
      </c>
      <c r="L47" s="67">
        <v>9</v>
      </c>
      <c r="M47" s="67">
        <v>10.199999999999999</v>
      </c>
      <c r="N47" s="67">
        <v>9</v>
      </c>
      <c r="O47" s="67">
        <v>9.1</v>
      </c>
      <c r="P47" s="67">
        <v>9.1</v>
      </c>
      <c r="Q47" s="67">
        <v>9.1</v>
      </c>
      <c r="R47" s="67">
        <v>9.1999999999999993</v>
      </c>
      <c r="S47" s="67">
        <v>9.1999999999999993</v>
      </c>
      <c r="T47" s="67">
        <v>9.1999999999999993</v>
      </c>
      <c r="U47" s="67">
        <v>9.1999999999999993</v>
      </c>
      <c r="V47" s="67">
        <v>9.1999999999999993</v>
      </c>
      <c r="W47" s="67">
        <v>9.1999999999999993</v>
      </c>
      <c r="X47" s="67">
        <v>9.1999999999999993</v>
      </c>
      <c r="Y47" s="67">
        <v>9.1999999999999993</v>
      </c>
      <c r="Z47" s="67">
        <v>9.1999999999999993</v>
      </c>
      <c r="AA47" s="67"/>
      <c r="AB47" s="67"/>
      <c r="AC47" s="67"/>
      <c r="AD47" s="67"/>
      <c r="AE47" s="67"/>
      <c r="AF47" s="67"/>
      <c r="AG47" s="68">
        <v>22.1</v>
      </c>
      <c r="AH47" s="47">
        <f t="shared" si="2"/>
        <v>10.199999999999999</v>
      </c>
      <c r="AI47" s="48">
        <f t="shared" si="3"/>
        <v>9</v>
      </c>
      <c r="AK47" s="49"/>
    </row>
    <row r="48" spans="1:88" ht="15.75" thickBot="1" x14ac:dyDescent="0.3">
      <c r="A48" s="69" t="s">
        <v>56</v>
      </c>
      <c r="B48" s="60">
        <f t="shared" ref="B48:AG48" si="5">SUM(B45:B47)</f>
        <v>82</v>
      </c>
      <c r="C48" s="60">
        <f t="shared" si="5"/>
        <v>82</v>
      </c>
      <c r="D48" s="60">
        <f t="shared" si="5"/>
        <v>92</v>
      </c>
      <c r="E48" s="60">
        <f t="shared" si="5"/>
        <v>87</v>
      </c>
      <c r="F48" s="60">
        <f t="shared" si="5"/>
        <v>97</v>
      </c>
      <c r="G48" s="60">
        <f t="shared" si="5"/>
        <v>107</v>
      </c>
      <c r="H48" s="60">
        <f t="shared" si="5"/>
        <v>117</v>
      </c>
      <c r="I48" s="60">
        <f t="shared" si="5"/>
        <v>117</v>
      </c>
      <c r="J48" s="60">
        <f t="shared" si="5"/>
        <v>117</v>
      </c>
      <c r="K48" s="60">
        <f t="shared" si="5"/>
        <v>187</v>
      </c>
      <c r="L48" s="60">
        <f t="shared" si="5"/>
        <v>262</v>
      </c>
      <c r="M48" s="60">
        <f t="shared" si="5"/>
        <v>298.2</v>
      </c>
      <c r="N48" s="60">
        <f t="shared" si="5"/>
        <v>167</v>
      </c>
      <c r="O48" s="60">
        <f t="shared" si="5"/>
        <v>147.1</v>
      </c>
      <c r="P48" s="60">
        <f t="shared" si="5"/>
        <v>147.1</v>
      </c>
      <c r="Q48" s="60">
        <f t="shared" si="5"/>
        <v>147.1</v>
      </c>
      <c r="R48" s="60">
        <f t="shared" si="5"/>
        <v>137.19999999999999</v>
      </c>
      <c r="S48" s="60">
        <f t="shared" si="5"/>
        <v>137.19999999999999</v>
      </c>
      <c r="T48" s="60">
        <f t="shared" si="5"/>
        <v>177.2</v>
      </c>
      <c r="U48" s="60">
        <f t="shared" si="5"/>
        <v>172.2</v>
      </c>
      <c r="V48" s="60">
        <f t="shared" si="5"/>
        <v>147.19999999999999</v>
      </c>
      <c r="W48" s="60">
        <f t="shared" si="5"/>
        <v>137.19999999999999</v>
      </c>
      <c r="X48" s="60">
        <f t="shared" si="5"/>
        <v>157.19999999999999</v>
      </c>
      <c r="Y48" s="60">
        <f t="shared" si="5"/>
        <v>247.2</v>
      </c>
      <c r="Z48" s="60">
        <f t="shared" si="5"/>
        <v>347.2</v>
      </c>
      <c r="AA48" s="60">
        <f t="shared" si="5"/>
        <v>0</v>
      </c>
      <c r="AB48" s="60">
        <f t="shared" si="5"/>
        <v>0</v>
      </c>
      <c r="AC48" s="60">
        <f t="shared" si="5"/>
        <v>0</v>
      </c>
      <c r="AD48" s="60">
        <f t="shared" si="5"/>
        <v>0</v>
      </c>
      <c r="AE48" s="60">
        <f t="shared" si="5"/>
        <v>0</v>
      </c>
      <c r="AF48" s="60">
        <f t="shared" si="5"/>
        <v>0</v>
      </c>
      <c r="AG48" s="61">
        <f t="shared" si="5"/>
        <v>538.1</v>
      </c>
      <c r="AH48" s="47">
        <f t="shared" si="2"/>
        <v>347.2</v>
      </c>
      <c r="AI48" s="48">
        <f t="shared" si="3"/>
        <v>0</v>
      </c>
      <c r="AK48" s="49"/>
    </row>
    <row r="49" spans="1:41" x14ac:dyDescent="0.25">
      <c r="A49" s="44" t="s">
        <v>57</v>
      </c>
      <c r="B49" s="45">
        <v>0</v>
      </c>
      <c r="C49" s="45">
        <v>0</v>
      </c>
      <c r="D49" s="45">
        <v>0</v>
      </c>
      <c r="E49" s="45">
        <v>0</v>
      </c>
      <c r="F49" s="45">
        <v>0</v>
      </c>
      <c r="G49" s="45">
        <v>0</v>
      </c>
      <c r="H49" s="45">
        <v>34</v>
      </c>
      <c r="I49" s="45">
        <v>73</v>
      </c>
      <c r="J49" s="45">
        <v>111</v>
      </c>
      <c r="K49" s="45">
        <v>133</v>
      </c>
      <c r="L49" s="45">
        <v>118</v>
      </c>
      <c r="M49" s="45">
        <v>131.9</v>
      </c>
      <c r="N49" s="45">
        <v>71.5</v>
      </c>
      <c r="O49" s="45">
        <v>61.2</v>
      </c>
      <c r="P49" s="45">
        <v>61.2</v>
      </c>
      <c r="Q49" s="45">
        <v>61.2</v>
      </c>
      <c r="R49" s="45">
        <v>95</v>
      </c>
      <c r="S49" s="45">
        <v>61</v>
      </c>
      <c r="T49" s="45">
        <v>61.5</v>
      </c>
      <c r="U49" s="45">
        <v>61.3</v>
      </c>
      <c r="V49" s="45">
        <v>61.3</v>
      </c>
      <c r="W49" s="45">
        <v>61.3</v>
      </c>
      <c r="X49" s="45">
        <v>90</v>
      </c>
      <c r="Y49" s="45">
        <v>110</v>
      </c>
      <c r="Z49" s="45">
        <v>112</v>
      </c>
      <c r="AA49" s="45"/>
      <c r="AB49" s="45"/>
      <c r="AC49" s="45"/>
      <c r="AD49" s="45"/>
      <c r="AE49" s="45"/>
      <c r="AF49" s="45"/>
      <c r="AG49" s="51">
        <v>144</v>
      </c>
      <c r="AH49" s="47">
        <f t="shared" si="2"/>
        <v>133</v>
      </c>
      <c r="AI49" s="48">
        <f t="shared" si="3"/>
        <v>0</v>
      </c>
      <c r="AK49" s="49"/>
    </row>
    <row r="50" spans="1:41" x14ac:dyDescent="0.25">
      <c r="A50" s="53" t="s">
        <v>58</v>
      </c>
      <c r="B50" s="65">
        <v>23</v>
      </c>
      <c r="C50" s="65">
        <v>23</v>
      </c>
      <c r="D50" s="65">
        <v>23</v>
      </c>
      <c r="E50" s="65">
        <v>23</v>
      </c>
      <c r="F50" s="65">
        <v>23</v>
      </c>
      <c r="G50" s="65">
        <v>23</v>
      </c>
      <c r="H50" s="65">
        <v>25</v>
      </c>
      <c r="I50" s="65">
        <v>24.8</v>
      </c>
      <c r="J50" s="65">
        <v>47</v>
      </c>
      <c r="K50" s="65">
        <v>60</v>
      </c>
      <c r="L50" s="65">
        <v>45</v>
      </c>
      <c r="M50" s="65">
        <v>24.1</v>
      </c>
      <c r="N50" s="65">
        <v>25.4</v>
      </c>
      <c r="O50" s="65">
        <v>23.7</v>
      </c>
      <c r="P50" s="65">
        <v>23.7</v>
      </c>
      <c r="Q50" s="65">
        <v>23.7</v>
      </c>
      <c r="R50" s="45">
        <v>0</v>
      </c>
      <c r="S50" s="45">
        <v>25.6</v>
      </c>
      <c r="T50" s="45">
        <v>32</v>
      </c>
      <c r="U50" s="45">
        <v>32.200000000000003</v>
      </c>
      <c r="V50" s="45">
        <v>52.8</v>
      </c>
      <c r="W50" s="45">
        <v>52.8</v>
      </c>
      <c r="X50" s="45">
        <v>51.3</v>
      </c>
      <c r="Y50" s="45">
        <v>63.7</v>
      </c>
      <c r="Z50" s="45">
        <v>68</v>
      </c>
      <c r="AA50" s="45"/>
      <c r="AB50" s="65"/>
      <c r="AC50" s="65"/>
      <c r="AD50" s="65"/>
      <c r="AE50" s="65"/>
      <c r="AF50" s="65"/>
      <c r="AG50" s="54">
        <v>70</v>
      </c>
      <c r="AH50" s="47">
        <f t="shared" si="2"/>
        <v>68</v>
      </c>
      <c r="AI50" s="48">
        <f t="shared" si="3"/>
        <v>0</v>
      </c>
      <c r="AK50" s="49"/>
    </row>
    <row r="51" spans="1:41" x14ac:dyDescent="0.25">
      <c r="A51" s="53" t="s">
        <v>59</v>
      </c>
      <c r="B51" s="65">
        <v>15</v>
      </c>
      <c r="C51" s="65">
        <v>0</v>
      </c>
      <c r="D51" s="65">
        <v>0</v>
      </c>
      <c r="E51" s="65">
        <v>0</v>
      </c>
      <c r="F51" s="65">
        <v>17</v>
      </c>
      <c r="G51" s="65">
        <v>17</v>
      </c>
      <c r="H51" s="65">
        <v>46</v>
      </c>
      <c r="I51" s="65">
        <v>34.700000000000003</v>
      </c>
      <c r="J51" s="65">
        <v>65</v>
      </c>
      <c r="K51" s="65">
        <v>51</v>
      </c>
      <c r="L51" s="65">
        <v>60</v>
      </c>
      <c r="M51" s="65">
        <v>50.6</v>
      </c>
      <c r="N51" s="65">
        <v>50.4</v>
      </c>
      <c r="O51" s="65">
        <v>50.3</v>
      </c>
      <c r="P51" s="65">
        <v>50.3</v>
      </c>
      <c r="Q51" s="65">
        <v>50.3</v>
      </c>
      <c r="R51" s="45">
        <v>61.37</v>
      </c>
      <c r="S51" s="45">
        <v>32.200000000000003</v>
      </c>
      <c r="T51" s="45">
        <v>32.200000000000003</v>
      </c>
      <c r="U51" s="45">
        <v>39.799999999999997</v>
      </c>
      <c r="V51" s="45">
        <v>32.1</v>
      </c>
      <c r="W51" s="45">
        <v>32.1</v>
      </c>
      <c r="X51" s="45">
        <v>32.700000000000003</v>
      </c>
      <c r="Y51" s="45">
        <v>46.1</v>
      </c>
      <c r="Z51" s="45">
        <v>34</v>
      </c>
      <c r="AA51" s="45"/>
      <c r="AB51" s="65"/>
      <c r="AC51" s="65"/>
      <c r="AD51" s="65"/>
      <c r="AE51" s="65"/>
      <c r="AF51" s="65"/>
      <c r="AG51" s="54">
        <v>69</v>
      </c>
      <c r="AH51" s="47">
        <f t="shared" si="2"/>
        <v>65</v>
      </c>
      <c r="AI51" s="48">
        <f t="shared" si="3"/>
        <v>0</v>
      </c>
      <c r="AK51" s="49"/>
    </row>
    <row r="52" spans="1:41" x14ac:dyDescent="0.25">
      <c r="A52" s="53" t="s">
        <v>60</v>
      </c>
      <c r="B52" s="56">
        <v>40</v>
      </c>
      <c r="C52" s="56">
        <v>40</v>
      </c>
      <c r="D52" s="56">
        <v>40</v>
      </c>
      <c r="E52" s="56">
        <v>40</v>
      </c>
      <c r="F52" s="56">
        <v>40</v>
      </c>
      <c r="G52" s="56">
        <v>40</v>
      </c>
      <c r="H52" s="56">
        <v>40</v>
      </c>
      <c r="I52" s="56">
        <v>44</v>
      </c>
      <c r="J52" s="56">
        <v>44</v>
      </c>
      <c r="K52" s="56">
        <v>44</v>
      </c>
      <c r="L52" s="56">
        <v>44</v>
      </c>
      <c r="M52" s="65">
        <v>42.1</v>
      </c>
      <c r="N52" s="65">
        <v>42.1</v>
      </c>
      <c r="O52" s="65">
        <v>42.1</v>
      </c>
      <c r="P52" s="65">
        <v>42.1</v>
      </c>
      <c r="Q52" s="65">
        <v>42.1</v>
      </c>
      <c r="R52" s="45">
        <v>42.1</v>
      </c>
      <c r="S52" s="45">
        <v>42.1</v>
      </c>
      <c r="T52" s="45">
        <v>40</v>
      </c>
      <c r="U52" s="45">
        <v>40</v>
      </c>
      <c r="V52" s="45">
        <v>40</v>
      </c>
      <c r="W52" s="45">
        <v>40</v>
      </c>
      <c r="X52" s="45">
        <v>40</v>
      </c>
      <c r="Y52" s="65">
        <v>40</v>
      </c>
      <c r="Z52" s="65">
        <v>40</v>
      </c>
      <c r="AA52" s="65"/>
      <c r="AB52" s="65"/>
      <c r="AC52" s="65"/>
      <c r="AD52" s="65"/>
      <c r="AE52" s="65"/>
      <c r="AF52" s="65"/>
      <c r="AG52" s="54">
        <v>60</v>
      </c>
      <c r="AH52" s="47">
        <f t="shared" si="2"/>
        <v>44</v>
      </c>
      <c r="AI52" s="48">
        <f t="shared" si="3"/>
        <v>40</v>
      </c>
      <c r="AK52" s="49"/>
    </row>
    <row r="53" spans="1:41" x14ac:dyDescent="0.25">
      <c r="A53" s="53" t="s">
        <v>61</v>
      </c>
      <c r="B53" s="56">
        <v>0</v>
      </c>
      <c r="C53" s="56">
        <v>0</v>
      </c>
      <c r="D53" s="56">
        <v>0</v>
      </c>
      <c r="E53" s="56">
        <v>0</v>
      </c>
      <c r="F53" s="56">
        <v>0</v>
      </c>
      <c r="G53" s="56">
        <v>0</v>
      </c>
      <c r="H53" s="56">
        <v>15</v>
      </c>
      <c r="I53" s="56">
        <v>15</v>
      </c>
      <c r="J53" s="56">
        <v>25</v>
      </c>
      <c r="K53" s="56">
        <v>25</v>
      </c>
      <c r="L53" s="56">
        <v>25</v>
      </c>
      <c r="M53" s="65">
        <v>25</v>
      </c>
      <c r="N53" s="65">
        <v>25</v>
      </c>
      <c r="O53" s="65">
        <v>13</v>
      </c>
      <c r="P53" s="65">
        <v>13</v>
      </c>
      <c r="Q53" s="65">
        <v>13</v>
      </c>
      <c r="R53" s="45">
        <v>0</v>
      </c>
      <c r="S53" s="45">
        <v>0</v>
      </c>
      <c r="T53" s="45">
        <v>0</v>
      </c>
      <c r="U53" s="45">
        <v>0</v>
      </c>
      <c r="V53" s="45">
        <v>0</v>
      </c>
      <c r="W53" s="45">
        <v>0</v>
      </c>
      <c r="X53" s="45">
        <v>13</v>
      </c>
      <c r="Y53" s="65">
        <v>15</v>
      </c>
      <c r="Z53" s="65">
        <v>28</v>
      </c>
      <c r="AA53" s="65"/>
      <c r="AB53" s="65"/>
      <c r="AC53" s="65"/>
      <c r="AD53" s="65"/>
      <c r="AE53" s="65"/>
      <c r="AF53" s="65"/>
      <c r="AG53" s="54">
        <v>30</v>
      </c>
      <c r="AH53" s="47">
        <f t="shared" si="2"/>
        <v>28</v>
      </c>
      <c r="AI53" s="48">
        <f t="shared" si="3"/>
        <v>0</v>
      </c>
      <c r="AK53" s="49"/>
    </row>
    <row r="54" spans="1:41" x14ac:dyDescent="0.25">
      <c r="A54" s="53" t="s">
        <v>62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65">
        <v>0</v>
      </c>
      <c r="N54" s="65">
        <v>2</v>
      </c>
      <c r="O54" s="65">
        <v>4</v>
      </c>
      <c r="P54" s="65">
        <v>4</v>
      </c>
      <c r="Q54" s="65">
        <v>8</v>
      </c>
      <c r="R54" s="45">
        <v>8</v>
      </c>
      <c r="S54" s="45">
        <v>8</v>
      </c>
      <c r="T54" s="45">
        <v>8</v>
      </c>
      <c r="U54" s="45">
        <v>8</v>
      </c>
      <c r="V54" s="45">
        <v>8</v>
      </c>
      <c r="W54" s="45">
        <v>8</v>
      </c>
      <c r="X54" s="45">
        <v>8</v>
      </c>
      <c r="Y54" s="65">
        <v>0</v>
      </c>
      <c r="Z54" s="65">
        <v>0</v>
      </c>
      <c r="AA54" s="65"/>
      <c r="AB54" s="65"/>
      <c r="AC54" s="65"/>
      <c r="AD54" s="65"/>
      <c r="AE54" s="65"/>
      <c r="AF54" s="65"/>
      <c r="AG54" s="54">
        <v>25</v>
      </c>
      <c r="AH54" s="47">
        <f t="shared" si="2"/>
        <v>8</v>
      </c>
      <c r="AI54" s="48">
        <f t="shared" si="3"/>
        <v>0</v>
      </c>
      <c r="AK54" s="49"/>
    </row>
    <row r="55" spans="1:41" x14ac:dyDescent="0.25">
      <c r="A55" s="53" t="s">
        <v>63</v>
      </c>
      <c r="B55" s="65">
        <v>16</v>
      </c>
      <c r="C55" s="65">
        <v>16</v>
      </c>
      <c r="D55" s="65">
        <v>16</v>
      </c>
      <c r="E55" s="65">
        <v>16</v>
      </c>
      <c r="F55" s="65">
        <v>16</v>
      </c>
      <c r="G55" s="65">
        <v>16</v>
      </c>
      <c r="H55" s="65">
        <v>16</v>
      </c>
      <c r="I55" s="65">
        <v>16</v>
      </c>
      <c r="J55" s="65">
        <v>16</v>
      </c>
      <c r="K55" s="65">
        <v>16</v>
      </c>
      <c r="L55" s="65">
        <v>16</v>
      </c>
      <c r="M55" s="65">
        <v>16</v>
      </c>
      <c r="N55" s="65">
        <v>16</v>
      </c>
      <c r="O55" s="65">
        <v>16</v>
      </c>
      <c r="P55" s="65">
        <v>16</v>
      </c>
      <c r="Q55" s="65">
        <v>16</v>
      </c>
      <c r="R55" s="65">
        <v>16</v>
      </c>
      <c r="S55" s="65">
        <v>16</v>
      </c>
      <c r="T55" s="65">
        <v>16</v>
      </c>
      <c r="U55" s="65">
        <v>16</v>
      </c>
      <c r="V55" s="65">
        <v>16</v>
      </c>
      <c r="W55" s="65">
        <v>16</v>
      </c>
      <c r="X55" s="65">
        <v>16</v>
      </c>
      <c r="Y55" s="65">
        <v>16</v>
      </c>
      <c r="Z55" s="65">
        <v>16</v>
      </c>
      <c r="AA55" s="65"/>
      <c r="AB55" s="65"/>
      <c r="AC55" s="65"/>
      <c r="AD55" s="65"/>
      <c r="AE55" s="65"/>
      <c r="AF55" s="65"/>
      <c r="AG55" s="54">
        <v>24</v>
      </c>
      <c r="AH55" s="47">
        <f t="shared" si="2"/>
        <v>16</v>
      </c>
      <c r="AI55" s="48">
        <f t="shared" si="3"/>
        <v>16</v>
      </c>
      <c r="AK55" s="49"/>
    </row>
    <row r="56" spans="1:41" x14ac:dyDescent="0.25">
      <c r="A56" s="53" t="s">
        <v>64</v>
      </c>
      <c r="B56" s="65">
        <v>3.2</v>
      </c>
      <c r="C56" s="65">
        <v>3.2</v>
      </c>
      <c r="D56" s="65">
        <v>3.2</v>
      </c>
      <c r="E56" s="65">
        <v>3.2</v>
      </c>
      <c r="F56" s="65">
        <v>3.2</v>
      </c>
      <c r="G56" s="65">
        <v>3.2</v>
      </c>
      <c r="H56" s="65">
        <v>3.2</v>
      </c>
      <c r="I56" s="65">
        <v>3.2</v>
      </c>
      <c r="J56" s="65">
        <v>3.2</v>
      </c>
      <c r="K56" s="65">
        <v>3.2</v>
      </c>
      <c r="L56" s="65">
        <v>3.2</v>
      </c>
      <c r="M56" s="65">
        <v>3.2</v>
      </c>
      <c r="N56" s="65">
        <v>3.2</v>
      </c>
      <c r="O56" s="65">
        <v>3.2</v>
      </c>
      <c r="P56" s="65">
        <v>3.2</v>
      </c>
      <c r="Q56" s="65">
        <v>3.2</v>
      </c>
      <c r="R56" s="65">
        <v>3.2</v>
      </c>
      <c r="S56" s="65">
        <v>3.2</v>
      </c>
      <c r="T56" s="65">
        <v>3.2</v>
      </c>
      <c r="U56" s="65">
        <v>3.2</v>
      </c>
      <c r="V56" s="65">
        <v>3.2</v>
      </c>
      <c r="W56" s="65">
        <v>3.2</v>
      </c>
      <c r="X56" s="65">
        <v>3.2</v>
      </c>
      <c r="Y56" s="65">
        <v>3.2</v>
      </c>
      <c r="Z56" s="65">
        <v>3.2</v>
      </c>
      <c r="AA56" s="65"/>
      <c r="AB56" s="65"/>
      <c r="AC56" s="65"/>
      <c r="AD56" s="65"/>
      <c r="AE56" s="65"/>
      <c r="AF56" s="65"/>
      <c r="AG56" s="54">
        <v>15</v>
      </c>
      <c r="AH56" s="47">
        <f t="shared" si="2"/>
        <v>3.2</v>
      </c>
      <c r="AI56" s="48">
        <f t="shared" si="3"/>
        <v>3.2</v>
      </c>
      <c r="AK56" s="49"/>
      <c r="AL56" s="70"/>
      <c r="AO56" s="70"/>
    </row>
    <row r="57" spans="1:41" s="70" customFormat="1" x14ac:dyDescent="0.25">
      <c r="A57" s="53" t="s">
        <v>65</v>
      </c>
      <c r="B57" s="65">
        <v>10.6</v>
      </c>
      <c r="C57" s="65">
        <v>10.6</v>
      </c>
      <c r="D57" s="65">
        <v>10.6</v>
      </c>
      <c r="E57" s="65">
        <v>10.6</v>
      </c>
      <c r="F57" s="65">
        <v>10.6</v>
      </c>
      <c r="G57" s="65">
        <v>10.6</v>
      </c>
      <c r="H57" s="65">
        <v>10.6</v>
      </c>
      <c r="I57" s="65">
        <v>10.6</v>
      </c>
      <c r="J57" s="65">
        <v>10.6</v>
      </c>
      <c r="K57" s="65">
        <v>10.6</v>
      </c>
      <c r="L57" s="65">
        <v>10.6</v>
      </c>
      <c r="M57" s="65">
        <v>10.1</v>
      </c>
      <c r="N57" s="65">
        <v>10.1</v>
      </c>
      <c r="O57" s="65">
        <v>10.1</v>
      </c>
      <c r="P57" s="65">
        <v>10.1</v>
      </c>
      <c r="Q57" s="65">
        <v>10.1</v>
      </c>
      <c r="R57" s="65">
        <v>10.1</v>
      </c>
      <c r="S57" s="65">
        <v>10.1</v>
      </c>
      <c r="T57" s="65">
        <v>10.1</v>
      </c>
      <c r="U57" s="65">
        <v>10.1</v>
      </c>
      <c r="V57" s="65">
        <v>10.1</v>
      </c>
      <c r="W57" s="65">
        <v>10.1</v>
      </c>
      <c r="X57" s="65">
        <v>10.1</v>
      </c>
      <c r="Y57" s="65">
        <v>10.1</v>
      </c>
      <c r="Z57" s="65">
        <v>10.1</v>
      </c>
      <c r="AA57" s="65"/>
      <c r="AB57" s="65"/>
      <c r="AC57" s="65"/>
      <c r="AD57" s="65"/>
      <c r="AE57" s="65"/>
      <c r="AF57" s="65"/>
      <c r="AG57" s="54">
        <v>14.1</v>
      </c>
      <c r="AH57" s="47">
        <f t="shared" si="2"/>
        <v>10.6</v>
      </c>
      <c r="AI57" s="48">
        <f t="shared" si="3"/>
        <v>10.1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>
        <v>3.2</v>
      </c>
      <c r="C58" s="65">
        <v>3.2</v>
      </c>
      <c r="D58" s="65">
        <v>3.2</v>
      </c>
      <c r="E58" s="65">
        <v>3.2</v>
      </c>
      <c r="F58" s="65">
        <v>3.2</v>
      </c>
      <c r="G58" s="65">
        <v>3.2</v>
      </c>
      <c r="H58" s="65">
        <v>3.2</v>
      </c>
      <c r="I58" s="65">
        <v>3.2</v>
      </c>
      <c r="J58" s="65">
        <v>3.2</v>
      </c>
      <c r="K58" s="65">
        <v>3.2</v>
      </c>
      <c r="L58" s="65">
        <v>3.2</v>
      </c>
      <c r="M58" s="65">
        <v>4.8</v>
      </c>
      <c r="N58" s="65">
        <v>4.8</v>
      </c>
      <c r="O58" s="65">
        <v>4.8</v>
      </c>
      <c r="P58" s="65">
        <v>4.8</v>
      </c>
      <c r="Q58" s="65">
        <v>4.8</v>
      </c>
      <c r="R58" s="65">
        <v>4.8</v>
      </c>
      <c r="S58" s="65">
        <v>4.8</v>
      </c>
      <c r="T58" s="65">
        <v>4.8</v>
      </c>
      <c r="U58" s="65">
        <v>4.8</v>
      </c>
      <c r="V58" s="65">
        <v>4.8</v>
      </c>
      <c r="W58" s="65">
        <v>3</v>
      </c>
      <c r="X58" s="65">
        <v>3</v>
      </c>
      <c r="Y58" s="65">
        <v>3</v>
      </c>
      <c r="Z58" s="65">
        <v>5</v>
      </c>
      <c r="AA58" s="65"/>
      <c r="AB58" s="65"/>
      <c r="AC58" s="65"/>
      <c r="AD58" s="65"/>
      <c r="AE58" s="65"/>
      <c r="AF58" s="65"/>
      <c r="AG58" s="54">
        <v>14</v>
      </c>
      <c r="AH58" s="47">
        <f t="shared" si="2"/>
        <v>5</v>
      </c>
      <c r="AI58" s="48">
        <f t="shared" si="3"/>
        <v>3</v>
      </c>
      <c r="AK58" s="49"/>
    </row>
    <row r="59" spans="1:41" x14ac:dyDescent="0.25">
      <c r="A59" s="53" t="s">
        <v>67</v>
      </c>
      <c r="B59" s="65">
        <v>4.2</v>
      </c>
      <c r="C59" s="65">
        <v>4.2</v>
      </c>
      <c r="D59" s="65">
        <v>4.2</v>
      </c>
      <c r="E59" s="65">
        <v>4.2</v>
      </c>
      <c r="F59" s="65">
        <v>4.2</v>
      </c>
      <c r="G59" s="65">
        <v>4.2</v>
      </c>
      <c r="H59" s="65">
        <v>4.2</v>
      </c>
      <c r="I59" s="65">
        <v>4.2</v>
      </c>
      <c r="J59" s="65">
        <v>4.2</v>
      </c>
      <c r="K59" s="65">
        <v>4.2</v>
      </c>
      <c r="L59" s="65">
        <v>4.2</v>
      </c>
      <c r="M59" s="65">
        <v>4.2</v>
      </c>
      <c r="N59" s="65">
        <v>4.2</v>
      </c>
      <c r="O59" s="65">
        <v>4.2</v>
      </c>
      <c r="P59" s="65">
        <v>4.2</v>
      </c>
      <c r="Q59" s="65">
        <v>4.2</v>
      </c>
      <c r="R59" s="65">
        <v>4.2</v>
      </c>
      <c r="S59" s="65">
        <v>4.2</v>
      </c>
      <c r="T59" s="65">
        <v>4.2</v>
      </c>
      <c r="U59" s="65">
        <v>4.2</v>
      </c>
      <c r="V59" s="65">
        <v>4.2</v>
      </c>
      <c r="W59" s="65">
        <v>4.2</v>
      </c>
      <c r="X59" s="65">
        <v>4.2</v>
      </c>
      <c r="Y59" s="65">
        <v>4.2</v>
      </c>
      <c r="Z59" s="65">
        <v>4.2</v>
      </c>
      <c r="AA59" s="65"/>
      <c r="AB59" s="65"/>
      <c r="AC59" s="65"/>
      <c r="AD59" s="65"/>
      <c r="AE59" s="65"/>
      <c r="AF59" s="65"/>
      <c r="AG59" s="54">
        <v>10.050000000000001</v>
      </c>
      <c r="AH59" s="47">
        <f t="shared" si="2"/>
        <v>4.2</v>
      </c>
      <c r="AI59" s="48">
        <f t="shared" si="3"/>
        <v>4.2</v>
      </c>
      <c r="AK59" s="49"/>
    </row>
    <row r="60" spans="1:41" x14ac:dyDescent="0.25">
      <c r="A60" s="53" t="s">
        <v>68</v>
      </c>
      <c r="B60" s="65">
        <v>3.2</v>
      </c>
      <c r="C60" s="65">
        <v>3.2</v>
      </c>
      <c r="D60" s="65">
        <v>3.2</v>
      </c>
      <c r="E60" s="65">
        <v>3.2</v>
      </c>
      <c r="F60" s="65">
        <v>3.2</v>
      </c>
      <c r="G60" s="65">
        <v>3.2</v>
      </c>
      <c r="H60" s="65">
        <v>3.2</v>
      </c>
      <c r="I60" s="65">
        <v>3.2</v>
      </c>
      <c r="J60" s="65">
        <v>3.2</v>
      </c>
      <c r="K60" s="65">
        <v>3.2</v>
      </c>
      <c r="L60" s="65">
        <v>3.2</v>
      </c>
      <c r="M60" s="65">
        <v>3.2</v>
      </c>
      <c r="N60" s="65">
        <v>3.2</v>
      </c>
      <c r="O60" s="65">
        <v>3.2</v>
      </c>
      <c r="P60" s="65">
        <v>3.2</v>
      </c>
      <c r="Q60" s="65">
        <v>3.2</v>
      </c>
      <c r="R60" s="65">
        <v>3.2</v>
      </c>
      <c r="S60" s="65">
        <v>3.2</v>
      </c>
      <c r="T60" s="65">
        <v>3.2</v>
      </c>
      <c r="U60" s="65">
        <v>3.2</v>
      </c>
      <c r="V60" s="65">
        <v>3.2</v>
      </c>
      <c r="W60" s="65">
        <v>3.2</v>
      </c>
      <c r="X60" s="65">
        <v>3.2</v>
      </c>
      <c r="Y60" s="65">
        <v>3.2</v>
      </c>
      <c r="Z60" s="65">
        <v>3.2</v>
      </c>
      <c r="AA60" s="65"/>
      <c r="AB60" s="65"/>
      <c r="AC60" s="65"/>
      <c r="AD60" s="65"/>
      <c r="AE60" s="65"/>
      <c r="AF60" s="65"/>
      <c r="AG60" s="54">
        <v>6.2</v>
      </c>
      <c r="AH60" s="47">
        <f t="shared" si="2"/>
        <v>3.2</v>
      </c>
      <c r="AI60" s="48">
        <f t="shared" si="3"/>
        <v>3.2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 t="shared" ref="B62:AG62" si="6">SUM(B49:B61)</f>
        <v>121.94000000000001</v>
      </c>
      <c r="C62" s="60">
        <f t="shared" si="6"/>
        <v>106.94000000000001</v>
      </c>
      <c r="D62" s="60">
        <f t="shared" si="6"/>
        <v>106.94000000000001</v>
      </c>
      <c r="E62" s="60">
        <f t="shared" si="6"/>
        <v>106.94000000000001</v>
      </c>
      <c r="F62" s="60">
        <f t="shared" si="6"/>
        <v>123.94000000000001</v>
      </c>
      <c r="G62" s="60">
        <f t="shared" si="6"/>
        <v>123.94000000000001</v>
      </c>
      <c r="H62" s="60">
        <f t="shared" si="6"/>
        <v>203.93999999999994</v>
      </c>
      <c r="I62" s="60">
        <f t="shared" si="6"/>
        <v>235.43999999999994</v>
      </c>
      <c r="J62" s="60">
        <f t="shared" si="6"/>
        <v>335.94</v>
      </c>
      <c r="K62" s="60">
        <f t="shared" si="6"/>
        <v>356.94</v>
      </c>
      <c r="L62" s="60">
        <f t="shared" si="6"/>
        <v>335.94</v>
      </c>
      <c r="M62" s="60">
        <f t="shared" si="6"/>
        <v>318.74</v>
      </c>
      <c r="N62" s="60">
        <f t="shared" si="6"/>
        <v>261.44</v>
      </c>
      <c r="O62" s="60">
        <f t="shared" si="6"/>
        <v>239.33999999999995</v>
      </c>
      <c r="P62" s="60">
        <f t="shared" si="6"/>
        <v>239.33999999999995</v>
      </c>
      <c r="Q62" s="60">
        <f t="shared" si="6"/>
        <v>243.33999999999995</v>
      </c>
      <c r="R62" s="60">
        <f t="shared" si="6"/>
        <v>251.50999999999996</v>
      </c>
      <c r="S62" s="60">
        <f t="shared" si="6"/>
        <v>213.93999999999997</v>
      </c>
      <c r="T62" s="60">
        <f t="shared" si="6"/>
        <v>218.73999999999995</v>
      </c>
      <c r="U62" s="60">
        <f t="shared" si="6"/>
        <v>226.33999999999997</v>
      </c>
      <c r="V62" s="60">
        <f t="shared" si="6"/>
        <v>239.23999999999995</v>
      </c>
      <c r="W62" s="60">
        <f t="shared" si="6"/>
        <v>237.43999999999994</v>
      </c>
      <c r="X62" s="60">
        <f t="shared" si="6"/>
        <v>278.24</v>
      </c>
      <c r="Y62" s="60">
        <f t="shared" si="6"/>
        <v>318.03999999999996</v>
      </c>
      <c r="Z62" s="60">
        <f t="shared" si="6"/>
        <v>327.24</v>
      </c>
      <c r="AA62" s="60">
        <f t="shared" si="6"/>
        <v>3.54</v>
      </c>
      <c r="AB62" s="60">
        <f t="shared" si="6"/>
        <v>3.54</v>
      </c>
      <c r="AC62" s="60">
        <f t="shared" si="6"/>
        <v>3.54</v>
      </c>
      <c r="AD62" s="60">
        <f t="shared" si="6"/>
        <v>3.54</v>
      </c>
      <c r="AE62" s="60">
        <f t="shared" si="6"/>
        <v>3.54</v>
      </c>
      <c r="AF62" s="60">
        <f t="shared" si="6"/>
        <v>3.54</v>
      </c>
      <c r="AG62" s="61">
        <f t="shared" si="6"/>
        <v>489.91</v>
      </c>
      <c r="AH62" s="47">
        <f t="shared" si="2"/>
        <v>356.94</v>
      </c>
      <c r="AI62" s="48">
        <f t="shared" si="3"/>
        <v>3.54</v>
      </c>
      <c r="AK62" s="49"/>
    </row>
    <row r="63" spans="1:41" x14ac:dyDescent="0.25">
      <c r="A63" s="44" t="s">
        <v>71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0</v>
      </c>
      <c r="M63" s="45">
        <v>0</v>
      </c>
      <c r="N63" s="45">
        <v>0</v>
      </c>
      <c r="O63" s="45">
        <v>0</v>
      </c>
      <c r="P63" s="45">
        <v>30</v>
      </c>
      <c r="Q63" s="45">
        <v>50</v>
      </c>
      <c r="R63" s="45">
        <v>50.7</v>
      </c>
      <c r="S63" s="45">
        <v>40</v>
      </c>
      <c r="T63" s="45">
        <v>60</v>
      </c>
      <c r="U63" s="45">
        <v>60</v>
      </c>
      <c r="V63" s="45">
        <v>60</v>
      </c>
      <c r="W63" s="45">
        <v>34</v>
      </c>
      <c r="X63" s="45">
        <v>45</v>
      </c>
      <c r="Y63" s="45">
        <v>50</v>
      </c>
      <c r="Z63" s="45">
        <v>50</v>
      </c>
      <c r="AA63" s="45"/>
      <c r="AB63" s="45"/>
      <c r="AC63" s="45"/>
      <c r="AD63" s="45"/>
      <c r="AE63" s="45"/>
      <c r="AF63" s="45"/>
      <c r="AG63" s="51">
        <v>60</v>
      </c>
      <c r="AH63" s="47">
        <f t="shared" si="2"/>
        <v>60</v>
      </c>
      <c r="AI63" s="48">
        <f t="shared" si="3"/>
        <v>0</v>
      </c>
      <c r="AK63" s="49"/>
    </row>
    <row r="64" spans="1:41" x14ac:dyDescent="0.25">
      <c r="A64" s="53" t="s">
        <v>72</v>
      </c>
      <c r="B64" s="65">
        <v>0</v>
      </c>
      <c r="C64" s="65">
        <v>0</v>
      </c>
      <c r="D64" s="65">
        <v>0</v>
      </c>
      <c r="E64" s="65">
        <v>0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10</v>
      </c>
      <c r="Q64" s="45">
        <v>17.100000000000001</v>
      </c>
      <c r="R64" s="45">
        <v>16.7</v>
      </c>
      <c r="S64" s="65">
        <v>16.7</v>
      </c>
      <c r="T64" s="65">
        <v>28</v>
      </c>
      <c r="U64" s="65">
        <v>23.4</v>
      </c>
      <c r="V64" s="65">
        <v>28.3</v>
      </c>
      <c r="W64" s="65">
        <v>18.5</v>
      </c>
      <c r="X64" s="65">
        <v>21</v>
      </c>
      <c r="Y64" s="65">
        <v>22.2</v>
      </c>
      <c r="Z64" s="65">
        <v>22.2</v>
      </c>
      <c r="AA64" s="65"/>
      <c r="AB64" s="65"/>
      <c r="AC64" s="65"/>
      <c r="AD64" s="65"/>
      <c r="AE64" s="65"/>
      <c r="AF64" s="45"/>
      <c r="AG64" s="54">
        <v>32</v>
      </c>
      <c r="AH64" s="47">
        <f t="shared" si="2"/>
        <v>28.3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>
        <v>0</v>
      </c>
      <c r="C65" s="67">
        <v>0</v>
      </c>
      <c r="D65" s="67">
        <v>0</v>
      </c>
      <c r="E65" s="67">
        <v>0</v>
      </c>
      <c r="F65" s="67">
        <v>0</v>
      </c>
      <c r="G65" s="67">
        <v>0</v>
      </c>
      <c r="H65" s="67">
        <v>0</v>
      </c>
      <c r="I65" s="67">
        <v>0</v>
      </c>
      <c r="J65" s="67">
        <v>0</v>
      </c>
      <c r="K65" s="67">
        <v>0</v>
      </c>
      <c r="L65" s="67">
        <v>0</v>
      </c>
      <c r="M65" s="67">
        <v>0</v>
      </c>
      <c r="N65" s="67">
        <v>0</v>
      </c>
      <c r="O65" s="67">
        <v>0</v>
      </c>
      <c r="P65" s="67">
        <v>4</v>
      </c>
      <c r="Q65" s="45">
        <v>6.2</v>
      </c>
      <c r="R65" s="45">
        <v>6</v>
      </c>
      <c r="S65" s="67">
        <v>6.1</v>
      </c>
      <c r="T65" s="67">
        <v>10.199999999999999</v>
      </c>
      <c r="U65" s="67">
        <v>8.5</v>
      </c>
      <c r="V65" s="67">
        <v>10.3</v>
      </c>
      <c r="W65" s="67">
        <v>6.7</v>
      </c>
      <c r="X65" s="67">
        <v>7.5</v>
      </c>
      <c r="Y65" s="67">
        <v>5.2</v>
      </c>
      <c r="Z65" s="67">
        <v>8.1999999999999993</v>
      </c>
      <c r="AA65" s="67"/>
      <c r="AB65" s="67"/>
      <c r="AC65" s="67"/>
      <c r="AD65" s="67"/>
      <c r="AE65" s="67"/>
      <c r="AF65" s="45"/>
      <c r="AG65" s="68">
        <v>14</v>
      </c>
      <c r="AH65" s="47">
        <f t="shared" si="2"/>
        <v>10.3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0</v>
      </c>
      <c r="M66" s="60">
        <f t="shared" ref="M66:AF66" si="7">M63+M64+M65</f>
        <v>0</v>
      </c>
      <c r="N66" s="60">
        <f t="shared" si="7"/>
        <v>0</v>
      </c>
      <c r="O66" s="60">
        <f t="shared" si="7"/>
        <v>0</v>
      </c>
      <c r="P66" s="60">
        <f t="shared" si="7"/>
        <v>44</v>
      </c>
      <c r="Q66" s="60">
        <f t="shared" si="7"/>
        <v>73.3</v>
      </c>
      <c r="R66" s="60">
        <f t="shared" si="7"/>
        <v>73.400000000000006</v>
      </c>
      <c r="S66" s="60">
        <f t="shared" si="7"/>
        <v>62.800000000000004</v>
      </c>
      <c r="T66" s="60">
        <f t="shared" si="7"/>
        <v>98.2</v>
      </c>
      <c r="U66" s="60">
        <f t="shared" si="7"/>
        <v>91.9</v>
      </c>
      <c r="V66" s="60">
        <f t="shared" si="7"/>
        <v>98.6</v>
      </c>
      <c r="W66" s="60">
        <f t="shared" si="7"/>
        <v>59.2</v>
      </c>
      <c r="X66" s="60">
        <f t="shared" si="7"/>
        <v>73.5</v>
      </c>
      <c r="Y66" s="60">
        <f t="shared" si="7"/>
        <v>77.400000000000006</v>
      </c>
      <c r="Z66" s="60">
        <f t="shared" si="7"/>
        <v>80.400000000000006</v>
      </c>
      <c r="AA66" s="60">
        <f t="shared" si="7"/>
        <v>0</v>
      </c>
      <c r="AB66" s="60">
        <f t="shared" si="7"/>
        <v>0</v>
      </c>
      <c r="AC66" s="60">
        <f t="shared" si="7"/>
        <v>0</v>
      </c>
      <c r="AD66" s="60">
        <f t="shared" si="7"/>
        <v>0</v>
      </c>
      <c r="AE66" s="60">
        <f t="shared" si="7"/>
        <v>0</v>
      </c>
      <c r="AF66" s="60">
        <f t="shared" si="7"/>
        <v>0</v>
      </c>
      <c r="AG66" s="61">
        <f>SUM(AG63:AG65)</f>
        <v>106</v>
      </c>
      <c r="AH66" s="47">
        <f t="shared" si="2"/>
        <v>98.6</v>
      </c>
      <c r="AI66" s="48">
        <f t="shared" si="3"/>
        <v>0</v>
      </c>
      <c r="AK66" s="49"/>
    </row>
    <row r="67" spans="1:40" x14ac:dyDescent="0.25">
      <c r="A67" s="44" t="s">
        <v>75</v>
      </c>
      <c r="B67" s="45">
        <v>67</v>
      </c>
      <c r="C67" s="45">
        <v>65</v>
      </c>
      <c r="D67" s="45">
        <v>67</v>
      </c>
      <c r="E67" s="45">
        <v>48.5</v>
      </c>
      <c r="F67" s="45">
        <v>57</v>
      </c>
      <c r="G67" s="45">
        <v>59</v>
      </c>
      <c r="H67" s="45">
        <v>64</v>
      </c>
      <c r="I67" s="45">
        <v>58</v>
      </c>
      <c r="J67" s="45">
        <v>56</v>
      </c>
      <c r="K67" s="45">
        <v>56</v>
      </c>
      <c r="L67" s="45">
        <v>51</v>
      </c>
      <c r="M67" s="45">
        <v>49.6</v>
      </c>
      <c r="N67" s="45">
        <v>59.6</v>
      </c>
      <c r="O67" s="45">
        <v>74.599999999999994</v>
      </c>
      <c r="P67" s="45">
        <v>76</v>
      </c>
      <c r="Q67" s="45">
        <v>68</v>
      </c>
      <c r="R67" s="45">
        <v>66.900000000000006</v>
      </c>
      <c r="S67" s="45">
        <v>70</v>
      </c>
      <c r="T67" s="45">
        <v>68</v>
      </c>
      <c r="U67" s="45">
        <v>67.2</v>
      </c>
      <c r="V67" s="45">
        <v>59.3</v>
      </c>
      <c r="W67" s="45">
        <v>58</v>
      </c>
      <c r="X67" s="45">
        <v>53.2</v>
      </c>
      <c r="Y67" s="45">
        <v>62.1</v>
      </c>
      <c r="Z67" s="45">
        <v>30.1</v>
      </c>
      <c r="AA67" s="45"/>
      <c r="AB67" s="45"/>
      <c r="AC67" s="45"/>
      <c r="AD67" s="45"/>
      <c r="AE67" s="45"/>
      <c r="AF67" s="45"/>
      <c r="AG67" s="51"/>
      <c r="AH67" s="47">
        <f t="shared" si="2"/>
        <v>76</v>
      </c>
      <c r="AI67" s="48">
        <f t="shared" si="3"/>
        <v>30.1</v>
      </c>
      <c r="AK67" s="49"/>
    </row>
    <row r="68" spans="1:40" x14ac:dyDescent="0.25">
      <c r="A68" s="53" t="s">
        <v>76</v>
      </c>
      <c r="B68" s="65">
        <v>0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/>
      <c r="AB68" s="65"/>
      <c r="AC68" s="65"/>
      <c r="AD68" s="65"/>
      <c r="AE68" s="65"/>
      <c r="AF68" s="65"/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>
        <v>335</v>
      </c>
      <c r="C69" s="65">
        <v>333</v>
      </c>
      <c r="D69" s="65">
        <v>330</v>
      </c>
      <c r="E69" s="65">
        <v>314</v>
      </c>
      <c r="F69" s="65">
        <v>322</v>
      </c>
      <c r="G69" s="65">
        <v>310</v>
      </c>
      <c r="H69" s="65">
        <v>316</v>
      </c>
      <c r="I69" s="65">
        <v>321</v>
      </c>
      <c r="J69" s="65">
        <v>317</v>
      </c>
      <c r="K69" s="65">
        <v>177</v>
      </c>
      <c r="L69" s="65">
        <v>145</v>
      </c>
      <c r="M69" s="65">
        <v>162</v>
      </c>
      <c r="N69" s="65">
        <v>314</v>
      </c>
      <c r="O69" s="65">
        <v>322.39999999999998</v>
      </c>
      <c r="P69" s="65">
        <v>334</v>
      </c>
      <c r="Q69" s="65">
        <v>333.4</v>
      </c>
      <c r="R69" s="65">
        <v>310.2</v>
      </c>
      <c r="S69" s="65">
        <v>337</v>
      </c>
      <c r="T69" s="65">
        <v>332</v>
      </c>
      <c r="U69" s="65">
        <v>340</v>
      </c>
      <c r="V69" s="65">
        <v>320</v>
      </c>
      <c r="W69" s="65">
        <v>323</v>
      </c>
      <c r="X69" s="65">
        <v>263</v>
      </c>
      <c r="Y69" s="65">
        <v>282</v>
      </c>
      <c r="Z69" s="65">
        <v>115</v>
      </c>
      <c r="AA69" s="65"/>
      <c r="AB69" s="65"/>
      <c r="AC69" s="65"/>
      <c r="AD69" s="65"/>
      <c r="AE69" s="65"/>
      <c r="AF69" s="65"/>
      <c r="AG69" s="75"/>
      <c r="AH69" s="47">
        <f t="shared" si="2"/>
        <v>340</v>
      </c>
      <c r="AI69" s="48">
        <f t="shared" si="3"/>
        <v>115</v>
      </c>
      <c r="AK69" s="49"/>
    </row>
    <row r="70" spans="1:40" x14ac:dyDescent="0.25">
      <c r="A70" s="53" t="s">
        <v>78</v>
      </c>
      <c r="B70" s="76">
        <v>62</v>
      </c>
      <c r="C70" s="76">
        <v>57</v>
      </c>
      <c r="D70" s="76">
        <v>63</v>
      </c>
      <c r="E70" s="76">
        <v>62.3</v>
      </c>
      <c r="F70" s="76">
        <v>62.2</v>
      </c>
      <c r="G70" s="76">
        <v>53</v>
      </c>
      <c r="H70" s="76">
        <v>60.5</v>
      </c>
      <c r="I70" s="76">
        <v>60.5</v>
      </c>
      <c r="J70" s="76">
        <v>64</v>
      </c>
      <c r="K70" s="76">
        <v>44</v>
      </c>
      <c r="L70" s="76">
        <v>44</v>
      </c>
      <c r="M70" s="76">
        <v>49.5</v>
      </c>
      <c r="N70" s="76">
        <v>49.4</v>
      </c>
      <c r="O70" s="76">
        <v>64.099999999999994</v>
      </c>
      <c r="P70" s="76">
        <v>64.099999999999994</v>
      </c>
      <c r="Q70" s="76">
        <v>64.099999999999994</v>
      </c>
      <c r="R70" s="76">
        <v>73.3</v>
      </c>
      <c r="S70" s="76">
        <v>73</v>
      </c>
      <c r="T70" s="76">
        <v>58</v>
      </c>
      <c r="U70" s="76">
        <v>55.5</v>
      </c>
      <c r="V70" s="76">
        <v>52.5</v>
      </c>
      <c r="W70" s="76">
        <v>54.2</v>
      </c>
      <c r="X70" s="65">
        <v>56.1</v>
      </c>
      <c r="Y70" s="65">
        <v>64</v>
      </c>
      <c r="Z70" s="65">
        <v>65.099999999999994</v>
      </c>
      <c r="AA70" s="65"/>
      <c r="AB70" s="65"/>
      <c r="AC70" s="65"/>
      <c r="AD70" s="65"/>
      <c r="AE70" s="65"/>
      <c r="AF70" s="65"/>
      <c r="AG70" s="75"/>
      <c r="AH70" s="47">
        <f t="shared" si="2"/>
        <v>73.3</v>
      </c>
      <c r="AI70" s="48">
        <f t="shared" si="3"/>
        <v>44</v>
      </c>
      <c r="AK70" s="49"/>
    </row>
    <row r="71" spans="1:40" x14ac:dyDescent="0.25">
      <c r="A71" s="53" t="s">
        <v>79</v>
      </c>
      <c r="B71" s="45">
        <v>23</v>
      </c>
      <c r="C71" s="45">
        <v>23</v>
      </c>
      <c r="D71" s="45">
        <v>25</v>
      </c>
      <c r="E71" s="45">
        <v>25</v>
      </c>
      <c r="F71" s="45">
        <v>25</v>
      </c>
      <c r="G71" s="45">
        <v>25</v>
      </c>
      <c r="H71" s="45">
        <v>25</v>
      </c>
      <c r="I71" s="45">
        <v>25</v>
      </c>
      <c r="J71" s="45">
        <v>25</v>
      </c>
      <c r="K71" s="45">
        <v>25</v>
      </c>
      <c r="L71" s="45">
        <v>56</v>
      </c>
      <c r="M71" s="45">
        <v>65</v>
      </c>
      <c r="N71" s="45">
        <v>65</v>
      </c>
      <c r="O71" s="45">
        <v>65</v>
      </c>
      <c r="P71" s="45">
        <v>90</v>
      </c>
      <c r="Q71" s="45">
        <v>20</v>
      </c>
      <c r="R71" s="45">
        <v>20.5</v>
      </c>
      <c r="S71" s="45">
        <v>20.5</v>
      </c>
      <c r="T71" s="45">
        <v>36</v>
      </c>
      <c r="U71" s="45">
        <v>36</v>
      </c>
      <c r="V71" s="45">
        <v>36</v>
      </c>
      <c r="W71" s="45">
        <v>36</v>
      </c>
      <c r="X71" s="45">
        <v>74</v>
      </c>
      <c r="Y71" s="45">
        <v>74</v>
      </c>
      <c r="Z71" s="45">
        <v>74</v>
      </c>
      <c r="AA71" s="45"/>
      <c r="AB71" s="45"/>
      <c r="AC71" s="45"/>
      <c r="AD71" s="45"/>
      <c r="AE71" s="45"/>
      <c r="AF71" s="45"/>
      <c r="AG71" s="75"/>
      <c r="AH71" s="47">
        <f t="shared" si="2"/>
        <v>90</v>
      </c>
      <c r="AI71" s="48">
        <f t="shared" si="3"/>
        <v>20</v>
      </c>
      <c r="AK71" s="49"/>
    </row>
    <row r="72" spans="1:40" x14ac:dyDescent="0.25">
      <c r="A72" s="53" t="s">
        <v>80</v>
      </c>
      <c r="B72" s="77">
        <v>5</v>
      </c>
      <c r="C72" s="77">
        <v>5</v>
      </c>
      <c r="D72" s="77">
        <v>5</v>
      </c>
      <c r="E72" s="77">
        <v>5</v>
      </c>
      <c r="F72" s="77">
        <v>5</v>
      </c>
      <c r="G72" s="77">
        <v>5</v>
      </c>
      <c r="H72" s="77">
        <v>5</v>
      </c>
      <c r="I72" s="77">
        <v>5</v>
      </c>
      <c r="J72" s="77">
        <v>5</v>
      </c>
      <c r="K72" s="77">
        <v>5</v>
      </c>
      <c r="L72" s="77">
        <v>5</v>
      </c>
      <c r="M72" s="77">
        <v>5</v>
      </c>
      <c r="N72" s="77">
        <v>5</v>
      </c>
      <c r="O72" s="77">
        <v>5</v>
      </c>
      <c r="P72" s="77">
        <v>5</v>
      </c>
      <c r="Q72" s="77">
        <v>5</v>
      </c>
      <c r="R72" s="77">
        <v>5</v>
      </c>
      <c r="S72" s="77">
        <v>5</v>
      </c>
      <c r="T72" s="77">
        <v>5</v>
      </c>
      <c r="U72" s="77">
        <v>5</v>
      </c>
      <c r="V72" s="77">
        <v>5</v>
      </c>
      <c r="W72" s="77">
        <v>5</v>
      </c>
      <c r="X72" s="77">
        <v>5</v>
      </c>
      <c r="Y72" s="77">
        <v>5</v>
      </c>
      <c r="Z72" s="77">
        <v>5</v>
      </c>
      <c r="AA72" s="77"/>
      <c r="AB72" s="77"/>
      <c r="AC72" s="77"/>
      <c r="AD72" s="77"/>
      <c r="AE72" s="77"/>
      <c r="AF72" s="77"/>
      <c r="AG72" s="75"/>
      <c r="AH72" s="47">
        <f t="shared" si="2"/>
        <v>5</v>
      </c>
      <c r="AI72" s="48">
        <f t="shared" si="3"/>
        <v>5</v>
      </c>
      <c r="AK72" s="49"/>
    </row>
    <row r="73" spans="1:40" ht="15.75" thickBot="1" x14ac:dyDescent="0.3">
      <c r="A73" s="53" t="s">
        <v>81</v>
      </c>
      <c r="B73" s="77">
        <v>0</v>
      </c>
      <c r="C73" s="77">
        <v>0</v>
      </c>
      <c r="D73" s="77">
        <v>0</v>
      </c>
      <c r="E73" s="77">
        <v>0</v>
      </c>
      <c r="F73" s="77">
        <v>0</v>
      </c>
      <c r="G73" s="77">
        <v>0</v>
      </c>
      <c r="H73" s="77">
        <v>0</v>
      </c>
      <c r="I73" s="77">
        <v>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  <c r="V73" s="77">
        <v>0</v>
      </c>
      <c r="W73" s="77">
        <v>0</v>
      </c>
      <c r="X73" s="77">
        <v>0</v>
      </c>
      <c r="Y73" s="77">
        <v>0</v>
      </c>
      <c r="Z73" s="77">
        <v>0</v>
      </c>
      <c r="AA73" s="77"/>
      <c r="AB73" s="77"/>
      <c r="AC73" s="77"/>
      <c r="AD73" s="77"/>
      <c r="AE73" s="77"/>
      <c r="AF73" s="77"/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  <c r="Q74" s="77">
        <v>0</v>
      </c>
      <c r="R74" s="77">
        <v>0</v>
      </c>
      <c r="S74" s="77">
        <v>0</v>
      </c>
      <c r="T74" s="77">
        <v>0</v>
      </c>
      <c r="U74" s="77">
        <v>0</v>
      </c>
      <c r="V74" s="77">
        <v>0</v>
      </c>
      <c r="W74" s="77">
        <v>0</v>
      </c>
      <c r="X74" s="77">
        <v>0</v>
      </c>
      <c r="Y74" s="77">
        <v>0</v>
      </c>
      <c r="Z74" s="77">
        <v>0</v>
      </c>
      <c r="AA74" s="77"/>
      <c r="AB74" s="77"/>
      <c r="AC74" s="77"/>
      <c r="AD74" s="77"/>
      <c r="AE74" s="77"/>
      <c r="AF74" s="77"/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  <c r="V75" s="77">
        <v>0</v>
      </c>
      <c r="W75" s="77">
        <v>0</v>
      </c>
      <c r="X75" s="77">
        <v>0</v>
      </c>
      <c r="Y75" s="77">
        <v>0</v>
      </c>
      <c r="Z75" s="77">
        <v>0</v>
      </c>
      <c r="AA75" s="77"/>
      <c r="AB75" s="77"/>
      <c r="AC75" s="77"/>
      <c r="AD75" s="77"/>
      <c r="AE75" s="77"/>
      <c r="AF75" s="77"/>
      <c r="AG75" s="75"/>
      <c r="AH75" s="47">
        <f t="shared" ref="AH75:AH113" si="8">MAX(B75:AF75)</f>
        <v>0</v>
      </c>
      <c r="AI75" s="48">
        <f t="shared" ref="AI75:AI113" si="9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  <c r="V76" s="77">
        <v>0</v>
      </c>
      <c r="W76" s="77">
        <v>0</v>
      </c>
      <c r="X76" s="77">
        <v>0</v>
      </c>
      <c r="Y76" s="77">
        <v>0</v>
      </c>
      <c r="Z76" s="77">
        <v>0</v>
      </c>
      <c r="AA76" s="77"/>
      <c r="AB76" s="77"/>
      <c r="AC76" s="77"/>
      <c r="AD76" s="77"/>
      <c r="AE76" s="77"/>
      <c r="AF76" s="77"/>
      <c r="AG76" s="85"/>
      <c r="AH76" s="47">
        <f t="shared" si="8"/>
        <v>0</v>
      </c>
      <c r="AI76" s="48">
        <f t="shared" si="9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  <c r="V77" s="77">
        <v>0</v>
      </c>
      <c r="W77" s="77">
        <v>0</v>
      </c>
      <c r="X77" s="77">
        <v>0</v>
      </c>
      <c r="Y77" s="77">
        <v>0</v>
      </c>
      <c r="Z77" s="77">
        <v>0</v>
      </c>
      <c r="AA77" s="77"/>
      <c r="AB77" s="77"/>
      <c r="AC77" s="77"/>
      <c r="AD77" s="77"/>
      <c r="AE77" s="77"/>
      <c r="AF77" s="77"/>
      <c r="AG77" s="85"/>
      <c r="AH77" s="47">
        <f t="shared" si="8"/>
        <v>0</v>
      </c>
      <c r="AI77" s="48">
        <f t="shared" si="9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F78" si="10">SUMIF(B67:B77,"&gt;0")</f>
        <v>492</v>
      </c>
      <c r="C78" s="60">
        <f t="shared" si="10"/>
        <v>483</v>
      </c>
      <c r="D78" s="60">
        <f t="shared" si="10"/>
        <v>490</v>
      </c>
      <c r="E78" s="60">
        <f t="shared" si="10"/>
        <v>454.8</v>
      </c>
      <c r="F78" s="60">
        <f t="shared" si="10"/>
        <v>471.2</v>
      </c>
      <c r="G78" s="60">
        <f t="shared" si="10"/>
        <v>452</v>
      </c>
      <c r="H78" s="60">
        <f t="shared" si="10"/>
        <v>470.5</v>
      </c>
      <c r="I78" s="60">
        <f t="shared" si="10"/>
        <v>469.5</v>
      </c>
      <c r="J78" s="60">
        <f t="shared" si="10"/>
        <v>467</v>
      </c>
      <c r="K78" s="60">
        <f t="shared" si="10"/>
        <v>307</v>
      </c>
      <c r="L78" s="60">
        <f t="shared" si="10"/>
        <v>301</v>
      </c>
      <c r="M78" s="60">
        <f t="shared" si="10"/>
        <v>331.1</v>
      </c>
      <c r="N78" s="60">
        <f t="shared" si="10"/>
        <v>493</v>
      </c>
      <c r="O78" s="60">
        <f t="shared" si="10"/>
        <v>531.1</v>
      </c>
      <c r="P78" s="60">
        <f t="shared" si="10"/>
        <v>569.1</v>
      </c>
      <c r="Q78" s="60">
        <f t="shared" si="10"/>
        <v>490.5</v>
      </c>
      <c r="R78" s="60">
        <f t="shared" si="10"/>
        <v>475.90000000000003</v>
      </c>
      <c r="S78" s="60">
        <f t="shared" si="10"/>
        <v>505.5</v>
      </c>
      <c r="T78" s="60">
        <f t="shared" si="10"/>
        <v>499</v>
      </c>
      <c r="U78" s="60">
        <f t="shared" si="10"/>
        <v>503.7</v>
      </c>
      <c r="V78" s="60">
        <f t="shared" si="10"/>
        <v>472.8</v>
      </c>
      <c r="W78" s="60">
        <f t="shared" si="10"/>
        <v>476.2</v>
      </c>
      <c r="X78" s="60">
        <f t="shared" si="10"/>
        <v>451.3</v>
      </c>
      <c r="Y78" s="60">
        <f t="shared" si="10"/>
        <v>487.1</v>
      </c>
      <c r="Z78" s="60">
        <f t="shared" si="10"/>
        <v>289.2</v>
      </c>
      <c r="AA78" s="60">
        <f t="shared" si="10"/>
        <v>0</v>
      </c>
      <c r="AB78" s="60">
        <f t="shared" si="10"/>
        <v>0</v>
      </c>
      <c r="AC78" s="60">
        <f t="shared" si="10"/>
        <v>0</v>
      </c>
      <c r="AD78" s="60">
        <f t="shared" si="10"/>
        <v>0</v>
      </c>
      <c r="AE78" s="60">
        <f t="shared" si="10"/>
        <v>0</v>
      </c>
      <c r="AF78" s="60">
        <f t="shared" si="10"/>
        <v>0</v>
      </c>
      <c r="AG78" s="88">
        <f>SUM(AG67:AG77)</f>
        <v>0</v>
      </c>
      <c r="AH78" s="47">
        <f t="shared" si="8"/>
        <v>569.1</v>
      </c>
      <c r="AI78" s="48">
        <f t="shared" si="9"/>
        <v>0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8"/>
        <v>0</v>
      </c>
      <c r="AI79" s="48">
        <f t="shared" si="9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8"/>
        <v>0</v>
      </c>
      <c r="AI80" s="48">
        <f t="shared" si="9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8"/>
        <v>0</v>
      </c>
      <c r="AI81" s="48">
        <f t="shared" si="9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8"/>
        <v>0</v>
      </c>
      <c r="AI82" s="48">
        <f t="shared" si="9"/>
        <v>0</v>
      </c>
    </row>
    <row r="83" spans="1:37" ht="15.75" thickBot="1" x14ac:dyDescent="0.3">
      <c r="A83" s="74" t="s">
        <v>94</v>
      </c>
      <c r="B83" s="95">
        <f>B44+B48+B66+B62+B78+B82</f>
        <v>1061.24</v>
      </c>
      <c r="C83" s="95">
        <f t="shared" ref="C83:AG83" si="11">C44+C48+C66+C62+C78+C82</f>
        <v>1036.44</v>
      </c>
      <c r="D83" s="95">
        <f t="shared" si="11"/>
        <v>1052.74</v>
      </c>
      <c r="E83" s="95">
        <f t="shared" si="11"/>
        <v>1012.54</v>
      </c>
      <c r="F83" s="95">
        <f t="shared" si="11"/>
        <v>1055.94</v>
      </c>
      <c r="G83" s="95">
        <f t="shared" si="11"/>
        <v>1046.74</v>
      </c>
      <c r="H83" s="95">
        <f t="shared" si="11"/>
        <v>1155.24</v>
      </c>
      <c r="I83" s="95">
        <f t="shared" si="11"/>
        <v>1185.74</v>
      </c>
      <c r="J83" s="95">
        <f t="shared" si="11"/>
        <v>1283.74</v>
      </c>
      <c r="K83" s="95">
        <f t="shared" si="11"/>
        <v>1214.74</v>
      </c>
      <c r="L83" s="95">
        <f t="shared" si="11"/>
        <v>1262.74</v>
      </c>
      <c r="M83" s="95">
        <f t="shared" si="11"/>
        <v>1309.74</v>
      </c>
      <c r="N83" s="95">
        <f t="shared" si="11"/>
        <v>1283.1400000000001</v>
      </c>
      <c r="O83" s="95">
        <f t="shared" si="11"/>
        <v>1279.2399999999998</v>
      </c>
      <c r="P83" s="95">
        <f t="shared" si="11"/>
        <v>1361.2399999999998</v>
      </c>
      <c r="Q83" s="95">
        <f t="shared" si="11"/>
        <v>1315.9399999999998</v>
      </c>
      <c r="R83" s="95">
        <f t="shared" si="11"/>
        <v>1299.71</v>
      </c>
      <c r="S83" s="95">
        <f t="shared" si="11"/>
        <v>1281.1399999999999</v>
      </c>
      <c r="T83" s="95">
        <f t="shared" si="11"/>
        <v>1354.84</v>
      </c>
      <c r="U83" s="95">
        <f t="shared" si="11"/>
        <v>1355.84</v>
      </c>
      <c r="V83" s="95">
        <f t="shared" si="11"/>
        <v>1319.54</v>
      </c>
      <c r="W83" s="95">
        <f t="shared" si="11"/>
        <v>1271.74</v>
      </c>
      <c r="X83" s="95">
        <f t="shared" si="11"/>
        <v>1321.94</v>
      </c>
      <c r="Y83" s="95">
        <f t="shared" si="11"/>
        <v>1491.44</v>
      </c>
      <c r="Z83" s="95">
        <f t="shared" si="11"/>
        <v>1405.74</v>
      </c>
      <c r="AA83" s="95">
        <f t="shared" si="11"/>
        <v>3.54</v>
      </c>
      <c r="AB83" s="95">
        <f t="shared" si="11"/>
        <v>3.54</v>
      </c>
      <c r="AC83" s="95">
        <f t="shared" si="11"/>
        <v>3.54</v>
      </c>
      <c r="AD83" s="95">
        <f t="shared" si="11"/>
        <v>3.54</v>
      </c>
      <c r="AE83" s="95">
        <f t="shared" si="11"/>
        <v>3.54</v>
      </c>
      <c r="AF83" s="95">
        <f t="shared" si="11"/>
        <v>3.54</v>
      </c>
      <c r="AG83" s="61">
        <f t="shared" si="11"/>
        <v>2004.1900000000003</v>
      </c>
      <c r="AH83" s="47">
        <f>MAX(B83:AF83)</f>
        <v>1491.44</v>
      </c>
      <c r="AI83" s="48">
        <f>MIN(B83:AF83)</f>
        <v>3.54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>
        <v>150</v>
      </c>
      <c r="L84" s="97">
        <v>150</v>
      </c>
      <c r="M84" s="97">
        <v>150</v>
      </c>
      <c r="N84" s="97">
        <v>120</v>
      </c>
      <c r="O84" s="97">
        <v>70</v>
      </c>
      <c r="P84" s="97"/>
      <c r="Q84" s="97"/>
      <c r="R84" s="97"/>
      <c r="S84" s="97"/>
      <c r="T84" s="97"/>
      <c r="U84" s="97"/>
      <c r="V84" s="97"/>
      <c r="W84" s="97"/>
      <c r="X84" s="97"/>
      <c r="Y84" s="97">
        <v>160</v>
      </c>
      <c r="Z84" s="97">
        <v>160</v>
      </c>
      <c r="AA84" s="97"/>
      <c r="AB84" s="97"/>
      <c r="AC84" s="97"/>
      <c r="AD84" s="97"/>
      <c r="AE84" s="97"/>
      <c r="AF84" s="97"/>
      <c r="AG84" s="88"/>
      <c r="AH84" s="47">
        <f t="shared" si="8"/>
        <v>160</v>
      </c>
      <c r="AI84" s="48">
        <f t="shared" si="9"/>
        <v>70</v>
      </c>
    </row>
    <row r="85" spans="1:37" ht="15.75" thickBot="1" x14ac:dyDescent="0.3">
      <c r="A85" s="74" t="s">
        <v>96</v>
      </c>
      <c r="B85" s="95">
        <f>B83+B84</f>
        <v>1061.24</v>
      </c>
      <c r="C85" s="95">
        <f t="shared" ref="C85:AF85" si="12">C83+C84</f>
        <v>1036.44</v>
      </c>
      <c r="D85" s="95">
        <f t="shared" si="12"/>
        <v>1052.74</v>
      </c>
      <c r="E85" s="95">
        <f t="shared" si="12"/>
        <v>1012.54</v>
      </c>
      <c r="F85" s="95">
        <f t="shared" si="12"/>
        <v>1055.94</v>
      </c>
      <c r="G85" s="95">
        <f t="shared" si="12"/>
        <v>1046.74</v>
      </c>
      <c r="H85" s="95">
        <f t="shared" si="12"/>
        <v>1155.24</v>
      </c>
      <c r="I85" s="95">
        <f t="shared" si="12"/>
        <v>1185.74</v>
      </c>
      <c r="J85" s="95">
        <f t="shared" si="12"/>
        <v>1283.74</v>
      </c>
      <c r="K85" s="95">
        <f t="shared" si="12"/>
        <v>1364.74</v>
      </c>
      <c r="L85" s="95">
        <f t="shared" si="12"/>
        <v>1412.74</v>
      </c>
      <c r="M85" s="95">
        <f t="shared" si="12"/>
        <v>1459.74</v>
      </c>
      <c r="N85" s="95">
        <f t="shared" si="12"/>
        <v>1403.14</v>
      </c>
      <c r="O85" s="95">
        <f t="shared" si="12"/>
        <v>1349.2399999999998</v>
      </c>
      <c r="P85" s="95">
        <f t="shared" si="12"/>
        <v>1361.2399999999998</v>
      </c>
      <c r="Q85" s="95">
        <f t="shared" si="12"/>
        <v>1315.9399999999998</v>
      </c>
      <c r="R85" s="95">
        <f t="shared" si="12"/>
        <v>1299.71</v>
      </c>
      <c r="S85" s="95">
        <f t="shared" si="12"/>
        <v>1281.1399999999999</v>
      </c>
      <c r="T85" s="95">
        <f t="shared" si="12"/>
        <v>1354.84</v>
      </c>
      <c r="U85" s="95">
        <f t="shared" si="12"/>
        <v>1355.84</v>
      </c>
      <c r="V85" s="95">
        <f t="shared" si="12"/>
        <v>1319.54</v>
      </c>
      <c r="W85" s="95">
        <f t="shared" si="12"/>
        <v>1271.74</v>
      </c>
      <c r="X85" s="95">
        <f t="shared" si="12"/>
        <v>1321.94</v>
      </c>
      <c r="Y85" s="95">
        <f t="shared" si="12"/>
        <v>1651.44</v>
      </c>
      <c r="Z85" s="95">
        <f t="shared" si="12"/>
        <v>1565.74</v>
      </c>
      <c r="AA85" s="95">
        <f t="shared" si="12"/>
        <v>3.54</v>
      </c>
      <c r="AB85" s="95">
        <f t="shared" si="12"/>
        <v>3.54</v>
      </c>
      <c r="AC85" s="95">
        <f t="shared" si="12"/>
        <v>3.54</v>
      </c>
      <c r="AD85" s="95">
        <f t="shared" si="12"/>
        <v>3.54</v>
      </c>
      <c r="AE85" s="95">
        <f t="shared" si="12"/>
        <v>3.54</v>
      </c>
      <c r="AF85" s="95">
        <f t="shared" si="12"/>
        <v>3.54</v>
      </c>
      <c r="AG85" s="88">
        <f>AG82+AG78+AG66+AG62+AG44+AG84</f>
        <v>1466.0900000000001</v>
      </c>
      <c r="AH85" s="47">
        <f t="shared" si="8"/>
        <v>1651.44</v>
      </c>
      <c r="AI85" s="48">
        <f t="shared" si="9"/>
        <v>3.54</v>
      </c>
    </row>
    <row r="86" spans="1:37" ht="15.75" thickBot="1" x14ac:dyDescent="0.3">
      <c r="A86" s="74" t="s">
        <v>97</v>
      </c>
      <c r="B86" s="95">
        <f t="shared" ref="B86:AF86" si="13">B85-B93</f>
        <v>1061.24</v>
      </c>
      <c r="C86" s="95">
        <f t="shared" si="13"/>
        <v>1036.44</v>
      </c>
      <c r="D86" s="95">
        <f t="shared" si="13"/>
        <v>1052.74</v>
      </c>
      <c r="E86" s="95">
        <f t="shared" si="13"/>
        <v>1012.54</v>
      </c>
      <c r="F86" s="95">
        <f t="shared" si="13"/>
        <v>1055.94</v>
      </c>
      <c r="G86" s="95">
        <f t="shared" si="13"/>
        <v>1046.74</v>
      </c>
      <c r="H86" s="95">
        <f t="shared" si="13"/>
        <v>1155.24</v>
      </c>
      <c r="I86" s="95">
        <f t="shared" si="13"/>
        <v>1185.74</v>
      </c>
      <c r="J86" s="95">
        <f t="shared" si="13"/>
        <v>1283.74</v>
      </c>
      <c r="K86" s="95">
        <f t="shared" si="13"/>
        <v>1364.74</v>
      </c>
      <c r="L86" s="95">
        <f t="shared" si="13"/>
        <v>1412.74</v>
      </c>
      <c r="M86" s="95">
        <f t="shared" si="13"/>
        <v>1459.74</v>
      </c>
      <c r="N86" s="95">
        <f t="shared" si="13"/>
        <v>1403.14</v>
      </c>
      <c r="O86" s="95">
        <f t="shared" si="13"/>
        <v>1349.2399999999998</v>
      </c>
      <c r="P86" s="95">
        <f t="shared" si="13"/>
        <v>1361.2399999999998</v>
      </c>
      <c r="Q86" s="95">
        <f t="shared" si="13"/>
        <v>1315.9399999999998</v>
      </c>
      <c r="R86" s="95">
        <f t="shared" si="13"/>
        <v>1299.71</v>
      </c>
      <c r="S86" s="95">
        <f t="shared" si="13"/>
        <v>1281.1399999999999</v>
      </c>
      <c r="T86" s="95">
        <f t="shared" si="13"/>
        <v>1354.84</v>
      </c>
      <c r="U86" s="95">
        <f t="shared" si="13"/>
        <v>1355.84</v>
      </c>
      <c r="V86" s="95">
        <f t="shared" si="13"/>
        <v>1319.54</v>
      </c>
      <c r="W86" s="95">
        <f t="shared" si="13"/>
        <v>1271.74</v>
      </c>
      <c r="X86" s="95">
        <f t="shared" si="13"/>
        <v>1321.94</v>
      </c>
      <c r="Y86" s="95">
        <f t="shared" si="13"/>
        <v>1651.44</v>
      </c>
      <c r="Z86" s="95">
        <f t="shared" si="13"/>
        <v>1565.74</v>
      </c>
      <c r="AA86" s="95">
        <f t="shared" si="13"/>
        <v>3.54</v>
      </c>
      <c r="AB86" s="95">
        <f t="shared" si="13"/>
        <v>3.54</v>
      </c>
      <c r="AC86" s="95">
        <f t="shared" si="13"/>
        <v>3.54</v>
      </c>
      <c r="AD86" s="95">
        <f t="shared" si="13"/>
        <v>3.54</v>
      </c>
      <c r="AE86" s="95">
        <f t="shared" si="13"/>
        <v>3.54</v>
      </c>
      <c r="AF86" s="95">
        <f t="shared" si="13"/>
        <v>3.54</v>
      </c>
      <c r="AG86" s="88"/>
      <c r="AH86" s="47">
        <f t="shared" si="8"/>
        <v>1651.44</v>
      </c>
      <c r="AI86" s="48">
        <f t="shared" si="9"/>
        <v>3.54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8"/>
        <v>0</v>
      </c>
      <c r="AI87" s="48">
        <f t="shared" si="9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8"/>
        <v>0</v>
      </c>
      <c r="AI88" s="48">
        <f t="shared" si="9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8"/>
        <v>0</v>
      </c>
      <c r="AI89" s="48">
        <f t="shared" si="9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8"/>
        <v>0</v>
      </c>
      <c r="AI90" s="48">
        <f t="shared" si="9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8"/>
        <v>0</v>
      </c>
      <c r="AI91" s="48">
        <f t="shared" si="9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8"/>
        <v>0</v>
      </c>
      <c r="AI92" s="48">
        <f t="shared" si="9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88"/>
      <c r="AH93" s="47">
        <f t="shared" si="8"/>
        <v>0</v>
      </c>
      <c r="AI93" s="48">
        <f t="shared" si="9"/>
        <v>0</v>
      </c>
      <c r="AK93" s="49"/>
    </row>
    <row r="94" spans="1:37" ht="15.75" thickBot="1" x14ac:dyDescent="0.3">
      <c r="A94" s="74" t="s">
        <v>102</v>
      </c>
      <c r="B94" s="60">
        <f t="shared" ref="B94:AF94" si="14">B78-B93</f>
        <v>492</v>
      </c>
      <c r="C94" s="60">
        <f t="shared" si="14"/>
        <v>483</v>
      </c>
      <c r="D94" s="60">
        <f t="shared" si="14"/>
        <v>490</v>
      </c>
      <c r="E94" s="60">
        <f t="shared" si="14"/>
        <v>454.8</v>
      </c>
      <c r="F94" s="60">
        <f t="shared" si="14"/>
        <v>471.2</v>
      </c>
      <c r="G94" s="60">
        <f t="shared" si="14"/>
        <v>452</v>
      </c>
      <c r="H94" s="60">
        <f t="shared" si="14"/>
        <v>470.5</v>
      </c>
      <c r="I94" s="60">
        <f t="shared" si="14"/>
        <v>469.5</v>
      </c>
      <c r="J94" s="60">
        <f t="shared" si="14"/>
        <v>467</v>
      </c>
      <c r="K94" s="60">
        <f t="shared" si="14"/>
        <v>307</v>
      </c>
      <c r="L94" s="60">
        <f t="shared" si="14"/>
        <v>301</v>
      </c>
      <c r="M94" s="60">
        <f t="shared" si="14"/>
        <v>331.1</v>
      </c>
      <c r="N94" s="60">
        <f t="shared" si="14"/>
        <v>493</v>
      </c>
      <c r="O94" s="60">
        <f t="shared" si="14"/>
        <v>531.1</v>
      </c>
      <c r="P94" s="60">
        <f t="shared" si="14"/>
        <v>569.1</v>
      </c>
      <c r="Q94" s="60">
        <f t="shared" si="14"/>
        <v>490.5</v>
      </c>
      <c r="R94" s="60">
        <f t="shared" si="14"/>
        <v>475.90000000000003</v>
      </c>
      <c r="S94" s="60">
        <f t="shared" si="14"/>
        <v>505.5</v>
      </c>
      <c r="T94" s="60">
        <f t="shared" si="14"/>
        <v>499</v>
      </c>
      <c r="U94" s="60">
        <f t="shared" si="14"/>
        <v>503.7</v>
      </c>
      <c r="V94" s="60">
        <f t="shared" si="14"/>
        <v>472.8</v>
      </c>
      <c r="W94" s="60">
        <f t="shared" si="14"/>
        <v>476.2</v>
      </c>
      <c r="X94" s="60">
        <f t="shared" si="14"/>
        <v>451.3</v>
      </c>
      <c r="Y94" s="60">
        <f t="shared" si="14"/>
        <v>487.1</v>
      </c>
      <c r="Z94" s="60">
        <f t="shared" si="14"/>
        <v>289.2</v>
      </c>
      <c r="AA94" s="60">
        <f t="shared" si="14"/>
        <v>0</v>
      </c>
      <c r="AB94" s="60">
        <f t="shared" si="14"/>
        <v>0</v>
      </c>
      <c r="AC94" s="60">
        <f t="shared" si="14"/>
        <v>0</v>
      </c>
      <c r="AD94" s="60">
        <f t="shared" si="14"/>
        <v>0</v>
      </c>
      <c r="AE94" s="60">
        <f t="shared" si="14"/>
        <v>0</v>
      </c>
      <c r="AF94" s="60">
        <f t="shared" si="14"/>
        <v>0</v>
      </c>
      <c r="AG94" s="88"/>
      <c r="AH94" s="47">
        <f t="shared" si="8"/>
        <v>569.1</v>
      </c>
      <c r="AI94" s="48">
        <f t="shared" si="9"/>
        <v>0</v>
      </c>
    </row>
    <row r="95" spans="1:37" x14ac:dyDescent="0.25">
      <c r="A95" s="100" t="s">
        <v>103</v>
      </c>
      <c r="B95" s="101">
        <v>50.164999999999999</v>
      </c>
      <c r="C95" s="101">
        <v>49.91</v>
      </c>
      <c r="D95" s="101">
        <v>50.01</v>
      </c>
      <c r="E95" s="101">
        <v>50.009</v>
      </c>
      <c r="F95" s="101">
        <v>50.009</v>
      </c>
      <c r="G95" s="101">
        <v>49.97</v>
      </c>
      <c r="H95" s="101">
        <v>50.003999999999998</v>
      </c>
      <c r="I95" s="101">
        <v>49.942999999999998</v>
      </c>
      <c r="J95" s="101">
        <v>49.94</v>
      </c>
      <c r="K95" s="101">
        <v>50.070999999999998</v>
      </c>
      <c r="L95" s="101">
        <v>50.076000000000001</v>
      </c>
      <c r="M95" s="101">
        <v>50.173000000000002</v>
      </c>
      <c r="N95" s="101">
        <v>50.110999999999997</v>
      </c>
      <c r="O95" s="101">
        <v>50.045000000000002</v>
      </c>
      <c r="P95" s="101">
        <v>50</v>
      </c>
      <c r="Q95" s="101">
        <v>49.984000000000002</v>
      </c>
      <c r="R95" s="101">
        <v>49.962000000000003</v>
      </c>
      <c r="S95" s="101">
        <v>50.003999999999998</v>
      </c>
      <c r="T95" s="101">
        <v>49.9</v>
      </c>
      <c r="U95" s="101">
        <v>49.905999999999999</v>
      </c>
      <c r="V95" s="101">
        <v>49.905999999999999</v>
      </c>
      <c r="W95" s="101">
        <v>50.034999999999997</v>
      </c>
      <c r="X95" s="101">
        <v>49.968000000000004</v>
      </c>
      <c r="Y95" s="101">
        <v>49.936999999999998</v>
      </c>
      <c r="Z95" s="101">
        <v>49.853999999999999</v>
      </c>
      <c r="AA95" s="101"/>
      <c r="AB95" s="101"/>
      <c r="AC95" s="101"/>
      <c r="AD95" s="101"/>
      <c r="AE95" s="101"/>
      <c r="AF95" s="101"/>
      <c r="AG95" s="102"/>
      <c r="AH95" s="47">
        <f t="shared" si="8"/>
        <v>50.173000000000002</v>
      </c>
      <c r="AI95" s="48">
        <f t="shared" si="9"/>
        <v>49.853999999999999</v>
      </c>
    </row>
    <row r="96" spans="1:37" x14ac:dyDescent="0.25">
      <c r="A96" s="103" t="s">
        <v>104</v>
      </c>
      <c r="B96" s="65">
        <v>128</v>
      </c>
      <c r="C96" s="65">
        <v>128</v>
      </c>
      <c r="D96" s="65">
        <v>128</v>
      </c>
      <c r="E96" s="65">
        <v>128.19999999999999</v>
      </c>
      <c r="F96" s="65">
        <v>128</v>
      </c>
      <c r="G96" s="65">
        <v>128.6</v>
      </c>
      <c r="H96" s="65">
        <v>127.1</v>
      </c>
      <c r="I96" s="65">
        <v>127.5</v>
      </c>
      <c r="J96" s="65">
        <v>126.4</v>
      </c>
      <c r="K96" s="65">
        <v>128.4</v>
      </c>
      <c r="L96" s="65">
        <v>126.5</v>
      </c>
      <c r="M96" s="65">
        <v>125.5</v>
      </c>
      <c r="N96" s="65">
        <v>126.8</v>
      </c>
      <c r="O96" s="65">
        <v>127.4</v>
      </c>
      <c r="P96" s="65">
        <v>127.4</v>
      </c>
      <c r="Q96" s="65">
        <v>127.8</v>
      </c>
      <c r="R96" s="65">
        <v>128</v>
      </c>
      <c r="S96" s="65">
        <v>126.5</v>
      </c>
      <c r="T96" s="65">
        <v>125.8</v>
      </c>
      <c r="U96" s="65">
        <v>125</v>
      </c>
      <c r="V96" s="65">
        <v>128.5</v>
      </c>
      <c r="W96" s="65">
        <v>129.5</v>
      </c>
      <c r="X96" s="65">
        <v>130</v>
      </c>
      <c r="Y96" s="65">
        <v>127.3</v>
      </c>
      <c r="Z96" s="65">
        <v>128.9</v>
      </c>
      <c r="AA96" s="65"/>
      <c r="AB96" s="65"/>
      <c r="AC96" s="65"/>
      <c r="AD96" s="65"/>
      <c r="AE96" s="65"/>
      <c r="AF96" s="65"/>
      <c r="AG96" s="104"/>
      <c r="AH96" s="47">
        <f t="shared" si="8"/>
        <v>130</v>
      </c>
      <c r="AI96" s="48">
        <f t="shared" si="9"/>
        <v>125</v>
      </c>
    </row>
    <row r="97" spans="1:35" x14ac:dyDescent="0.25">
      <c r="A97" s="103" t="s">
        <v>105</v>
      </c>
      <c r="B97" s="65">
        <v>132</v>
      </c>
      <c r="C97" s="65">
        <v>132</v>
      </c>
      <c r="D97" s="65">
        <v>132</v>
      </c>
      <c r="E97" s="65">
        <v>132.5</v>
      </c>
      <c r="F97" s="65">
        <v>132.30000000000001</v>
      </c>
      <c r="G97" s="65">
        <v>132.4</v>
      </c>
      <c r="H97" s="65">
        <v>130.9</v>
      </c>
      <c r="I97" s="65">
        <v>131.1</v>
      </c>
      <c r="J97" s="65">
        <v>129.9</v>
      </c>
      <c r="K97" s="65">
        <v>130.30000000000001</v>
      </c>
      <c r="L97" s="65">
        <v>128.6</v>
      </c>
      <c r="M97" s="65">
        <v>127.8</v>
      </c>
      <c r="N97" s="65">
        <v>129.30000000000001</v>
      </c>
      <c r="O97" s="65">
        <v>130.1</v>
      </c>
      <c r="P97" s="65">
        <v>130.1</v>
      </c>
      <c r="Q97" s="65">
        <v>130.9</v>
      </c>
      <c r="R97" s="65">
        <v>130.9</v>
      </c>
      <c r="S97" s="65">
        <v>129.4</v>
      </c>
      <c r="T97" s="65">
        <v>129</v>
      </c>
      <c r="U97" s="65">
        <v>128.5</v>
      </c>
      <c r="V97" s="65">
        <v>130.5</v>
      </c>
      <c r="W97" s="65">
        <v>130.9</v>
      </c>
      <c r="X97" s="65">
        <v>131.5</v>
      </c>
      <c r="Y97" s="65">
        <v>129.1</v>
      </c>
      <c r="Z97" s="65">
        <v>130.69999999999999</v>
      </c>
      <c r="AA97" s="65"/>
      <c r="AB97" s="65"/>
      <c r="AC97" s="65"/>
      <c r="AD97" s="65"/>
      <c r="AE97" s="65"/>
      <c r="AF97" s="65"/>
      <c r="AG97" s="104"/>
      <c r="AH97" s="47">
        <f t="shared" si="8"/>
        <v>132.5</v>
      </c>
      <c r="AI97" s="48">
        <f t="shared" si="9"/>
        <v>127.8</v>
      </c>
    </row>
    <row r="98" spans="1:35" x14ac:dyDescent="0.25">
      <c r="A98" s="103" t="s">
        <v>106</v>
      </c>
      <c r="B98" s="65">
        <v>132</v>
      </c>
      <c r="C98" s="65">
        <v>132</v>
      </c>
      <c r="D98" s="65">
        <v>133</v>
      </c>
      <c r="E98" s="65">
        <v>132.30000000000001</v>
      </c>
      <c r="F98" s="65">
        <v>132.1</v>
      </c>
      <c r="G98" s="65">
        <v>131.6</v>
      </c>
      <c r="H98" s="65">
        <v>131.5</v>
      </c>
      <c r="I98" s="65">
        <v>128.4</v>
      </c>
      <c r="J98" s="65">
        <v>127</v>
      </c>
      <c r="K98" s="65">
        <v>129.5</v>
      </c>
      <c r="L98" s="65">
        <v>126.9</v>
      </c>
      <c r="M98" s="65">
        <v>128.1</v>
      </c>
      <c r="N98" s="65">
        <v>126.6</v>
      </c>
      <c r="O98" s="65">
        <v>128.19999999999999</v>
      </c>
      <c r="P98" s="65">
        <v>128.19999999999999</v>
      </c>
      <c r="Q98" s="65">
        <v>129.19999999999999</v>
      </c>
      <c r="R98" s="65">
        <v>129.6</v>
      </c>
      <c r="S98" s="65">
        <v>126.1</v>
      </c>
      <c r="T98" s="65">
        <v>126.2</v>
      </c>
      <c r="U98" s="65">
        <v>127.7</v>
      </c>
      <c r="V98" s="65">
        <v>130.5</v>
      </c>
      <c r="W98" s="65">
        <v>130.9</v>
      </c>
      <c r="X98" s="65">
        <v>130.30000000000001</v>
      </c>
      <c r="Y98" s="65">
        <v>127.9</v>
      </c>
      <c r="Z98" s="65">
        <v>130.9</v>
      </c>
      <c r="AA98" s="65"/>
      <c r="AB98" s="65"/>
      <c r="AC98" s="65"/>
      <c r="AD98" s="65"/>
      <c r="AE98" s="65"/>
      <c r="AF98" s="65"/>
      <c r="AG98" s="104"/>
      <c r="AH98" s="47">
        <f t="shared" si="8"/>
        <v>133</v>
      </c>
      <c r="AI98" s="48">
        <f t="shared" si="9"/>
        <v>126.1</v>
      </c>
    </row>
    <row r="99" spans="1:35" x14ac:dyDescent="0.25">
      <c r="A99" s="105" t="s">
        <v>107</v>
      </c>
      <c r="B99" s="65">
        <v>134</v>
      </c>
      <c r="C99" s="65">
        <v>134</v>
      </c>
      <c r="D99" s="65">
        <v>135</v>
      </c>
      <c r="E99" s="65">
        <v>135.30000000000001</v>
      </c>
      <c r="F99" s="65">
        <v>135.19999999999999</v>
      </c>
      <c r="G99" s="65">
        <v>134</v>
      </c>
      <c r="H99" s="65">
        <v>134.5</v>
      </c>
      <c r="I99" s="65">
        <v>131.4</v>
      </c>
      <c r="J99" s="65">
        <v>130.6</v>
      </c>
      <c r="K99" s="65">
        <v>131.9</v>
      </c>
      <c r="L99" s="65">
        <v>128</v>
      </c>
      <c r="M99" s="65">
        <v>131.4</v>
      </c>
      <c r="N99" s="65">
        <v>129.4</v>
      </c>
      <c r="O99" s="65">
        <v>130.69999999999999</v>
      </c>
      <c r="P99" s="65">
        <v>130.69999999999999</v>
      </c>
      <c r="Q99" s="65">
        <v>131.1</v>
      </c>
      <c r="R99" s="65">
        <v>133.4</v>
      </c>
      <c r="S99" s="65">
        <v>128.69999999999999</v>
      </c>
      <c r="T99" s="65">
        <v>130.19999999999999</v>
      </c>
      <c r="U99" s="65">
        <v>131.5</v>
      </c>
      <c r="V99" s="65">
        <v>131.30000000000001</v>
      </c>
      <c r="W99" s="65">
        <v>131.4</v>
      </c>
      <c r="X99" s="65">
        <v>131</v>
      </c>
      <c r="Y99" s="65">
        <v>130.6</v>
      </c>
      <c r="Z99" s="65">
        <v>132.19999999999999</v>
      </c>
      <c r="AA99" s="65"/>
      <c r="AB99" s="65"/>
      <c r="AC99" s="65"/>
      <c r="AD99" s="65"/>
      <c r="AE99" s="65"/>
      <c r="AF99" s="65"/>
      <c r="AG99" s="104"/>
      <c r="AH99" s="47">
        <f t="shared" si="8"/>
        <v>135.30000000000001</v>
      </c>
      <c r="AI99" s="48">
        <f t="shared" si="9"/>
        <v>128</v>
      </c>
    </row>
    <row r="100" spans="1:35" x14ac:dyDescent="0.25">
      <c r="A100" s="105" t="s">
        <v>108</v>
      </c>
      <c r="B100" s="106">
        <v>133</v>
      </c>
      <c r="C100" s="106">
        <v>133</v>
      </c>
      <c r="D100" s="106">
        <v>132</v>
      </c>
      <c r="E100" s="106">
        <v>132.1</v>
      </c>
      <c r="F100" s="106">
        <v>132.80000000000001</v>
      </c>
      <c r="G100" s="106">
        <v>133.30000000000001</v>
      </c>
      <c r="H100" s="106">
        <v>133.30000000000001</v>
      </c>
      <c r="I100" s="106">
        <v>133.69999999999999</v>
      </c>
      <c r="J100" s="106">
        <v>132.6</v>
      </c>
      <c r="K100" s="106">
        <v>135.9</v>
      </c>
      <c r="L100" s="106">
        <v>134.30000000000001</v>
      </c>
      <c r="M100" s="106">
        <v>132.30000000000001</v>
      </c>
      <c r="N100" s="106">
        <v>130.69999999999999</v>
      </c>
      <c r="O100" s="106">
        <v>131.1</v>
      </c>
      <c r="P100" s="106">
        <v>131.1</v>
      </c>
      <c r="Q100" s="106">
        <v>131.6</v>
      </c>
      <c r="R100" s="106">
        <v>132.19999999999999</v>
      </c>
      <c r="S100" s="106">
        <v>133</v>
      </c>
      <c r="T100" s="106">
        <v>133.69999999999999</v>
      </c>
      <c r="U100" s="106">
        <v>132.69999999999999</v>
      </c>
      <c r="V100" s="106">
        <v>136.6</v>
      </c>
      <c r="W100" s="106">
        <v>135.69999999999999</v>
      </c>
      <c r="X100" s="106">
        <v>134.4</v>
      </c>
      <c r="Y100" s="106">
        <v>130.9</v>
      </c>
      <c r="Z100" s="106">
        <v>135.69999999999999</v>
      </c>
      <c r="AA100" s="106"/>
      <c r="AB100" s="106"/>
      <c r="AC100" s="106"/>
      <c r="AD100" s="106"/>
      <c r="AE100" s="106"/>
      <c r="AF100" s="106"/>
      <c r="AG100" s="107"/>
      <c r="AH100" s="47">
        <f t="shared" si="8"/>
        <v>136.6</v>
      </c>
      <c r="AI100" s="48">
        <f t="shared" si="9"/>
        <v>130.69999999999999</v>
      </c>
    </row>
    <row r="101" spans="1:35" x14ac:dyDescent="0.25">
      <c r="A101" s="103" t="s">
        <v>109</v>
      </c>
      <c r="B101" s="65">
        <v>133</v>
      </c>
      <c r="C101" s="65">
        <v>133</v>
      </c>
      <c r="D101" s="65">
        <v>138</v>
      </c>
      <c r="E101" s="65">
        <v>138.69999999999999</v>
      </c>
      <c r="F101" s="65">
        <v>137.1</v>
      </c>
      <c r="G101" s="65">
        <v>135.4</v>
      </c>
      <c r="H101" s="65">
        <v>139.6</v>
      </c>
      <c r="I101" s="65">
        <v>134.80000000000001</v>
      </c>
      <c r="J101" s="65">
        <v>132</v>
      </c>
      <c r="K101" s="65">
        <v>133.4</v>
      </c>
      <c r="L101" s="65">
        <v>130.4</v>
      </c>
      <c r="M101" s="65">
        <v>130.19999999999999</v>
      </c>
      <c r="N101" s="65">
        <v>128.80000000000001</v>
      </c>
      <c r="O101" s="65">
        <v>126.3</v>
      </c>
      <c r="P101" s="65">
        <v>126.3</v>
      </c>
      <c r="Q101" s="65">
        <v>134.1</v>
      </c>
      <c r="R101" s="65">
        <v>134.6</v>
      </c>
      <c r="S101" s="65">
        <v>134.19999999999999</v>
      </c>
      <c r="T101" s="65">
        <v>127.8</v>
      </c>
      <c r="U101" s="65">
        <v>129.6</v>
      </c>
      <c r="V101" s="65">
        <v>134</v>
      </c>
      <c r="W101" s="65">
        <v>135.30000000000001</v>
      </c>
      <c r="X101" s="65">
        <v>136.5</v>
      </c>
      <c r="Y101" s="65">
        <v>136</v>
      </c>
      <c r="Z101" s="65">
        <v>136</v>
      </c>
      <c r="AA101" s="65"/>
      <c r="AB101" s="65"/>
      <c r="AC101" s="65"/>
      <c r="AD101" s="65"/>
      <c r="AE101" s="65"/>
      <c r="AF101" s="65"/>
      <c r="AG101" s="104"/>
      <c r="AH101" s="47">
        <f t="shared" si="8"/>
        <v>139.6</v>
      </c>
      <c r="AI101" s="48">
        <f t="shared" si="9"/>
        <v>126.3</v>
      </c>
    </row>
    <row r="102" spans="1:35" ht="15.75" thickBot="1" x14ac:dyDescent="0.3">
      <c r="A102" s="103" t="s">
        <v>110</v>
      </c>
      <c r="B102" s="92">
        <v>66.3</v>
      </c>
      <c r="C102" s="92">
        <v>66.3</v>
      </c>
      <c r="D102" s="92">
        <v>66.599999999999994</v>
      </c>
      <c r="E102" s="92">
        <v>66.8</v>
      </c>
      <c r="F102" s="92">
        <v>66.8</v>
      </c>
      <c r="G102" s="92">
        <v>66.5</v>
      </c>
      <c r="H102" s="92">
        <v>65.900000000000006</v>
      </c>
      <c r="I102" s="92">
        <v>65.8</v>
      </c>
      <c r="J102" s="92">
        <v>65</v>
      </c>
      <c r="K102" s="92">
        <v>65.3</v>
      </c>
      <c r="L102" s="92">
        <v>64.5</v>
      </c>
      <c r="M102" s="92">
        <v>64</v>
      </c>
      <c r="N102" s="92">
        <v>64.7</v>
      </c>
      <c r="O102" s="92">
        <v>65.099999999999994</v>
      </c>
      <c r="P102" s="92">
        <v>65.099999999999994</v>
      </c>
      <c r="Q102" s="92">
        <v>65.599999999999994</v>
      </c>
      <c r="R102" s="92">
        <v>65.400000000000006</v>
      </c>
      <c r="S102" s="92">
        <v>65</v>
      </c>
      <c r="T102" s="92">
        <v>64.7</v>
      </c>
      <c r="U102" s="92">
        <v>64.400000000000006</v>
      </c>
      <c r="V102" s="92">
        <v>65.3</v>
      </c>
      <c r="W102" s="92">
        <v>65.599999999999994</v>
      </c>
      <c r="X102" s="92">
        <v>66</v>
      </c>
      <c r="Y102" s="92">
        <v>64.8</v>
      </c>
      <c r="Z102" s="92">
        <v>65.400000000000006</v>
      </c>
      <c r="AA102" s="92"/>
      <c r="AB102" s="92"/>
      <c r="AC102" s="92"/>
      <c r="AD102" s="92"/>
      <c r="AE102" s="92"/>
      <c r="AF102" s="92"/>
      <c r="AG102" s="108"/>
      <c r="AH102" s="47">
        <f t="shared" si="8"/>
        <v>66.8</v>
      </c>
      <c r="AI102" s="48">
        <f t="shared" si="9"/>
        <v>64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8"/>
        <v>0</v>
      </c>
      <c r="AI103" s="48">
        <f t="shared" si="9"/>
        <v>0</v>
      </c>
    </row>
    <row r="104" spans="1:35" ht="15.75" thickBot="1" x14ac:dyDescent="0.3">
      <c r="A104" s="110" t="s">
        <v>112</v>
      </c>
      <c r="B104" s="111">
        <f t="shared" ref="B104:AF104" si="15">SUM(B16,B22,B25:B26,B52,B54:B55,B57,B59,B105:B109,B131,B137,B143,B152,B154,B166,B173,B176:B177,B184,B186,B188,B192:B194,B196:B198,B203,B209:B210,B212:B214,B222,B227)</f>
        <v>146.19999999999999</v>
      </c>
      <c r="C104" s="111">
        <f t="shared" si="15"/>
        <v>139.13999999999999</v>
      </c>
      <c r="D104" s="111">
        <f t="shared" si="15"/>
        <v>126.45</v>
      </c>
      <c r="E104" s="111">
        <f t="shared" si="15"/>
        <v>121.74000000000001</v>
      </c>
      <c r="F104" s="111">
        <f t="shared" si="15"/>
        <v>132.63999999999999</v>
      </c>
      <c r="G104" s="111">
        <f t="shared" si="15"/>
        <v>151.64000000000001</v>
      </c>
      <c r="H104" s="111">
        <f t="shared" si="15"/>
        <v>180.14</v>
      </c>
      <c r="I104" s="111">
        <f t="shared" si="15"/>
        <v>207.14000000000001</v>
      </c>
      <c r="J104" s="111">
        <f t="shared" si="15"/>
        <v>253.64</v>
      </c>
      <c r="K104" s="111">
        <f t="shared" si="15"/>
        <v>313.94</v>
      </c>
      <c r="L104" s="111">
        <f t="shared" si="15"/>
        <v>339.04</v>
      </c>
      <c r="M104" s="111">
        <f t="shared" si="15"/>
        <v>357.04</v>
      </c>
      <c r="N104" s="111">
        <f t="shared" si="15"/>
        <v>342.54</v>
      </c>
      <c r="O104" s="111">
        <f t="shared" si="15"/>
        <v>328.74</v>
      </c>
      <c r="P104" s="111">
        <v>42</v>
      </c>
      <c r="Q104" s="111">
        <f t="shared" si="15"/>
        <v>253.50000000000003</v>
      </c>
      <c r="R104" s="111">
        <f t="shared" si="15"/>
        <v>250.89999999999998</v>
      </c>
      <c r="S104" s="111">
        <f t="shared" si="15"/>
        <v>263.3</v>
      </c>
      <c r="T104" s="111">
        <f t="shared" si="15"/>
        <v>269.89999999999998</v>
      </c>
      <c r="U104" s="111">
        <f t="shared" si="15"/>
        <v>276.5</v>
      </c>
      <c r="V104" s="111">
        <f t="shared" si="15"/>
        <v>297.3</v>
      </c>
      <c r="W104" s="111">
        <f t="shared" si="15"/>
        <v>322.3</v>
      </c>
      <c r="X104" s="111">
        <f t="shared" si="15"/>
        <v>365.8</v>
      </c>
      <c r="Y104" s="111">
        <f t="shared" si="15"/>
        <v>404.6</v>
      </c>
      <c r="Z104" s="111">
        <f t="shared" si="15"/>
        <v>402.2</v>
      </c>
      <c r="AA104" s="111">
        <f t="shared" si="15"/>
        <v>0</v>
      </c>
      <c r="AB104" s="111">
        <f t="shared" si="15"/>
        <v>0</v>
      </c>
      <c r="AC104" s="111">
        <f t="shared" si="15"/>
        <v>0</v>
      </c>
      <c r="AD104" s="111">
        <f t="shared" si="15"/>
        <v>0</v>
      </c>
      <c r="AE104" s="111">
        <f t="shared" si="15"/>
        <v>0</v>
      </c>
      <c r="AF104" s="111">
        <f t="shared" si="15"/>
        <v>0</v>
      </c>
      <c r="AG104" s="112"/>
      <c r="AH104" s="47">
        <f t="shared" si="8"/>
        <v>404.6</v>
      </c>
      <c r="AI104" s="48">
        <f t="shared" si="9"/>
        <v>0</v>
      </c>
    </row>
    <row r="105" spans="1:35" x14ac:dyDescent="0.25">
      <c r="A105" s="100" t="s">
        <v>113</v>
      </c>
      <c r="B105" s="113">
        <v>-10</v>
      </c>
      <c r="C105" s="113">
        <v>-18</v>
      </c>
      <c r="D105" s="113">
        <v>-16</v>
      </c>
      <c r="E105" s="113">
        <v>-19</v>
      </c>
      <c r="F105" s="113">
        <v>-14</v>
      </c>
      <c r="G105" s="113">
        <v>-12.1</v>
      </c>
      <c r="H105" s="113">
        <v>0</v>
      </c>
      <c r="I105" s="113">
        <v>4.9000000000000004</v>
      </c>
      <c r="J105" s="113">
        <v>26.3</v>
      </c>
      <c r="K105" s="113">
        <v>37.9</v>
      </c>
      <c r="L105" s="113">
        <v>36.700000000000003</v>
      </c>
      <c r="M105" s="113">
        <v>29.8</v>
      </c>
      <c r="N105" s="113">
        <v>20.3</v>
      </c>
      <c r="O105" s="113">
        <v>17.399999999999999</v>
      </c>
      <c r="P105" s="113">
        <v>17.399999999999999</v>
      </c>
      <c r="Q105" s="113">
        <v>15.3</v>
      </c>
      <c r="R105" s="113">
        <v>11.8</v>
      </c>
      <c r="S105" s="113">
        <v>6.7</v>
      </c>
      <c r="T105" s="113">
        <v>10.5</v>
      </c>
      <c r="U105" s="113">
        <v>12.9</v>
      </c>
      <c r="V105" s="113">
        <v>7.7</v>
      </c>
      <c r="W105" s="113">
        <v>14.2</v>
      </c>
      <c r="X105" s="113">
        <v>23.5</v>
      </c>
      <c r="Y105" s="113">
        <v>23</v>
      </c>
      <c r="Z105" s="113">
        <v>21</v>
      </c>
      <c r="AA105" s="113"/>
      <c r="AB105" s="113"/>
      <c r="AC105" s="113"/>
      <c r="AD105" s="113"/>
      <c r="AE105" s="113"/>
      <c r="AF105" s="113"/>
      <c r="AG105" s="114">
        <v>75</v>
      </c>
      <c r="AH105" s="47">
        <f t="shared" si="8"/>
        <v>37.9</v>
      </c>
      <c r="AI105" s="48">
        <f t="shared" si="9"/>
        <v>-19</v>
      </c>
    </row>
    <row r="106" spans="1:35" x14ac:dyDescent="0.25">
      <c r="A106" s="103" t="s">
        <v>114</v>
      </c>
      <c r="B106" s="115">
        <v>-7</v>
      </c>
      <c r="C106" s="115">
        <v>-18</v>
      </c>
      <c r="D106" s="115">
        <v>-16.690000000000001</v>
      </c>
      <c r="E106" s="115">
        <v>-19.8</v>
      </c>
      <c r="F106" s="115">
        <v>-14</v>
      </c>
      <c r="G106" s="115">
        <v>-12.6</v>
      </c>
      <c r="H106" s="115">
        <v>1.6</v>
      </c>
      <c r="I106" s="115">
        <v>10.9</v>
      </c>
      <c r="J106" s="115">
        <v>36.6</v>
      </c>
      <c r="K106" s="115">
        <v>48.8</v>
      </c>
      <c r="L106" s="115">
        <v>44.2</v>
      </c>
      <c r="M106" s="115">
        <v>32.700000000000003</v>
      </c>
      <c r="N106" s="115">
        <v>21.1</v>
      </c>
      <c r="O106" s="115">
        <v>16.899999999999999</v>
      </c>
      <c r="P106" s="115">
        <v>16.899999999999999</v>
      </c>
      <c r="Q106" s="115">
        <v>15.3</v>
      </c>
      <c r="R106" s="115">
        <v>11.1</v>
      </c>
      <c r="S106" s="115">
        <v>7.9</v>
      </c>
      <c r="T106" s="115">
        <v>8.8000000000000007</v>
      </c>
      <c r="U106" s="115">
        <v>9.8000000000000007</v>
      </c>
      <c r="V106" s="115">
        <v>10</v>
      </c>
      <c r="W106" s="115">
        <v>14.5</v>
      </c>
      <c r="X106" s="115">
        <v>27.4</v>
      </c>
      <c r="Y106" s="115">
        <v>25</v>
      </c>
      <c r="Z106" s="115">
        <v>22.6</v>
      </c>
      <c r="AA106" s="115"/>
      <c r="AB106" s="115"/>
      <c r="AC106" s="115"/>
      <c r="AD106" s="115"/>
      <c r="AE106" s="115"/>
      <c r="AF106" s="115"/>
      <c r="AG106" s="114">
        <v>240</v>
      </c>
      <c r="AH106" s="47">
        <f t="shared" si="8"/>
        <v>48.8</v>
      </c>
      <c r="AI106" s="48">
        <f t="shared" si="9"/>
        <v>-19.8</v>
      </c>
    </row>
    <row r="107" spans="1:35" x14ac:dyDescent="0.25">
      <c r="A107" s="103" t="s">
        <v>115</v>
      </c>
      <c r="B107" s="115">
        <v>-30</v>
      </c>
      <c r="C107" s="115">
        <v>-23</v>
      </c>
      <c r="D107" s="115">
        <v>-33</v>
      </c>
      <c r="E107" s="115">
        <v>-30</v>
      </c>
      <c r="F107" s="115">
        <v>-30</v>
      </c>
      <c r="G107" s="115">
        <v>-23</v>
      </c>
      <c r="H107" s="115">
        <v>-23</v>
      </c>
      <c r="I107" s="115">
        <v>-12</v>
      </c>
      <c r="J107" s="115">
        <v>-15</v>
      </c>
      <c r="K107" s="115">
        <v>11</v>
      </c>
      <c r="L107" s="115">
        <f>28+32</f>
        <v>60</v>
      </c>
      <c r="M107" s="115">
        <f>37.4+39.9</f>
        <v>77.3</v>
      </c>
      <c r="N107" s="115">
        <v>65</v>
      </c>
      <c r="O107" s="115">
        <v>57</v>
      </c>
      <c r="P107" s="115">
        <v>57</v>
      </c>
      <c r="Q107" s="115">
        <v>1.4</v>
      </c>
      <c r="R107" s="115">
        <v>4.0999999999999996</v>
      </c>
      <c r="S107" s="115">
        <v>7</v>
      </c>
      <c r="T107" s="115">
        <v>-5</v>
      </c>
      <c r="U107" s="115">
        <v>-7.6</v>
      </c>
      <c r="V107" s="115">
        <v>22</v>
      </c>
      <c r="W107" s="115">
        <v>42</v>
      </c>
      <c r="X107" s="115">
        <v>74</v>
      </c>
      <c r="Y107" s="115">
        <v>93</v>
      </c>
      <c r="Z107" s="115">
        <v>94</v>
      </c>
      <c r="AA107" s="115"/>
      <c r="AB107" s="115"/>
      <c r="AC107" s="115"/>
      <c r="AD107" s="115"/>
      <c r="AE107" s="115"/>
      <c r="AF107" s="115"/>
      <c r="AG107" s="114">
        <v>240</v>
      </c>
      <c r="AH107" s="47">
        <f t="shared" si="8"/>
        <v>94</v>
      </c>
      <c r="AI107" s="48">
        <f t="shared" si="9"/>
        <v>-33</v>
      </c>
    </row>
    <row r="108" spans="1:35" x14ac:dyDescent="0.25">
      <c r="A108" s="103" t="s">
        <v>116</v>
      </c>
      <c r="B108" s="115">
        <v>-5</v>
      </c>
      <c r="C108" s="115">
        <v>-3</v>
      </c>
      <c r="D108" s="115">
        <v>-7</v>
      </c>
      <c r="E108" s="115">
        <v>-5.3</v>
      </c>
      <c r="F108" s="115">
        <v>-8</v>
      </c>
      <c r="G108" s="115">
        <v>-3.3</v>
      </c>
      <c r="H108" s="115">
        <v>-2.8</v>
      </c>
      <c r="I108" s="115">
        <v>-1.3</v>
      </c>
      <c r="J108" s="115">
        <v>4.0999999999999996</v>
      </c>
      <c r="K108" s="115">
        <v>13</v>
      </c>
      <c r="L108" s="115">
        <v>22.5</v>
      </c>
      <c r="M108" s="115">
        <v>25.6</v>
      </c>
      <c r="N108" s="115">
        <v>25.5</v>
      </c>
      <c r="O108" s="115">
        <v>21.6</v>
      </c>
      <c r="P108" s="115">
        <v>21.6</v>
      </c>
      <c r="Q108" s="115">
        <v>32.700000000000003</v>
      </c>
      <c r="R108" s="115">
        <v>36.200000000000003</v>
      </c>
      <c r="S108" s="115">
        <v>31</v>
      </c>
      <c r="T108" s="115">
        <v>40</v>
      </c>
      <c r="U108" s="115">
        <v>42.1</v>
      </c>
      <c r="V108" s="115">
        <v>48</v>
      </c>
      <c r="W108" s="115">
        <v>40</v>
      </c>
      <c r="X108" s="115">
        <v>45.3</v>
      </c>
      <c r="Y108" s="115">
        <v>58</v>
      </c>
      <c r="Z108" s="115">
        <v>61</v>
      </c>
      <c r="AA108" s="115"/>
      <c r="AB108" s="115"/>
      <c r="AC108" s="115"/>
      <c r="AD108" s="115"/>
      <c r="AE108" s="115"/>
      <c r="AF108" s="115"/>
      <c r="AG108" s="114">
        <v>60</v>
      </c>
      <c r="AH108" s="47">
        <f t="shared" si="8"/>
        <v>61</v>
      </c>
      <c r="AI108" s="48">
        <f t="shared" si="9"/>
        <v>-8</v>
      </c>
    </row>
    <row r="109" spans="1:35" x14ac:dyDescent="0.25">
      <c r="A109" s="116" t="s">
        <v>117</v>
      </c>
      <c r="B109" s="117">
        <v>100</v>
      </c>
      <c r="C109" s="117">
        <v>102</v>
      </c>
      <c r="D109" s="117">
        <v>100</v>
      </c>
      <c r="E109" s="117">
        <v>96.7</v>
      </c>
      <c r="F109" s="117">
        <v>99.5</v>
      </c>
      <c r="G109" s="117">
        <v>103.5</v>
      </c>
      <c r="H109" s="117">
        <v>105.2</v>
      </c>
      <c r="I109" s="117">
        <v>101.5</v>
      </c>
      <c r="J109" s="117">
        <v>98.5</v>
      </c>
      <c r="K109" s="117">
        <v>100.1</v>
      </c>
      <c r="L109" s="117">
        <v>72.5</v>
      </c>
      <c r="M109" s="117">
        <v>91</v>
      </c>
      <c r="N109" s="117">
        <v>108</v>
      </c>
      <c r="O109" s="117">
        <v>111.2</v>
      </c>
      <c r="P109" s="117">
        <v>111.2</v>
      </c>
      <c r="Q109" s="117">
        <v>81.099999999999994</v>
      </c>
      <c r="R109" s="117">
        <v>80</v>
      </c>
      <c r="S109" s="117">
        <v>103</v>
      </c>
      <c r="T109" s="117">
        <v>110</v>
      </c>
      <c r="U109" s="117">
        <v>113.7</v>
      </c>
      <c r="V109" s="117">
        <v>104</v>
      </c>
      <c r="W109" s="117">
        <v>106</v>
      </c>
      <c r="X109" s="117">
        <v>90</v>
      </c>
      <c r="Y109" s="117">
        <v>108</v>
      </c>
      <c r="Z109" s="117">
        <v>106</v>
      </c>
      <c r="AA109" s="117"/>
      <c r="AB109" s="117"/>
      <c r="AC109" s="117"/>
      <c r="AD109" s="117"/>
      <c r="AE109" s="117"/>
      <c r="AF109" s="117"/>
      <c r="AG109" s="118">
        <v>120</v>
      </c>
      <c r="AH109" s="47">
        <f t="shared" si="8"/>
        <v>113.7</v>
      </c>
      <c r="AI109" s="48">
        <f t="shared" si="9"/>
        <v>72.5</v>
      </c>
    </row>
    <row r="110" spans="1:35" x14ac:dyDescent="0.25">
      <c r="A110" s="116" t="s">
        <v>118</v>
      </c>
      <c r="B110" s="117">
        <v>102</v>
      </c>
      <c r="C110" s="117">
        <v>104</v>
      </c>
      <c r="D110" s="117">
        <v>101</v>
      </c>
      <c r="E110" s="117">
        <v>99.5</v>
      </c>
      <c r="F110" s="117">
        <v>103</v>
      </c>
      <c r="G110" s="117">
        <v>105.9</v>
      </c>
      <c r="H110" s="117">
        <v>103</v>
      </c>
      <c r="I110" s="117">
        <v>94.2</v>
      </c>
      <c r="J110" s="117">
        <v>85.6</v>
      </c>
      <c r="K110" s="117">
        <v>72.3</v>
      </c>
      <c r="L110" s="117">
        <v>78.599999999999994</v>
      </c>
      <c r="M110" s="117">
        <v>98.6</v>
      </c>
      <c r="N110" s="117">
        <v>93</v>
      </c>
      <c r="O110" s="117">
        <v>87.9</v>
      </c>
      <c r="P110" s="117">
        <v>87.9</v>
      </c>
      <c r="Q110" s="117">
        <v>104</v>
      </c>
      <c r="R110" s="117">
        <v>103.7</v>
      </c>
      <c r="S110" s="117">
        <v>92</v>
      </c>
      <c r="T110" s="117">
        <v>100</v>
      </c>
      <c r="U110" s="117">
        <v>103.4</v>
      </c>
      <c r="V110" s="117">
        <v>87</v>
      </c>
      <c r="W110" s="117">
        <v>80</v>
      </c>
      <c r="X110" s="117">
        <v>77</v>
      </c>
      <c r="Y110" s="117">
        <v>90</v>
      </c>
      <c r="Z110" s="117">
        <v>90.2</v>
      </c>
      <c r="AA110" s="117"/>
      <c r="AB110" s="117"/>
      <c r="AC110" s="117"/>
      <c r="AD110" s="117"/>
      <c r="AE110" s="117"/>
      <c r="AF110" s="117"/>
      <c r="AG110" s="118"/>
      <c r="AH110" s="47">
        <f t="shared" si="8"/>
        <v>105.9</v>
      </c>
      <c r="AI110" s="48">
        <f t="shared" si="9"/>
        <v>72.3</v>
      </c>
    </row>
    <row r="111" spans="1:35" x14ac:dyDescent="0.25">
      <c r="A111" s="116" t="s">
        <v>119</v>
      </c>
      <c r="B111" s="117">
        <v>38</v>
      </c>
      <c r="C111" s="117">
        <v>103</v>
      </c>
      <c r="D111" s="117">
        <v>43</v>
      </c>
      <c r="E111" s="117">
        <v>44</v>
      </c>
      <c r="F111" s="117">
        <v>44.5</v>
      </c>
      <c r="G111" s="117">
        <v>42.5</v>
      </c>
      <c r="H111" s="117">
        <v>39.1</v>
      </c>
      <c r="I111" s="117">
        <v>26</v>
      </c>
      <c r="J111" s="117">
        <v>18.3</v>
      </c>
      <c r="K111" s="117">
        <v>3.7</v>
      </c>
      <c r="L111" s="117">
        <v>4.7</v>
      </c>
      <c r="M111" s="117">
        <v>6.8</v>
      </c>
      <c r="N111" s="117">
        <v>18.600000000000001</v>
      </c>
      <c r="O111" s="117">
        <v>24.5</v>
      </c>
      <c r="P111" s="117">
        <v>24.5</v>
      </c>
      <c r="Q111" s="117">
        <v>0</v>
      </c>
      <c r="R111" s="117">
        <v>0</v>
      </c>
      <c r="S111" s="117">
        <v>29</v>
      </c>
      <c r="T111" s="117">
        <v>28</v>
      </c>
      <c r="U111" s="117">
        <v>31.4</v>
      </c>
      <c r="V111" s="117">
        <v>33</v>
      </c>
      <c r="W111" s="117">
        <v>24</v>
      </c>
      <c r="X111" s="117">
        <v>14.2</v>
      </c>
      <c r="Y111" s="117">
        <v>18</v>
      </c>
      <c r="Z111" s="117">
        <v>24</v>
      </c>
      <c r="AA111" s="117"/>
      <c r="AB111" s="117"/>
      <c r="AC111" s="117"/>
      <c r="AD111" s="117"/>
      <c r="AE111" s="117"/>
      <c r="AF111" s="117"/>
      <c r="AG111" s="119"/>
      <c r="AH111" s="47">
        <f t="shared" si="8"/>
        <v>103</v>
      </c>
      <c r="AI111" s="48">
        <f t="shared" si="9"/>
        <v>0</v>
      </c>
    </row>
    <row r="112" spans="1:35" x14ac:dyDescent="0.25">
      <c r="A112" s="120" t="s">
        <v>120</v>
      </c>
      <c r="B112" s="106">
        <v>16</v>
      </c>
      <c r="C112" s="106">
        <v>19</v>
      </c>
      <c r="D112" s="106">
        <v>22</v>
      </c>
      <c r="E112" s="106">
        <v>23.9</v>
      </c>
      <c r="F112" s="106">
        <v>22.3</v>
      </c>
      <c r="G112" s="106">
        <v>19.5</v>
      </c>
      <c r="H112" s="106">
        <v>10.3</v>
      </c>
      <c r="I112" s="106">
        <v>0</v>
      </c>
      <c r="J112" s="106">
        <v>-20.2</v>
      </c>
      <c r="K112" s="106">
        <v>-33.5</v>
      </c>
      <c r="L112" s="106">
        <v>-37</v>
      </c>
      <c r="M112" s="106">
        <v>28.7</v>
      </c>
      <c r="N112" s="106">
        <v>-38.5</v>
      </c>
      <c r="O112" s="106">
        <v>-29.5</v>
      </c>
      <c r="P112" s="106">
        <v>-29.5</v>
      </c>
      <c r="Q112" s="106">
        <v>-18</v>
      </c>
      <c r="R112" s="106">
        <v>-20.399999999999999</v>
      </c>
      <c r="S112" s="106">
        <v>-17</v>
      </c>
      <c r="T112" s="106">
        <v>-20</v>
      </c>
      <c r="U112" s="106">
        <v>-17.399999999999999</v>
      </c>
      <c r="V112" s="106">
        <v>-36</v>
      </c>
      <c r="W112" s="106">
        <v>-50</v>
      </c>
      <c r="X112" s="106">
        <v>-59</v>
      </c>
      <c r="Y112" s="106">
        <v>-65</v>
      </c>
      <c r="Z112" s="106">
        <v>-55</v>
      </c>
      <c r="AA112" s="106"/>
      <c r="AB112" s="106"/>
      <c r="AC112" s="106"/>
      <c r="AD112" s="106"/>
      <c r="AE112" s="106"/>
      <c r="AF112" s="106"/>
      <c r="AG112" s="119"/>
      <c r="AH112" s="47">
        <f t="shared" si="8"/>
        <v>28.7</v>
      </c>
      <c r="AI112" s="48">
        <f t="shared" si="9"/>
        <v>-65</v>
      </c>
    </row>
    <row r="113" spans="1:37" ht="15.75" thickBot="1" x14ac:dyDescent="0.3">
      <c r="A113" s="120" t="s">
        <v>715</v>
      </c>
      <c r="B113" s="106">
        <v>67</v>
      </c>
      <c r="C113" s="106">
        <v>61</v>
      </c>
      <c r="D113" s="106">
        <v>62</v>
      </c>
      <c r="E113" s="106">
        <v>63.5</v>
      </c>
      <c r="F113" s="106">
        <v>60.2</v>
      </c>
      <c r="G113" s="106">
        <v>63.9</v>
      </c>
      <c r="H113" s="106">
        <v>68.7</v>
      </c>
      <c r="I113" s="106">
        <v>79</v>
      </c>
      <c r="J113" s="106">
        <v>81.3</v>
      </c>
      <c r="K113" s="106">
        <v>72.5</v>
      </c>
      <c r="L113" s="106">
        <v>80.900000000000006</v>
      </c>
      <c r="M113" s="106">
        <v>80.599999999999994</v>
      </c>
      <c r="N113" s="106">
        <v>87.5</v>
      </c>
      <c r="O113" s="106">
        <v>92.2</v>
      </c>
      <c r="P113" s="106">
        <v>90</v>
      </c>
      <c r="Q113" s="106">
        <v>89.9</v>
      </c>
      <c r="R113" s="106">
        <v>90.2</v>
      </c>
      <c r="S113" s="106">
        <v>95</v>
      </c>
      <c r="T113" s="106">
        <v>101</v>
      </c>
      <c r="U113" s="106">
        <v>96</v>
      </c>
      <c r="V113" s="106">
        <v>88</v>
      </c>
      <c r="W113" s="106">
        <v>97</v>
      </c>
      <c r="X113" s="106">
        <v>94</v>
      </c>
      <c r="Y113" s="106">
        <v>103</v>
      </c>
      <c r="Z113" s="106">
        <v>80</v>
      </c>
      <c r="AA113" s="106"/>
      <c r="AB113" s="106"/>
      <c r="AC113" s="106"/>
      <c r="AD113" s="106"/>
      <c r="AE113" s="106"/>
      <c r="AF113" s="106"/>
      <c r="AG113" s="119"/>
      <c r="AH113" s="47">
        <f t="shared" si="8"/>
        <v>103</v>
      </c>
      <c r="AI113" s="48">
        <f t="shared" si="9"/>
        <v>60.2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6">SUM(B115:B219)</f>
        <v>0</v>
      </c>
      <c r="C220" s="136">
        <f t="shared" si="16"/>
        <v>0</v>
      </c>
      <c r="D220" s="136">
        <f t="shared" si="16"/>
        <v>0</v>
      </c>
      <c r="E220" s="136">
        <f t="shared" si="16"/>
        <v>0</v>
      </c>
      <c r="F220" s="136">
        <f t="shared" si="16"/>
        <v>0</v>
      </c>
      <c r="G220" s="136">
        <f t="shared" si="16"/>
        <v>0</v>
      </c>
      <c r="H220" s="136">
        <f t="shared" si="16"/>
        <v>0</v>
      </c>
      <c r="I220" s="136">
        <f t="shared" si="16"/>
        <v>0</v>
      </c>
      <c r="J220" s="136">
        <f t="shared" si="16"/>
        <v>0</v>
      </c>
      <c r="K220" s="136">
        <f t="shared" si="16"/>
        <v>0</v>
      </c>
      <c r="L220" s="136">
        <f t="shared" si="16"/>
        <v>0</v>
      </c>
      <c r="M220" s="136">
        <f t="shared" si="16"/>
        <v>0</v>
      </c>
      <c r="N220" s="136">
        <f t="shared" si="16"/>
        <v>0</v>
      </c>
      <c r="O220" s="136">
        <f t="shared" si="16"/>
        <v>0</v>
      </c>
      <c r="P220" s="136">
        <f t="shared" si="16"/>
        <v>0</v>
      </c>
      <c r="Q220" s="136">
        <f t="shared" si="16"/>
        <v>0</v>
      </c>
      <c r="R220" s="136">
        <f t="shared" si="16"/>
        <v>0</v>
      </c>
      <c r="S220" s="136">
        <f t="shared" si="16"/>
        <v>0</v>
      </c>
      <c r="T220" s="136">
        <f t="shared" si="16"/>
        <v>0</v>
      </c>
      <c r="U220" s="136">
        <f t="shared" si="16"/>
        <v>0</v>
      </c>
      <c r="V220" s="136">
        <f t="shared" si="16"/>
        <v>0</v>
      </c>
      <c r="W220" s="136">
        <f t="shared" si="16"/>
        <v>0</v>
      </c>
      <c r="X220" s="136">
        <f t="shared" si="16"/>
        <v>0</v>
      </c>
      <c r="Y220" s="136">
        <f t="shared" si="16"/>
        <v>0</v>
      </c>
      <c r="Z220" s="136">
        <f t="shared" si="16"/>
        <v>0</v>
      </c>
      <c r="AA220" s="136">
        <f t="shared" si="16"/>
        <v>0</v>
      </c>
      <c r="AB220" s="136">
        <f t="shared" si="16"/>
        <v>0</v>
      </c>
      <c r="AC220" s="136">
        <f t="shared" si="16"/>
        <v>0</v>
      </c>
      <c r="AD220" s="136">
        <f t="shared" si="16"/>
        <v>0</v>
      </c>
      <c r="AE220" s="136">
        <f t="shared" si="16"/>
        <v>0</v>
      </c>
      <c r="AF220" s="137">
        <f t="shared" si="16"/>
        <v>0</v>
      </c>
      <c r="AG220" s="138">
        <f t="shared" si="16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7">AF222</f>
        <v>0</v>
      </c>
      <c r="C222" s="140">
        <v>0.3</v>
      </c>
      <c r="D222" s="140">
        <f t="shared" ref="D222:P227" si="18">C222</f>
        <v>0.3</v>
      </c>
      <c r="E222" s="140">
        <f t="shared" si="18"/>
        <v>0.3</v>
      </c>
      <c r="F222" s="140">
        <f t="shared" si="18"/>
        <v>0.3</v>
      </c>
      <c r="G222" s="140">
        <f t="shared" si="18"/>
        <v>0.3</v>
      </c>
      <c r="H222" s="140">
        <f t="shared" si="18"/>
        <v>0.3</v>
      </c>
      <c r="I222" s="140">
        <f t="shared" si="18"/>
        <v>0.3</v>
      </c>
      <c r="J222" s="140">
        <f t="shared" si="18"/>
        <v>0.3</v>
      </c>
      <c r="K222" s="140">
        <f t="shared" si="18"/>
        <v>0.3</v>
      </c>
      <c r="L222" s="140">
        <f t="shared" si="18"/>
        <v>0.3</v>
      </c>
      <c r="M222" s="140">
        <f t="shared" si="18"/>
        <v>0.3</v>
      </c>
      <c r="N222" s="140">
        <f t="shared" si="18"/>
        <v>0.3</v>
      </c>
      <c r="O222" s="140">
        <f t="shared" si="18"/>
        <v>0.3</v>
      </c>
      <c r="P222" s="140">
        <f t="shared" si="18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7"/>
        <v>0</v>
      </c>
      <c r="C223" s="128">
        <v>0.4</v>
      </c>
      <c r="D223" s="128">
        <f t="shared" si="18"/>
        <v>0.4</v>
      </c>
      <c r="E223" s="128">
        <f t="shared" si="18"/>
        <v>0.4</v>
      </c>
      <c r="F223" s="128">
        <f t="shared" si="18"/>
        <v>0.4</v>
      </c>
      <c r="G223" s="128">
        <f t="shared" si="18"/>
        <v>0.4</v>
      </c>
      <c r="H223" s="128">
        <f t="shared" si="18"/>
        <v>0.4</v>
      </c>
      <c r="I223" s="128">
        <f t="shared" si="18"/>
        <v>0.4</v>
      </c>
      <c r="J223" s="128">
        <f t="shared" si="18"/>
        <v>0.4</v>
      </c>
      <c r="K223" s="128">
        <f t="shared" si="18"/>
        <v>0.4</v>
      </c>
      <c r="L223" s="128">
        <f t="shared" si="18"/>
        <v>0.4</v>
      </c>
      <c r="M223" s="128">
        <f t="shared" si="18"/>
        <v>0.4</v>
      </c>
      <c r="N223" s="128">
        <f t="shared" si="18"/>
        <v>0.4</v>
      </c>
      <c r="O223" s="128">
        <f t="shared" si="18"/>
        <v>0.4</v>
      </c>
      <c r="P223" s="128">
        <f t="shared" si="18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7"/>
        <v>0</v>
      </c>
      <c r="C224" s="128">
        <v>1.5</v>
      </c>
      <c r="D224" s="128">
        <f t="shared" si="18"/>
        <v>1.5</v>
      </c>
      <c r="E224" s="128">
        <f t="shared" si="18"/>
        <v>1.5</v>
      </c>
      <c r="F224" s="128">
        <f t="shared" si="18"/>
        <v>1.5</v>
      </c>
      <c r="G224" s="128">
        <f t="shared" si="18"/>
        <v>1.5</v>
      </c>
      <c r="H224" s="128">
        <f t="shared" si="18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18"/>
        <v>1.5</v>
      </c>
      <c r="K224" s="128">
        <f t="shared" ca="1" si="18"/>
        <v>1.5</v>
      </c>
      <c r="L224" s="128">
        <f t="shared" ca="1" si="18"/>
        <v>1.5</v>
      </c>
      <c r="M224" s="128">
        <f t="shared" ca="1" si="18"/>
        <v>1.5</v>
      </c>
      <c r="N224" s="128">
        <f t="shared" ca="1" si="18"/>
        <v>1.5</v>
      </c>
      <c r="O224" s="128">
        <f t="shared" ca="1" si="18"/>
        <v>1.5</v>
      </c>
      <c r="P224" s="128">
        <f t="shared" ca="1" si="18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7"/>
        <v>0</v>
      </c>
      <c r="C225" s="128">
        <v>0.3</v>
      </c>
      <c r="D225" s="128">
        <f t="shared" si="18"/>
        <v>0.3</v>
      </c>
      <c r="E225" s="128">
        <f t="shared" si="18"/>
        <v>0.3</v>
      </c>
      <c r="F225" s="128">
        <f t="shared" si="18"/>
        <v>0.3</v>
      </c>
      <c r="G225" s="128">
        <f t="shared" si="18"/>
        <v>0.3</v>
      </c>
      <c r="H225" s="128">
        <f t="shared" si="18"/>
        <v>0.3</v>
      </c>
      <c r="I225" s="128">
        <f t="shared" si="18"/>
        <v>0.3</v>
      </c>
      <c r="J225" s="128">
        <f t="shared" si="18"/>
        <v>0.3</v>
      </c>
      <c r="K225" s="128">
        <f t="shared" si="18"/>
        <v>0.3</v>
      </c>
      <c r="L225" s="128">
        <f t="shared" si="18"/>
        <v>0.3</v>
      </c>
      <c r="M225" s="128">
        <f t="shared" si="18"/>
        <v>0.3</v>
      </c>
      <c r="N225" s="128">
        <f t="shared" si="18"/>
        <v>0.3</v>
      </c>
      <c r="O225" s="128">
        <f t="shared" si="18"/>
        <v>0.3</v>
      </c>
      <c r="P225" s="128">
        <f t="shared" si="18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7"/>
        <v>0</v>
      </c>
      <c r="C226" s="128">
        <v>0.4</v>
      </c>
      <c r="D226" s="128">
        <f t="shared" si="18"/>
        <v>0.4</v>
      </c>
      <c r="E226" s="128">
        <f t="shared" si="18"/>
        <v>0.4</v>
      </c>
      <c r="F226" s="128">
        <f t="shared" si="18"/>
        <v>0.4</v>
      </c>
      <c r="G226" s="128">
        <f t="shared" si="18"/>
        <v>0.4</v>
      </c>
      <c r="H226" s="128">
        <f t="shared" si="18"/>
        <v>0.4</v>
      </c>
      <c r="I226" s="128">
        <f t="shared" si="18"/>
        <v>0.4</v>
      </c>
      <c r="J226" s="128">
        <f t="shared" si="18"/>
        <v>0.4</v>
      </c>
      <c r="K226" s="128">
        <f t="shared" si="18"/>
        <v>0.4</v>
      </c>
      <c r="L226" s="128">
        <f t="shared" si="18"/>
        <v>0.4</v>
      </c>
      <c r="M226" s="128">
        <f t="shared" si="18"/>
        <v>0.4</v>
      </c>
      <c r="N226" s="128">
        <f t="shared" si="18"/>
        <v>0.4</v>
      </c>
      <c r="O226" s="128">
        <f t="shared" si="18"/>
        <v>0.4</v>
      </c>
      <c r="P226" s="128">
        <f t="shared" si="18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7"/>
        <v>0</v>
      </c>
      <c r="C227" s="132">
        <v>0.64</v>
      </c>
      <c r="D227" s="132">
        <f t="shared" si="18"/>
        <v>0.64</v>
      </c>
      <c r="E227" s="132">
        <f t="shared" si="18"/>
        <v>0.64</v>
      </c>
      <c r="F227" s="132">
        <f t="shared" si="18"/>
        <v>0.64</v>
      </c>
      <c r="G227" s="132">
        <f t="shared" si="18"/>
        <v>0.64</v>
      </c>
      <c r="H227" s="132">
        <f t="shared" si="18"/>
        <v>0.64</v>
      </c>
      <c r="I227" s="132">
        <f t="shared" si="18"/>
        <v>0.64</v>
      </c>
      <c r="J227" s="132">
        <f t="shared" si="18"/>
        <v>0.64</v>
      </c>
      <c r="K227" s="132">
        <f t="shared" si="18"/>
        <v>0.64</v>
      </c>
      <c r="L227" s="132">
        <f t="shared" si="18"/>
        <v>0.64</v>
      </c>
      <c r="M227" s="132">
        <f t="shared" si="18"/>
        <v>0.64</v>
      </c>
      <c r="N227" s="132">
        <f t="shared" si="18"/>
        <v>0.64</v>
      </c>
      <c r="O227" s="132">
        <f t="shared" si="18"/>
        <v>0.64</v>
      </c>
      <c r="P227" s="132">
        <f t="shared" si="18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19">SUM(B222:B227)</f>
        <v>0</v>
      </c>
      <c r="C228" s="136">
        <f t="shared" si="19"/>
        <v>3.54</v>
      </c>
      <c r="D228" s="136">
        <f t="shared" si="19"/>
        <v>3.54</v>
      </c>
      <c r="E228" s="136">
        <f t="shared" si="19"/>
        <v>3.54</v>
      </c>
      <c r="F228" s="136">
        <f t="shared" si="19"/>
        <v>3.54</v>
      </c>
      <c r="G228" s="136">
        <f t="shared" si="19"/>
        <v>3.54</v>
      </c>
      <c r="H228" s="136">
        <f t="shared" si="19"/>
        <v>3.54</v>
      </c>
      <c r="I228" s="136">
        <f t="shared" ca="1" si="19"/>
        <v>3.54</v>
      </c>
      <c r="J228" s="136">
        <f t="shared" ca="1" si="19"/>
        <v>3.54</v>
      </c>
      <c r="K228" s="136">
        <f t="shared" ca="1" si="19"/>
        <v>3.54</v>
      </c>
      <c r="L228" s="136">
        <f t="shared" ca="1" si="19"/>
        <v>3.54</v>
      </c>
      <c r="M228" s="136">
        <f t="shared" ca="1" si="19"/>
        <v>3.54</v>
      </c>
      <c r="N228" s="136">
        <f t="shared" ca="1" si="19"/>
        <v>3.54</v>
      </c>
      <c r="O228" s="136">
        <f t="shared" ca="1" si="19"/>
        <v>3.54</v>
      </c>
      <c r="P228" s="136">
        <f t="shared" ca="1" si="19"/>
        <v>3.54</v>
      </c>
      <c r="Q228" s="136">
        <f t="shared" si="19"/>
        <v>0</v>
      </c>
      <c r="R228" s="136">
        <f t="shared" si="19"/>
        <v>0</v>
      </c>
      <c r="S228" s="136">
        <f t="shared" si="19"/>
        <v>0</v>
      </c>
      <c r="T228" s="136">
        <f t="shared" si="19"/>
        <v>0</v>
      </c>
      <c r="U228" s="136">
        <f t="shared" si="19"/>
        <v>0</v>
      </c>
      <c r="V228" s="136">
        <f t="shared" si="19"/>
        <v>0</v>
      </c>
      <c r="W228" s="136">
        <f t="shared" si="19"/>
        <v>0</v>
      </c>
      <c r="X228" s="136">
        <f t="shared" si="19"/>
        <v>0</v>
      </c>
      <c r="Y228" s="136">
        <f t="shared" si="19"/>
        <v>0</v>
      </c>
      <c r="Z228" s="136">
        <f t="shared" si="19"/>
        <v>0</v>
      </c>
      <c r="AA228" s="136">
        <f t="shared" si="19"/>
        <v>0</v>
      </c>
      <c r="AB228" s="136">
        <f t="shared" si="19"/>
        <v>0</v>
      </c>
      <c r="AC228" s="136">
        <f t="shared" si="19"/>
        <v>0</v>
      </c>
      <c r="AD228" s="136">
        <f t="shared" si="19"/>
        <v>0</v>
      </c>
      <c r="AE228" s="136">
        <f t="shared" si="19"/>
        <v>0</v>
      </c>
      <c r="AF228" s="136">
        <f t="shared" si="19"/>
        <v>0</v>
      </c>
      <c r="AG228" s="145">
        <f t="shared" si="19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1459.74</v>
      </c>
      <c r="C237" s="161">
        <f>INDEX(G9:N9,1,MATCH(MAX(G85:N85),G85:N85,0))</f>
        <v>0.33333333333333331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fal1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e">
        <f ca="1">"Pie Chart of Daily Peak Demand(Inclusive of Export) of Nepal ("&amp;A4&amp;" "&amp;B4&amp;")"</f>
        <v>#VALUE!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e">
        <f ca="1">"Daily Load Curve(Excluding of Export) of Nepal ("&amp;A4&amp;" "&amp;B4&amp;")"</f>
        <v>#VALUE!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0">B85</f>
        <v>1061.24</v>
      </c>
      <c r="U242" s="170">
        <f t="shared" si="20"/>
        <v>1036.44</v>
      </c>
      <c r="V242" s="170">
        <f t="shared" si="20"/>
        <v>1052.74</v>
      </c>
      <c r="W242" s="170">
        <f t="shared" si="20"/>
        <v>1012.54</v>
      </c>
      <c r="X242" s="170">
        <f t="shared" si="20"/>
        <v>1055.94</v>
      </c>
      <c r="Y242" s="170">
        <f t="shared" si="20"/>
        <v>1046.74</v>
      </c>
      <c r="Z242" s="170">
        <f t="shared" si="20"/>
        <v>1155.24</v>
      </c>
      <c r="AA242" s="170">
        <f t="shared" si="20"/>
        <v>1185.74</v>
      </c>
      <c r="AB242" s="170">
        <f t="shared" si="20"/>
        <v>1283.74</v>
      </c>
      <c r="AC242" s="170">
        <f t="shared" si="20"/>
        <v>1364.74</v>
      </c>
      <c r="AD242" s="170">
        <f t="shared" si="20"/>
        <v>1412.74</v>
      </c>
      <c r="AE242" s="170">
        <f t="shared" si="20"/>
        <v>1459.74</v>
      </c>
      <c r="AF242" s="170">
        <f t="shared" si="20"/>
        <v>1403.14</v>
      </c>
      <c r="AG242" s="170">
        <f t="shared" si="20"/>
        <v>1349.2399999999998</v>
      </c>
      <c r="AH242" s="170">
        <f t="shared" si="20"/>
        <v>1361.2399999999998</v>
      </c>
      <c r="AI242" s="170">
        <f t="shared" si="20"/>
        <v>1315.9399999999998</v>
      </c>
      <c r="AJ242" s="170">
        <f t="shared" si="20"/>
        <v>1299.71</v>
      </c>
      <c r="AK242" s="170">
        <f t="shared" si="20"/>
        <v>1281.1399999999999</v>
      </c>
      <c r="AL242" s="170">
        <f t="shared" si="20"/>
        <v>1354.84</v>
      </c>
      <c r="AM242" s="170">
        <f t="shared" si="20"/>
        <v>1355.84</v>
      </c>
      <c r="AN242" s="170">
        <f t="shared" si="20"/>
        <v>1319.54</v>
      </c>
      <c r="AO242" s="170">
        <f t="shared" si="20"/>
        <v>1271.74</v>
      </c>
      <c r="AP242" s="170">
        <f t="shared" si="20"/>
        <v>1321.94</v>
      </c>
      <c r="AQ242" s="170">
        <f t="shared" si="20"/>
        <v>1651.44</v>
      </c>
      <c r="AR242" s="170">
        <f t="shared" si="20"/>
        <v>1565.74</v>
      </c>
      <c r="AS242" s="170">
        <f t="shared" si="20"/>
        <v>3.54</v>
      </c>
      <c r="AT242" s="170">
        <f t="shared" si="20"/>
        <v>3.54</v>
      </c>
      <c r="AU242" s="170">
        <f t="shared" si="20"/>
        <v>3.54</v>
      </c>
      <c r="AV242" s="170">
        <f t="shared" si="20"/>
        <v>3.54</v>
      </c>
      <c r="AW242" s="170">
        <f t="shared" si="20"/>
        <v>3.54</v>
      </c>
      <c r="AX242" s="170">
        <f t="shared" si="20"/>
        <v>3.54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1">C227</f>
        <v>0.64</v>
      </c>
      <c r="C263" s="173">
        <f t="shared" si="21"/>
        <v>0.64</v>
      </c>
      <c r="D263" s="173">
        <f t="shared" si="21"/>
        <v>0.64</v>
      </c>
      <c r="E263" s="173">
        <f t="shared" si="21"/>
        <v>0.64</v>
      </c>
      <c r="F263" s="173">
        <f t="shared" si="21"/>
        <v>0.64</v>
      </c>
      <c r="G263" s="173">
        <f t="shared" si="21"/>
        <v>0.64</v>
      </c>
      <c r="H263" s="173">
        <f t="shared" si="21"/>
        <v>0.64</v>
      </c>
      <c r="I263" s="173">
        <f t="shared" si="21"/>
        <v>0.64</v>
      </c>
      <c r="J263" s="173">
        <f t="shared" si="21"/>
        <v>0.64</v>
      </c>
      <c r="K263" s="173">
        <f t="shared" si="21"/>
        <v>0.64</v>
      </c>
      <c r="L263" s="173">
        <f t="shared" si="21"/>
        <v>0.64</v>
      </c>
      <c r="M263" s="173">
        <f t="shared" si="21"/>
        <v>0.64</v>
      </c>
      <c r="N263" s="173">
        <f t="shared" si="21"/>
        <v>0.64</v>
      </c>
      <c r="O263" s="173">
        <f t="shared" si="21"/>
        <v>0.64</v>
      </c>
      <c r="P263" s="173">
        <f t="shared" si="21"/>
        <v>0</v>
      </c>
      <c r="Q263" s="173">
        <f t="shared" si="21"/>
        <v>0</v>
      </c>
      <c r="R263" s="173">
        <f t="shared" si="21"/>
        <v>0</v>
      </c>
      <c r="S263" s="173">
        <f t="shared" si="21"/>
        <v>0</v>
      </c>
      <c r="T263" s="173">
        <f t="shared" si="21"/>
        <v>0</v>
      </c>
      <c r="U263" s="173">
        <f t="shared" si="21"/>
        <v>0</v>
      </c>
      <c r="V263" s="173">
        <f t="shared" si="21"/>
        <v>0</v>
      </c>
      <c r="W263" s="173">
        <f t="shared" si="21"/>
        <v>0</v>
      </c>
      <c r="X263" s="173">
        <f t="shared" si="21"/>
        <v>0</v>
      </c>
      <c r="Y263" s="173">
        <f t="shared" si="21"/>
        <v>0</v>
      </c>
      <c r="Z263" s="173">
        <f t="shared" si="21"/>
        <v>0</v>
      </c>
      <c r="AA263" s="173">
        <f t="shared" si="21"/>
        <v>0</v>
      </c>
      <c r="AB263" s="173">
        <f t="shared" si="21"/>
        <v>0</v>
      </c>
      <c r="AC263" s="173">
        <f t="shared" si="21"/>
        <v>0</v>
      </c>
      <c r="AD263" s="173">
        <f t="shared" si="21"/>
        <v>0</v>
      </c>
      <c r="AE263" s="173">
        <f t="shared" si="21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2">IF(B231&lt;100,"",B231-520)</f>
        <v/>
      </c>
      <c r="C264" s="174" t="str">
        <f t="shared" si="22"/>
        <v/>
      </c>
      <c r="D264" s="174" t="str">
        <f t="shared" si="22"/>
        <v/>
      </c>
      <c r="E264" s="174" t="str">
        <f t="shared" si="22"/>
        <v/>
      </c>
      <c r="F264" s="174" t="str">
        <f t="shared" si="22"/>
        <v/>
      </c>
      <c r="G264" s="174" t="str">
        <f t="shared" si="22"/>
        <v/>
      </c>
      <c r="H264" s="174" t="str">
        <f t="shared" si="22"/>
        <v/>
      </c>
      <c r="I264" s="174" t="str">
        <f t="shared" si="22"/>
        <v/>
      </c>
      <c r="J264" s="174" t="str">
        <f t="shared" si="22"/>
        <v/>
      </c>
      <c r="K264" s="174" t="str">
        <f t="shared" si="22"/>
        <v/>
      </c>
      <c r="L264" s="174" t="str">
        <f t="shared" si="22"/>
        <v/>
      </c>
      <c r="M264" s="174" t="str">
        <f t="shared" si="22"/>
        <v/>
      </c>
      <c r="N264" s="174" t="str">
        <f t="shared" si="22"/>
        <v/>
      </c>
      <c r="O264" s="174" t="str">
        <f t="shared" si="22"/>
        <v/>
      </c>
      <c r="P264" s="174" t="str">
        <f t="shared" si="22"/>
        <v/>
      </c>
      <c r="Q264" s="174" t="str">
        <f t="shared" si="22"/>
        <v/>
      </c>
      <c r="R264" s="174" t="str">
        <f t="shared" si="22"/>
        <v/>
      </c>
      <c r="S264" s="174" t="str">
        <f t="shared" si="22"/>
        <v/>
      </c>
      <c r="T264" s="174" t="str">
        <f t="shared" si="22"/>
        <v/>
      </c>
      <c r="U264" s="174" t="str">
        <f t="shared" si="22"/>
        <v/>
      </c>
      <c r="V264" s="174" t="str">
        <f t="shared" si="22"/>
        <v/>
      </c>
      <c r="W264" s="174" t="str">
        <f t="shared" si="22"/>
        <v/>
      </c>
      <c r="X264" s="174" t="str">
        <f t="shared" si="22"/>
        <v/>
      </c>
      <c r="Y264" s="174" t="str">
        <f t="shared" si="22"/>
        <v/>
      </c>
      <c r="Z264" s="174" t="str">
        <f t="shared" si="22"/>
        <v/>
      </c>
      <c r="AA264" s="174" t="str">
        <f t="shared" si="22"/>
        <v/>
      </c>
      <c r="AB264" s="174" t="str">
        <f t="shared" si="22"/>
        <v/>
      </c>
      <c r="AC264" s="174" t="str">
        <f t="shared" si="22"/>
        <v/>
      </c>
      <c r="AD264" s="174" t="str">
        <f t="shared" si="22"/>
        <v/>
      </c>
      <c r="AE264" s="174" t="str">
        <f t="shared" si="22"/>
        <v/>
      </c>
      <c r="AF264" s="174" t="str">
        <f t="shared" si="22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3">IF(B232&lt;100,"",B232-620)</f>
        <v/>
      </c>
      <c r="C265" s="174" t="str">
        <f t="shared" si="23"/>
        <v/>
      </c>
      <c r="D265" s="174" t="str">
        <f t="shared" si="23"/>
        <v/>
      </c>
      <c r="E265" s="174" t="str">
        <f t="shared" si="23"/>
        <v/>
      </c>
      <c r="F265" s="174" t="str">
        <f t="shared" si="23"/>
        <v/>
      </c>
      <c r="G265" s="174" t="str">
        <f t="shared" si="23"/>
        <v/>
      </c>
      <c r="H265" s="174" t="str">
        <f t="shared" si="23"/>
        <v/>
      </c>
      <c r="I265" s="174" t="str">
        <f t="shared" si="23"/>
        <v/>
      </c>
      <c r="J265" s="174" t="str">
        <f t="shared" si="23"/>
        <v/>
      </c>
      <c r="K265" s="174" t="str">
        <f t="shared" si="23"/>
        <v/>
      </c>
      <c r="L265" s="174" t="str">
        <f t="shared" si="23"/>
        <v/>
      </c>
      <c r="M265" s="174" t="str">
        <f t="shared" si="23"/>
        <v/>
      </c>
      <c r="N265" s="174" t="str">
        <f t="shared" si="23"/>
        <v/>
      </c>
      <c r="O265" s="174" t="str">
        <f t="shared" si="23"/>
        <v/>
      </c>
      <c r="P265" s="174" t="str">
        <f t="shared" si="23"/>
        <v/>
      </c>
      <c r="Q265" s="174" t="str">
        <f t="shared" si="23"/>
        <v/>
      </c>
      <c r="R265" s="174" t="str">
        <f t="shared" si="23"/>
        <v/>
      </c>
      <c r="S265" s="174" t="str">
        <f t="shared" si="23"/>
        <v/>
      </c>
      <c r="T265" s="174" t="str">
        <f t="shared" si="23"/>
        <v/>
      </c>
      <c r="U265" s="174" t="str">
        <f t="shared" si="23"/>
        <v/>
      </c>
      <c r="V265" s="174" t="str">
        <f t="shared" si="23"/>
        <v/>
      </c>
      <c r="W265" s="174" t="str">
        <f t="shared" si="23"/>
        <v/>
      </c>
      <c r="X265" s="174" t="str">
        <f t="shared" si="23"/>
        <v/>
      </c>
      <c r="Y265" s="174" t="str">
        <f t="shared" si="23"/>
        <v/>
      </c>
      <c r="Z265" s="174" t="str">
        <f t="shared" si="23"/>
        <v/>
      </c>
      <c r="AA265" s="174" t="str">
        <f t="shared" si="23"/>
        <v/>
      </c>
      <c r="AB265" s="174" t="str">
        <f t="shared" si="23"/>
        <v/>
      </c>
      <c r="AC265" s="174" t="str">
        <f t="shared" si="23"/>
        <v/>
      </c>
      <c r="AD265" s="174" t="str">
        <f t="shared" si="23"/>
        <v/>
      </c>
      <c r="AE265" s="174" t="str">
        <f t="shared" si="23"/>
        <v/>
      </c>
      <c r="AF265" s="174" t="str">
        <f t="shared" si="23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4">IF(B233&lt;100,"",B233-330)</f>
        <v/>
      </c>
      <c r="C266" s="174" t="str">
        <f t="shared" si="24"/>
        <v/>
      </c>
      <c r="D266" s="174" t="str">
        <f t="shared" si="24"/>
        <v/>
      </c>
      <c r="E266" s="174" t="str">
        <f t="shared" si="24"/>
        <v/>
      </c>
      <c r="F266" s="174" t="str">
        <f t="shared" si="24"/>
        <v/>
      </c>
      <c r="G266" s="174" t="str">
        <f t="shared" si="24"/>
        <v/>
      </c>
      <c r="H266" s="174" t="str">
        <f t="shared" si="24"/>
        <v/>
      </c>
      <c r="I266" s="174" t="str">
        <f t="shared" si="24"/>
        <v/>
      </c>
      <c r="J266" s="174" t="str">
        <f t="shared" si="24"/>
        <v/>
      </c>
      <c r="K266" s="174" t="str">
        <f t="shared" si="24"/>
        <v/>
      </c>
      <c r="L266" s="174" t="str">
        <f t="shared" si="24"/>
        <v/>
      </c>
      <c r="M266" s="174" t="str">
        <f t="shared" si="24"/>
        <v/>
      </c>
      <c r="N266" s="174" t="str">
        <f t="shared" si="24"/>
        <v/>
      </c>
      <c r="O266" s="174" t="str">
        <f t="shared" si="24"/>
        <v/>
      </c>
      <c r="P266" s="174" t="str">
        <f t="shared" si="24"/>
        <v/>
      </c>
      <c r="Q266" s="174" t="str">
        <f t="shared" si="24"/>
        <v/>
      </c>
      <c r="R266" s="174" t="str">
        <f t="shared" si="24"/>
        <v/>
      </c>
      <c r="S266" s="174" t="str">
        <f t="shared" si="24"/>
        <v/>
      </c>
      <c r="T266" s="174" t="str">
        <f t="shared" si="24"/>
        <v/>
      </c>
      <c r="U266" s="174" t="str">
        <f t="shared" si="24"/>
        <v/>
      </c>
      <c r="V266" s="174" t="str">
        <f t="shared" si="24"/>
        <v/>
      </c>
      <c r="W266" s="174" t="str">
        <f t="shared" si="24"/>
        <v/>
      </c>
      <c r="X266" s="174" t="str">
        <f t="shared" si="24"/>
        <v/>
      </c>
      <c r="Y266" s="174" t="str">
        <f t="shared" si="24"/>
        <v/>
      </c>
      <c r="Z266" s="174" t="str">
        <f t="shared" si="24"/>
        <v/>
      </c>
      <c r="AA266" s="174" t="str">
        <f t="shared" si="24"/>
        <v/>
      </c>
      <c r="AB266" s="174" t="str">
        <f t="shared" si="24"/>
        <v/>
      </c>
      <c r="AC266" s="174" t="str">
        <f t="shared" si="24"/>
        <v/>
      </c>
      <c r="AD266" s="174" t="str">
        <f t="shared" si="24"/>
        <v/>
      </c>
      <c r="AE266" s="174" t="str">
        <f t="shared" si="24"/>
        <v/>
      </c>
      <c r="AF266" s="174" t="str">
        <f t="shared" si="24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5">IF(B234&lt;100,"",B234-1500)</f>
        <v/>
      </c>
      <c r="C267" s="174" t="str">
        <f t="shared" si="25"/>
        <v/>
      </c>
      <c r="D267" s="174" t="str">
        <f t="shared" si="25"/>
        <v/>
      </c>
      <c r="E267" s="174" t="str">
        <f t="shared" si="25"/>
        <v/>
      </c>
      <c r="F267" s="174" t="str">
        <f t="shared" si="25"/>
        <v/>
      </c>
      <c r="G267" s="174" t="str">
        <f t="shared" si="25"/>
        <v/>
      </c>
      <c r="H267" s="174" t="str">
        <f t="shared" si="25"/>
        <v/>
      </c>
      <c r="I267" s="174" t="str">
        <f t="shared" si="25"/>
        <v/>
      </c>
      <c r="J267" s="174" t="str">
        <f t="shared" si="25"/>
        <v/>
      </c>
      <c r="K267" s="174" t="str">
        <f t="shared" si="25"/>
        <v/>
      </c>
      <c r="L267" s="174" t="str">
        <f t="shared" si="25"/>
        <v/>
      </c>
      <c r="M267" s="174" t="str">
        <f t="shared" si="25"/>
        <v/>
      </c>
      <c r="N267" s="174" t="str">
        <f t="shared" si="25"/>
        <v/>
      </c>
      <c r="O267" s="174" t="str">
        <f t="shared" si="25"/>
        <v/>
      </c>
      <c r="P267" s="174" t="str">
        <f t="shared" si="25"/>
        <v/>
      </c>
      <c r="Q267" s="174" t="str">
        <f t="shared" si="25"/>
        <v/>
      </c>
      <c r="R267" s="174" t="str">
        <f t="shared" si="25"/>
        <v/>
      </c>
      <c r="S267" s="174" t="str">
        <f t="shared" si="25"/>
        <v/>
      </c>
      <c r="T267" s="174" t="str">
        <f t="shared" si="25"/>
        <v/>
      </c>
      <c r="U267" s="174" t="str">
        <f t="shared" si="25"/>
        <v/>
      </c>
      <c r="V267" s="174" t="str">
        <f t="shared" si="25"/>
        <v/>
      </c>
      <c r="W267" s="174" t="str">
        <f t="shared" si="25"/>
        <v/>
      </c>
      <c r="X267" s="174" t="str">
        <f t="shared" si="25"/>
        <v/>
      </c>
      <c r="Y267" s="174" t="str">
        <f t="shared" si="25"/>
        <v/>
      </c>
      <c r="Z267" s="174" t="str">
        <f t="shared" si="25"/>
        <v/>
      </c>
      <c r="AA267" s="174" t="str">
        <f t="shared" si="25"/>
        <v/>
      </c>
      <c r="AB267" s="174" t="str">
        <f t="shared" si="25"/>
        <v/>
      </c>
      <c r="AC267" s="174" t="str">
        <f t="shared" si="25"/>
        <v/>
      </c>
      <c r="AD267" s="174" t="str">
        <f t="shared" si="25"/>
        <v/>
      </c>
      <c r="AE267" s="174" t="str">
        <f t="shared" si="25"/>
        <v/>
      </c>
      <c r="AF267" s="174" t="str">
        <f t="shared" si="25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  <mergeCell ref="K9:K10"/>
    <mergeCell ref="L9:L10"/>
    <mergeCell ref="M9:M10"/>
    <mergeCell ref="N9:N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5:AF105 D107:AF112 Y11:AF41">
    <cfRule type="expression" dxfId="1699" priority="234">
      <formula>B$9&gt;=20/24</formula>
    </cfRule>
    <cfRule type="expression" dxfId="1698" priority="235">
      <formula>AND(B$9&gt;=14/24,B$9&lt;20/24)</formula>
    </cfRule>
    <cfRule type="expression" dxfId="1697" priority="236">
      <formula>AND(B$9&gt;=8/24,B$9&lt;14/24)</formula>
    </cfRule>
    <cfRule type="expression" dxfId="1696" priority="237">
      <formula>B$9&lt;8/24</formula>
    </cfRule>
  </conditionalFormatting>
  <conditionalFormatting sqref="AL4:AL6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G61 Y11:AF41">
    <cfRule type="expression" dxfId="1695" priority="232">
      <formula>Y11&gt;$AG11</formula>
    </cfRule>
  </conditionalFormatting>
  <conditionalFormatting sqref="A95:A105 A55:A82 A91:A93 A198:A228 A42:A53 A114:A185 A38:A39 A87:A89 A84:A85 A107:A109 A35:A36 A17:A18 A11:A15 A20:A33">
    <cfRule type="expression" dxfId="1694" priority="231">
      <formula>$AH11=0</formula>
    </cfRule>
  </conditionalFormatting>
  <conditionalFormatting sqref="A110">
    <cfRule type="expression" dxfId="1693" priority="230">
      <formula>$AH110=0</formula>
    </cfRule>
  </conditionalFormatting>
  <conditionalFormatting sqref="AL39">
    <cfRule type="iconSet" priority="229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1692" priority="228">
      <formula>$AH41=0</formula>
    </cfRule>
  </conditionalFormatting>
  <conditionalFormatting sqref="A94">
    <cfRule type="expression" dxfId="1691" priority="227">
      <formula>$AH94=0</formula>
    </cfRule>
  </conditionalFormatting>
  <conditionalFormatting sqref="A16">
    <cfRule type="expression" dxfId="1690" priority="226">
      <formula>$AH16=0</formula>
    </cfRule>
  </conditionalFormatting>
  <conditionalFormatting sqref="A192:A197">
    <cfRule type="expression" dxfId="1689" priority="225">
      <formula>$AH192=0</formula>
    </cfRule>
  </conditionalFormatting>
  <conditionalFormatting sqref="A186:A191">
    <cfRule type="expression" dxfId="1688" priority="224">
      <formula>$AH186=0</formula>
    </cfRule>
  </conditionalFormatting>
  <conditionalFormatting sqref="A54">
    <cfRule type="expression" dxfId="1687" priority="223">
      <formula>$AH54=0</formula>
    </cfRule>
  </conditionalFormatting>
  <conditionalFormatting sqref="A90">
    <cfRule type="expression" dxfId="1686" priority="222">
      <formula>$AH90=0</formula>
    </cfRule>
  </conditionalFormatting>
  <conditionalFormatting sqref="AD95:AF95 E95:X95">
    <cfRule type="expression" dxfId="1685" priority="218">
      <formula>E$9&gt;=20/24</formula>
    </cfRule>
    <cfRule type="expression" dxfId="1684" priority="219">
      <formula>AND(E$9&gt;=14/24,E$9&lt;20/24)</formula>
    </cfRule>
    <cfRule type="expression" dxfId="1683" priority="220">
      <formula>AND(E$9&gt;=8/24,E$9&lt;14/24)</formula>
    </cfRule>
    <cfRule type="expression" dxfId="1682" priority="221">
      <formula>E$9&lt;8/24</formula>
    </cfRule>
  </conditionalFormatting>
  <conditionalFormatting sqref="AL40">
    <cfRule type="iconSet" priority="217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681" priority="240">
      <formula>C$9&gt;=20/24</formula>
    </cfRule>
    <cfRule type="expression" dxfId="1680" priority="241">
      <formula>AND(C$9&gt;=14/24,C$9&lt;20/24)</formula>
    </cfRule>
    <cfRule type="expression" dxfId="1679" priority="242">
      <formula>AND(C$9&gt;=8/24,C$9&lt;14/24)</formula>
    </cfRule>
    <cfRule type="expression" dxfId="1678" priority="243">
      <formula>C$9&lt;8/24</formula>
    </cfRule>
  </conditionalFormatting>
  <conditionalFormatting sqref="A229">
    <cfRule type="expression" dxfId="1677" priority="244">
      <formula>$AH229=0</formula>
    </cfRule>
  </conditionalFormatting>
  <conditionalFormatting sqref="AG241">
    <cfRule type="expression" dxfId="1676" priority="245">
      <formula>B$9&gt;=20/24</formula>
    </cfRule>
    <cfRule type="expression" dxfId="1675" priority="246">
      <formula>AND(B$9&gt;=14/24,B$9&lt;20/24)</formula>
    </cfRule>
    <cfRule type="expression" dxfId="1674" priority="247">
      <formula>AND(B$9&gt;=8/24,B$9&lt;14/24)</formula>
    </cfRule>
    <cfRule type="expression" dxfId="1673" priority="248">
      <formula>B$9&lt;8/24</formula>
    </cfRule>
  </conditionalFormatting>
  <conditionalFormatting sqref="S8">
    <cfRule type="expression" dxfId="1672" priority="213">
      <formula>U$9&gt;=20/24</formula>
    </cfRule>
    <cfRule type="expression" dxfId="1671" priority="214">
      <formula>AND(U$9&gt;=14/24,U$9&lt;20/24)</formula>
    </cfRule>
    <cfRule type="expression" dxfId="1670" priority="215">
      <formula>AND(U$9&gt;=8/24,U$9&lt;14/24)</formula>
    </cfRule>
    <cfRule type="expression" dxfId="1669" priority="216">
      <formula>U$9&lt;8/24</formula>
    </cfRule>
  </conditionalFormatting>
  <conditionalFormatting sqref="AB8">
    <cfRule type="expression" dxfId="1668" priority="209">
      <formula>AD$9&gt;=20/24</formula>
    </cfRule>
    <cfRule type="expression" dxfId="1667" priority="210">
      <formula>AND(AD$9&gt;=14/24,AD$9&lt;20/24)</formula>
    </cfRule>
    <cfRule type="expression" dxfId="1666" priority="211">
      <formula>AND(AD$9&gt;=8/24,AD$9&lt;14/24)</formula>
    </cfRule>
    <cfRule type="expression" dxfId="1665" priority="212">
      <formula>AD$9&lt;8/24</formula>
    </cfRule>
  </conditionalFormatting>
  <conditionalFormatting sqref="AH241:AX241">
    <cfRule type="expression" dxfId="1664" priority="249">
      <formula>AG$9&gt;=20/24</formula>
    </cfRule>
    <cfRule type="expression" dxfId="1663" priority="250">
      <formula>AND(AG$9&gt;=14/24,AG$9&lt;20/24)</formula>
    </cfRule>
    <cfRule type="expression" dxfId="1662" priority="251">
      <formula>AND(AG$9&gt;=8/24,AG$9&lt;14/24)</formula>
    </cfRule>
    <cfRule type="expression" dxfId="1661" priority="252">
      <formula>AG$9&lt;8/24</formula>
    </cfRule>
  </conditionalFormatting>
  <conditionalFormatting sqref="T241">
    <cfRule type="expression" dxfId="1660" priority="253">
      <formula>AX$9&gt;=20/24</formula>
    </cfRule>
    <cfRule type="expression" dxfId="1659" priority="254">
      <formula>AND(AX$9&gt;=14/24,AX$9&lt;20/24)</formula>
    </cfRule>
    <cfRule type="expression" dxfId="1658" priority="255">
      <formula>AND(AX$9&gt;=8/24,AX$9&lt;14/24)</formula>
    </cfRule>
    <cfRule type="expression" dxfId="1657" priority="256">
      <formula>AX$9&lt;8/24</formula>
    </cfRule>
  </conditionalFormatting>
  <conditionalFormatting sqref="A111:A112">
    <cfRule type="expression" dxfId="1656" priority="208">
      <formula>$AH111=0</formula>
    </cfRule>
  </conditionalFormatting>
  <conditionalFormatting sqref="AB50:AE51 AF50:AF53 M50:Q56 R55:X56 Y52:AE53 M67:AF67">
    <cfRule type="expression" dxfId="1655" priority="204">
      <formula>M$9&gt;=20/24</formula>
    </cfRule>
    <cfRule type="expression" dxfId="1654" priority="205">
      <formula>AND(M$9&gt;=14/24,M$9&lt;20/24)</formula>
    </cfRule>
    <cfRule type="expression" dxfId="1653" priority="206">
      <formula>AND(M$9&gt;=8/24,M$9&lt;14/24)</formula>
    </cfRule>
    <cfRule type="expression" dxfId="1652" priority="207">
      <formula>M$9&lt;8/24</formula>
    </cfRule>
  </conditionalFormatting>
  <conditionalFormatting sqref="AB49:AF49 M49:Q49">
    <cfRule type="expression" dxfId="1651" priority="200">
      <formula>M$9&gt;=20/24</formula>
    </cfRule>
    <cfRule type="expression" dxfId="1650" priority="201">
      <formula>AND(M$9&gt;=14/24,M$9&lt;20/24)</formula>
    </cfRule>
    <cfRule type="expression" dxfId="1649" priority="202">
      <formula>AND(M$9&gt;=8/24,M$9&lt;14/24)</formula>
    </cfRule>
    <cfRule type="expression" dxfId="1648" priority="203">
      <formula>M$9&lt;8/24</formula>
    </cfRule>
  </conditionalFormatting>
  <conditionalFormatting sqref="AB49:AE51 AF49:AF53 M49:Q56 R55:X56 Y52:AE53">
    <cfRule type="expression" dxfId="1647" priority="199">
      <formula>M49&gt;$AG49</formula>
    </cfRule>
  </conditionalFormatting>
  <conditionalFormatting sqref="D82:AF82 X43:AF43 X92:AF92 AD96:AF102 M96:X102 M68:W69 X63:AF65 X68:AF70">
    <cfRule type="expression" dxfId="1646" priority="195">
      <formula>D$9&gt;=20/24</formula>
    </cfRule>
    <cfRule type="expression" dxfId="1645" priority="196">
      <formula>AND(D$9&gt;=14/24,D$9&lt;20/24)</formula>
    </cfRule>
    <cfRule type="expression" dxfId="1644" priority="197">
      <formula>AND(D$9&gt;=8/24,D$9&lt;14/24)</formula>
    </cfRule>
    <cfRule type="expression" dxfId="1643" priority="198">
      <formula>D$9&lt;8/24</formula>
    </cfRule>
  </conditionalFormatting>
  <conditionalFormatting sqref="X43:AF43 X63:AF65">
    <cfRule type="expression" dxfId="1642" priority="194">
      <formula>X43&gt;$AG43</formula>
    </cfRule>
  </conditionalFormatting>
  <conditionalFormatting sqref="R49:X54 Y49:AA51">
    <cfRule type="expression" dxfId="1641" priority="190">
      <formula>R$9&gt;=20/24</formula>
    </cfRule>
    <cfRule type="expression" dxfId="1640" priority="191">
      <formula>AND(R$9&gt;=14/24,R$9&lt;20/24)</formula>
    </cfRule>
    <cfRule type="expression" dxfId="1639" priority="192">
      <formula>AND(R$9&gt;=8/24,R$9&lt;14/24)</formula>
    </cfRule>
    <cfRule type="expression" dxfId="1638" priority="193">
      <formula>R$9&lt;8/24</formula>
    </cfRule>
  </conditionalFormatting>
  <conditionalFormatting sqref="R49:X54 Y49:AA51">
    <cfRule type="expression" dxfId="1637" priority="189">
      <formula>R49&gt;$AG49</formula>
    </cfRule>
  </conditionalFormatting>
  <conditionalFormatting sqref="C84:AF84 C93:AF93">
    <cfRule type="expression" dxfId="1636" priority="185">
      <formula>C$9&gt;=20/24</formula>
    </cfRule>
    <cfRule type="expression" dxfId="1635" priority="186">
      <formula>AND(C$9&gt;=14/24,C$9&lt;20/24)</formula>
    </cfRule>
    <cfRule type="expression" dxfId="1634" priority="187">
      <formula>AND(C$9&gt;=8/24,C$9&lt;14/24)</formula>
    </cfRule>
    <cfRule type="expression" dxfId="1633" priority="188">
      <formula>C$9&lt;8/24</formula>
    </cfRule>
  </conditionalFormatting>
  <conditionalFormatting sqref="T43:W43">
    <cfRule type="expression" dxfId="1632" priority="181">
      <formula>T$9&gt;=20/24</formula>
    </cfRule>
    <cfRule type="expression" dxfId="1631" priority="182">
      <formula>AND(T$9&gt;=14/24,T$9&lt;20/24)</formula>
    </cfRule>
    <cfRule type="expression" dxfId="1630" priority="183">
      <formula>AND(T$9&gt;=8/24,T$9&lt;14/24)</formula>
    </cfRule>
    <cfRule type="expression" dxfId="1629" priority="184">
      <formula>T$9&lt;8/24</formula>
    </cfRule>
  </conditionalFormatting>
  <conditionalFormatting sqref="T43:W43">
    <cfRule type="expression" dxfId="1628" priority="180">
      <formula>T43&gt;$AG43</formula>
    </cfRule>
  </conditionalFormatting>
  <conditionalFormatting sqref="I50:L51 Y42:AF42">
    <cfRule type="expression" dxfId="1627" priority="176">
      <formula>I$9&gt;=20/24</formula>
    </cfRule>
    <cfRule type="expression" dxfId="1626" priority="177">
      <formula>AND(I$9&gt;=14/24,I$9&lt;20/24)</formula>
    </cfRule>
    <cfRule type="expression" dxfId="1625" priority="178">
      <formula>AND(I$9&gt;=8/24,I$9&lt;14/24)</formula>
    </cfRule>
    <cfRule type="expression" dxfId="1624" priority="179">
      <formula>I$9&lt;8/24</formula>
    </cfRule>
  </conditionalFormatting>
  <conditionalFormatting sqref="I49:L49">
    <cfRule type="expression" dxfId="1623" priority="172">
      <formula>I$9&gt;=20/24</formula>
    </cfRule>
    <cfRule type="expression" dxfId="1622" priority="173">
      <formula>AND(I$9&gt;=14/24,I$9&lt;20/24)</formula>
    </cfRule>
    <cfRule type="expression" dxfId="1621" priority="174">
      <formula>AND(I$9&gt;=8/24,I$9&lt;14/24)</formula>
    </cfRule>
    <cfRule type="expression" dxfId="1620" priority="175">
      <formula>I$9&lt;8/24</formula>
    </cfRule>
  </conditionalFormatting>
  <conditionalFormatting sqref="I49:L51 Y42:AF42">
    <cfRule type="expression" dxfId="1619" priority="171">
      <formula>I42&gt;$AG42</formula>
    </cfRule>
  </conditionalFormatting>
  <conditionalFormatting sqref="AG66 AG83 Q63:W65 E96:L102">
    <cfRule type="expression" dxfId="1618" priority="167">
      <formula>E$9&gt;=20/24</formula>
    </cfRule>
    <cfRule type="expression" dxfId="1617" priority="168">
      <formula>AND(E$9&gt;=14/24,E$9&lt;20/24)</formula>
    </cfRule>
    <cfRule type="expression" dxfId="1616" priority="169">
      <formula>AND(E$9&gt;=8/24,E$9&lt;14/24)</formula>
    </cfRule>
    <cfRule type="expression" dxfId="1615" priority="170">
      <formula>E$9&lt;8/24</formula>
    </cfRule>
  </conditionalFormatting>
  <conditionalFormatting sqref="AG44 AG62 AG66 Q63:W65">
    <cfRule type="expression" dxfId="1614" priority="166">
      <formula>Q44&gt;$AG44</formula>
    </cfRule>
  </conditionalFormatting>
  <conditionalFormatting sqref="Y54:AF54">
    <cfRule type="expression" dxfId="1613" priority="162">
      <formula>Y$9&gt;=20/24</formula>
    </cfRule>
    <cfRule type="expression" dxfId="1612" priority="163">
      <formula>AND(Y$9&gt;=14/24,Y$9&lt;20/24)</formula>
    </cfRule>
    <cfRule type="expression" dxfId="1611" priority="164">
      <formula>AND(Y$9&gt;=8/24,Y$9&lt;14/24)</formula>
    </cfRule>
    <cfRule type="expression" dxfId="1610" priority="165">
      <formula>Y$9&lt;8/24</formula>
    </cfRule>
  </conditionalFormatting>
  <conditionalFormatting sqref="Y54:AF54">
    <cfRule type="expression" dxfId="1609" priority="161">
      <formula>Y54&gt;$AG54</formula>
    </cfRule>
  </conditionalFormatting>
  <conditionalFormatting sqref="A40">
    <cfRule type="expression" dxfId="1608" priority="160">
      <formula>$AH40=0</formula>
    </cfRule>
  </conditionalFormatting>
  <conditionalFormatting sqref="X87:AF91">
    <cfRule type="expression" dxfId="1607" priority="156">
      <formula>X$9&gt;=20/24</formula>
    </cfRule>
    <cfRule type="expression" dxfId="1606" priority="157">
      <formula>AND(X$9&gt;=14/24,X$9&lt;20/24)</formula>
    </cfRule>
    <cfRule type="expression" dxfId="1605" priority="158">
      <formula>AND(X$9&gt;=8/24,X$9&lt;14/24)</formula>
    </cfRule>
    <cfRule type="expression" dxfId="1604" priority="159">
      <formula>X$9&lt;8/24</formula>
    </cfRule>
  </conditionalFormatting>
  <conditionalFormatting sqref="AL41 AL38 AL20:AL33 AL35:AL36 AL7:AL18">
    <cfRule type="iconSet" priority="257">
      <iconSet iconSet="3TrafficLights2" reverse="1">
        <cfvo type="percent" val="0"/>
        <cfvo type="num" val="1"/>
        <cfvo type="num" val="1"/>
      </iconSet>
    </cfRule>
  </conditionalFormatting>
  <conditionalFormatting sqref="E45:G45 F46:G47 H45:AF47">
    <cfRule type="expression" dxfId="1603" priority="152">
      <formula>E$9&gt;=20/24</formula>
    </cfRule>
    <cfRule type="expression" dxfId="1602" priority="153">
      <formula>AND(E$9&gt;=14/24,E$9&lt;20/24)</formula>
    </cfRule>
    <cfRule type="expression" dxfId="1601" priority="154">
      <formula>AND(E$9&gt;=8/24,E$9&lt;14/24)</formula>
    </cfRule>
    <cfRule type="expression" dxfId="1600" priority="155">
      <formula>E$9&lt;8/24</formula>
    </cfRule>
  </conditionalFormatting>
  <conditionalFormatting sqref="E45:G45 F46:G47 H45:AF47">
    <cfRule type="expression" dxfId="1599" priority="151">
      <formula>E45&gt;$AG45</formula>
    </cfRule>
  </conditionalFormatting>
  <conditionalFormatting sqref="AG48">
    <cfRule type="expression" dxfId="1598" priority="147">
      <formula>AG$9&gt;=20/24</formula>
    </cfRule>
    <cfRule type="expression" dxfId="1597" priority="148">
      <formula>AND(AG$9&gt;=14/24,AG$9&lt;20/24)</formula>
    </cfRule>
    <cfRule type="expression" dxfId="1596" priority="149">
      <formula>AND(AG$9&gt;=8/24,AG$9&lt;14/24)</formula>
    </cfRule>
    <cfRule type="expression" dxfId="1595" priority="150">
      <formula>AG$9&lt;8/24</formula>
    </cfRule>
  </conditionalFormatting>
  <conditionalFormatting sqref="AG48">
    <cfRule type="expression" dxfId="1594" priority="146">
      <formula>AG48&gt;$AG48</formula>
    </cfRule>
  </conditionalFormatting>
  <conditionalFormatting sqref="C103:AF103">
    <cfRule type="expression" dxfId="1593" priority="142">
      <formula>C$9&gt;=20/24</formula>
    </cfRule>
    <cfRule type="expression" dxfId="1592" priority="143">
      <formula>AND(C$9&gt;=14/24,C$9&lt;20/24)</formula>
    </cfRule>
    <cfRule type="expression" dxfId="1591" priority="144">
      <formula>AND(C$9&gt;=8/24,C$9&lt;14/24)</formula>
    </cfRule>
    <cfRule type="expression" dxfId="1590" priority="145">
      <formula>C$9&lt;8/24</formula>
    </cfRule>
  </conditionalFormatting>
  <conditionalFormatting sqref="AL37">
    <cfRule type="iconSet" priority="1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589" priority="140">
      <formula>$AH37=0</formula>
    </cfRule>
  </conditionalFormatting>
  <conditionalFormatting sqref="A86">
    <cfRule type="expression" dxfId="1588" priority="138">
      <formula>$AH86=0</formula>
    </cfRule>
  </conditionalFormatting>
  <conditionalFormatting sqref="A83">
    <cfRule type="expression" dxfId="1587" priority="139">
      <formula>$AH83=0</formula>
    </cfRule>
  </conditionalFormatting>
  <conditionalFormatting sqref="D106:AF106">
    <cfRule type="expression" dxfId="1586" priority="126">
      <formula>D$9&gt;=20/24</formula>
    </cfRule>
    <cfRule type="expression" dxfId="1585" priority="127">
      <formula>AND(D$9&gt;=14/24,D$9&lt;20/24)</formula>
    </cfRule>
    <cfRule type="expression" dxfId="1584" priority="128">
      <formula>AND(D$9&gt;=8/24,D$9&lt;14/24)</formula>
    </cfRule>
    <cfRule type="expression" dxfId="1583" priority="129">
      <formula>D$9&lt;8/24</formula>
    </cfRule>
  </conditionalFormatting>
  <conditionalFormatting sqref="A106">
    <cfRule type="expression" dxfId="1582" priority="125">
      <formula>$AH106=0</formula>
    </cfRule>
  </conditionalFormatting>
  <conditionalFormatting sqref="A19">
    <cfRule type="expression" dxfId="1581" priority="123">
      <formula>$AH19=0</formula>
    </cfRule>
  </conditionalFormatting>
  <conditionalFormatting sqref="AL19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1580" priority="121">
      <formula>$AH34=0</formula>
    </cfRule>
  </conditionalFormatting>
  <conditionalFormatting sqref="AL34">
    <cfRule type="iconSet" priority="122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1579" priority="117">
      <formula>Y$9&gt;=20/24</formula>
    </cfRule>
    <cfRule type="expression" dxfId="1578" priority="118">
      <formula>AND(Y$9&gt;=14/24,Y$9&lt;20/24)</formula>
    </cfRule>
    <cfRule type="expression" dxfId="1577" priority="119">
      <formula>AND(Y$9&gt;=8/24,Y$9&lt;14/24)</formula>
    </cfRule>
    <cfRule type="expression" dxfId="1576" priority="120">
      <formula>Y$9&lt;8/24</formula>
    </cfRule>
  </conditionalFormatting>
  <conditionalFormatting sqref="Y96:AC102">
    <cfRule type="expression" dxfId="1575" priority="113">
      <formula>Y$9&gt;=20/24</formula>
    </cfRule>
    <cfRule type="expression" dxfId="1574" priority="114">
      <formula>AND(Y$9&gt;=14/24,Y$9&lt;20/24)</formula>
    </cfRule>
    <cfRule type="expression" dxfId="1573" priority="115">
      <formula>AND(Y$9&gt;=8/24,Y$9&lt;14/24)</formula>
    </cfRule>
    <cfRule type="expression" dxfId="1572" priority="116">
      <formula>Y$9&lt;8/24</formula>
    </cfRule>
  </conditionalFormatting>
  <conditionalFormatting sqref="B105:C105 B107:C112 B15:X40">
    <cfRule type="expression" dxfId="1571" priority="109">
      <formula>B$9&gt;=20/24</formula>
    </cfRule>
    <cfRule type="expression" dxfId="1570" priority="110">
      <formula>AND(B$9&gt;=14/24,B$9&lt;20/24)</formula>
    </cfRule>
    <cfRule type="expression" dxfId="1569" priority="111">
      <formula>AND(B$9&gt;=8/24,B$9&lt;14/24)</formula>
    </cfRule>
    <cfRule type="expression" dxfId="1568" priority="112">
      <formula>B$9&lt;8/24</formula>
    </cfRule>
  </conditionalFormatting>
  <conditionalFormatting sqref="B43:S43">
    <cfRule type="expression" dxfId="1567" priority="105">
      <formula>B$9&gt;=20/24</formula>
    </cfRule>
    <cfRule type="expression" dxfId="1566" priority="106">
      <formula>AND(B$9&gt;=14/24,B$9&lt;20/24)</formula>
    </cfRule>
    <cfRule type="expression" dxfId="1565" priority="107">
      <formula>AND(B$9&gt;=8/24,B$9&lt;14/24)</formula>
    </cfRule>
    <cfRule type="expression" dxfId="1564" priority="108">
      <formula>B$9&lt;8/24</formula>
    </cfRule>
  </conditionalFormatting>
  <conditionalFormatting sqref="B43:S43 B15:X40">
    <cfRule type="expression" dxfId="1563" priority="104">
      <formula>B15&gt;$AG15</formula>
    </cfRule>
  </conditionalFormatting>
  <conditionalFormatting sqref="B95:D95">
    <cfRule type="expression" dxfId="1562" priority="100">
      <formula>B$9&gt;=20/24</formula>
    </cfRule>
    <cfRule type="expression" dxfId="1561" priority="101">
      <formula>AND(B$9&gt;=14/24,B$9&lt;20/24)</formula>
    </cfRule>
    <cfRule type="expression" dxfId="1560" priority="102">
      <formula>AND(B$9&gt;=8/24,B$9&lt;14/24)</formula>
    </cfRule>
    <cfRule type="expression" dxfId="1559" priority="103">
      <formula>B$9&lt;8/24</formula>
    </cfRule>
  </conditionalFormatting>
  <conditionalFormatting sqref="B50:H51 B67:L67">
    <cfRule type="expression" dxfId="1558" priority="96">
      <formula>B$9&gt;=20/24</formula>
    </cfRule>
    <cfRule type="expression" dxfId="1557" priority="97">
      <formula>AND(B$9&gt;=14/24,B$9&lt;20/24)</formula>
    </cfRule>
    <cfRule type="expression" dxfId="1556" priority="98">
      <formula>AND(B$9&gt;=8/24,B$9&lt;14/24)</formula>
    </cfRule>
    <cfRule type="expression" dxfId="1555" priority="99">
      <formula>B$9&lt;8/24</formula>
    </cfRule>
  </conditionalFormatting>
  <conditionalFormatting sqref="B49:H49">
    <cfRule type="expression" dxfId="1554" priority="92">
      <formula>B$9&gt;=20/24</formula>
    </cfRule>
    <cfRule type="expression" dxfId="1553" priority="93">
      <formula>AND(B$9&gt;=14/24,B$9&lt;20/24)</formula>
    </cfRule>
    <cfRule type="expression" dxfId="1552" priority="94">
      <formula>AND(B$9&gt;=8/24,B$9&lt;14/24)</formula>
    </cfRule>
    <cfRule type="expression" dxfId="1551" priority="95">
      <formula>B$9&lt;8/24</formula>
    </cfRule>
  </conditionalFormatting>
  <conditionalFormatting sqref="B49:H51">
    <cfRule type="expression" dxfId="1550" priority="91">
      <formula>B49&gt;$AG49</formula>
    </cfRule>
  </conditionalFormatting>
  <conditionalFormatting sqref="B82:C82 B92:W92 B79:AF81 B96:D102 B68:L72 B63:P65 M70:W72 X71:AF72">
    <cfRule type="expression" dxfId="1549" priority="87">
      <formula>B$9&gt;=20/24</formula>
    </cfRule>
    <cfRule type="expression" dxfId="1548" priority="88">
      <formula>AND(B$9&gt;=14/24,B$9&lt;20/24)</formula>
    </cfRule>
    <cfRule type="expression" dxfId="1547" priority="89">
      <formula>AND(B$9&gt;=8/24,B$9&lt;14/24)</formula>
    </cfRule>
    <cfRule type="expression" dxfId="1546" priority="90">
      <formula>B$9&lt;8/24</formula>
    </cfRule>
  </conditionalFormatting>
  <conditionalFormatting sqref="B52:L53 B63:P65">
    <cfRule type="expression" dxfId="1545" priority="86">
      <formula>B52&gt;$AG52</formula>
    </cfRule>
  </conditionalFormatting>
  <conditionalFormatting sqref="B54:L54">
    <cfRule type="expression" dxfId="1544" priority="82">
      <formula>B$9&gt;=20/24</formula>
    </cfRule>
    <cfRule type="expression" dxfId="1543" priority="83">
      <formula>AND(B$9&gt;=14/24,B$9&lt;20/24)</formula>
    </cfRule>
    <cfRule type="expression" dxfId="1542" priority="84">
      <formula>AND(B$9&gt;=8/24,B$9&lt;14/24)</formula>
    </cfRule>
    <cfRule type="expression" dxfId="1541" priority="85">
      <formula>B$9&lt;8/24</formula>
    </cfRule>
  </conditionalFormatting>
  <conditionalFormatting sqref="B54:L54">
    <cfRule type="expression" dxfId="1540" priority="81">
      <formula>B54&gt;$AG54</formula>
    </cfRule>
  </conditionalFormatting>
  <conditionalFormatting sqref="B84 B93">
    <cfRule type="expression" dxfId="1539" priority="77">
      <formula>B$9&gt;=20/24</formula>
    </cfRule>
    <cfRule type="expression" dxfId="1538" priority="78">
      <formula>AND(B$9&gt;=14/24,B$9&lt;20/24)</formula>
    </cfRule>
    <cfRule type="expression" dxfId="1537" priority="79">
      <formula>AND(B$9&gt;=8/24,B$9&lt;14/24)</formula>
    </cfRule>
    <cfRule type="expression" dxfId="1536" priority="80">
      <formula>B$9&lt;8/24</formula>
    </cfRule>
  </conditionalFormatting>
  <conditionalFormatting sqref="B42:X42">
    <cfRule type="expression" dxfId="1535" priority="73">
      <formula>B$9&gt;=20/24</formula>
    </cfRule>
    <cfRule type="expression" dxfId="1534" priority="74">
      <formula>AND(B$9&gt;=14/24,B$9&lt;20/24)</formula>
    </cfRule>
    <cfRule type="expression" dxfId="1533" priority="75">
      <formula>AND(B$9&gt;=8/24,B$9&lt;14/24)</formula>
    </cfRule>
    <cfRule type="expression" dxfId="1532" priority="76">
      <formula>B$9&lt;8/24</formula>
    </cfRule>
  </conditionalFormatting>
  <conditionalFormatting sqref="B42:X42">
    <cfRule type="expression" dxfId="1531" priority="72">
      <formula>B42&gt;$AG42</formula>
    </cfRule>
  </conditionalFormatting>
  <conditionalFormatting sqref="B66:AF66 B83:AF83 B85:AF85 B94:AF94">
    <cfRule type="expression" dxfId="1530" priority="68">
      <formula>B$9&gt;=20/24</formula>
    </cfRule>
    <cfRule type="expression" dxfId="1529" priority="69">
      <formula>AND(B$9&gt;=14/24,B$9&lt;20/24)</formula>
    </cfRule>
    <cfRule type="expression" dxfId="1528" priority="70">
      <formula>AND(B$9&gt;=8/24,B$9&lt;14/24)</formula>
    </cfRule>
    <cfRule type="expression" dxfId="1527" priority="71">
      <formula>B$9&lt;8/24</formula>
    </cfRule>
  </conditionalFormatting>
  <conditionalFormatting sqref="B44:AF44 B61:AF62 B66:AF66">
    <cfRule type="expression" dxfId="1526" priority="67">
      <formula>B44&gt;$AG44</formula>
    </cfRule>
  </conditionalFormatting>
  <conditionalFormatting sqref="B78:AF78">
    <cfRule type="expression" dxfId="1525" priority="63">
      <formula>B$9&gt;=20/24</formula>
    </cfRule>
    <cfRule type="expression" dxfId="1524" priority="64">
      <formula>AND(B$9&gt;=14/24,B$9&lt;20/24)</formula>
    </cfRule>
    <cfRule type="expression" dxfId="1523" priority="65">
      <formula>AND(B$9&gt;=8/24,B$9&lt;14/24)</formula>
    </cfRule>
    <cfRule type="expression" dxfId="1522" priority="66">
      <formula>B$9&lt;8/24</formula>
    </cfRule>
  </conditionalFormatting>
  <conditionalFormatting sqref="B87:W91">
    <cfRule type="expression" dxfId="1521" priority="59">
      <formula>B$9&gt;=20/24</formula>
    </cfRule>
    <cfRule type="expression" dxfId="1520" priority="60">
      <formula>AND(B$9&gt;=14/24,B$9&lt;20/24)</formula>
    </cfRule>
    <cfRule type="expression" dxfId="1519" priority="61">
      <formula>AND(B$9&gt;=8/24,B$9&lt;14/24)</formula>
    </cfRule>
    <cfRule type="expression" dxfId="1518" priority="62">
      <formula>B$9&lt;8/24</formula>
    </cfRule>
  </conditionalFormatting>
  <conditionalFormatting sqref="B45:D47 E46:E47">
    <cfRule type="expression" dxfId="1517" priority="55">
      <formula>B$9&gt;=20/24</formula>
    </cfRule>
    <cfRule type="expression" dxfId="1516" priority="56">
      <formula>AND(B$9&gt;=14/24,B$9&lt;20/24)</formula>
    </cfRule>
    <cfRule type="expression" dxfId="1515" priority="57">
      <formula>AND(B$9&gt;=8/24,B$9&lt;14/24)</formula>
    </cfRule>
    <cfRule type="expression" dxfId="1514" priority="58">
      <formula>B$9&lt;8/24</formula>
    </cfRule>
  </conditionalFormatting>
  <conditionalFormatting sqref="B45:D47 E46:E47">
    <cfRule type="expression" dxfId="1513" priority="54">
      <formula>B45&gt;$AG45</formula>
    </cfRule>
  </conditionalFormatting>
  <conditionalFormatting sqref="B48:AF48">
    <cfRule type="expression" dxfId="1512" priority="50">
      <formula>B$9&gt;=20/24</formula>
    </cfRule>
    <cfRule type="expression" dxfId="1511" priority="51">
      <formula>AND(B$9&gt;=14/24,B$9&lt;20/24)</formula>
    </cfRule>
    <cfRule type="expression" dxfId="1510" priority="52">
      <formula>AND(B$9&gt;=8/24,B$9&lt;14/24)</formula>
    </cfRule>
    <cfRule type="expression" dxfId="1509" priority="53">
      <formula>B$9&lt;8/24</formula>
    </cfRule>
  </conditionalFormatting>
  <conditionalFormatting sqref="B48:AF48">
    <cfRule type="expression" dxfId="1508" priority="49">
      <formula>B48&gt;$AG48</formula>
    </cfRule>
  </conditionalFormatting>
  <conditionalFormatting sqref="B103">
    <cfRule type="expression" dxfId="1507" priority="45">
      <formula>B$9&gt;=20/24</formula>
    </cfRule>
    <cfRule type="expression" dxfId="1506" priority="46">
      <formula>AND(B$9&gt;=14/24,B$9&lt;20/24)</formula>
    </cfRule>
    <cfRule type="expression" dxfId="1505" priority="47">
      <formula>AND(B$9&gt;=8/24,B$9&lt;14/24)</formula>
    </cfRule>
    <cfRule type="expression" dxfId="1504" priority="48">
      <formula>B$9&lt;8/24</formula>
    </cfRule>
  </conditionalFormatting>
  <conditionalFormatting sqref="B106:C106">
    <cfRule type="expression" dxfId="1503" priority="33">
      <formula>B$9&gt;=20/24</formula>
    </cfRule>
    <cfRule type="expression" dxfId="1502" priority="34">
      <formula>AND(B$9&gt;=14/24,B$9&lt;20/24)</formula>
    </cfRule>
    <cfRule type="expression" dxfId="1501" priority="35">
      <formula>AND(B$9&gt;=8/24,B$9&lt;14/24)</formula>
    </cfRule>
    <cfRule type="expression" dxfId="1500" priority="36">
      <formula>B$9&lt;8/24</formula>
    </cfRule>
  </conditionalFormatting>
  <conditionalFormatting sqref="B55:L60 M57:X60 Y55:AF60">
    <cfRule type="expression" dxfId="1499" priority="29">
      <formula>B$9&gt;=20/24</formula>
    </cfRule>
    <cfRule type="expression" dxfId="1498" priority="30">
      <formula>AND(B$9&gt;=14/24,B$9&lt;20/24)</formula>
    </cfRule>
    <cfRule type="expression" dxfId="1497" priority="31">
      <formula>AND(B$9&gt;=8/24,B$9&lt;14/24)</formula>
    </cfRule>
    <cfRule type="expression" dxfId="1496" priority="32">
      <formula>B$9&lt;8/24</formula>
    </cfRule>
  </conditionalFormatting>
  <conditionalFormatting sqref="B55:L60 M57:X60 Y55:AF60">
    <cfRule type="expression" dxfId="1495" priority="28">
      <formula>B55&gt;$AG55</formula>
    </cfRule>
  </conditionalFormatting>
  <conditionalFormatting sqref="B12:X14 B41:X41">
    <cfRule type="expression" dxfId="1494" priority="27">
      <formula>B12&gt;$AG12</formula>
    </cfRule>
  </conditionalFormatting>
  <conditionalFormatting sqref="B11:X11">
    <cfRule type="expression" dxfId="1493" priority="23">
      <formula>B$9&gt;=20/24</formula>
    </cfRule>
    <cfRule type="expression" dxfId="1492" priority="24">
      <formula>AND(B$9&gt;=14/24,B$9&lt;20/24)</formula>
    </cfRule>
    <cfRule type="expression" dxfId="1491" priority="25">
      <formula>AND(B$9&gt;=8/24,B$9&lt;14/24)</formula>
    </cfRule>
    <cfRule type="expression" dxfId="1490" priority="26">
      <formula>B$9&lt;8/24</formula>
    </cfRule>
  </conditionalFormatting>
  <conditionalFormatting sqref="B11:X11">
    <cfRule type="expression" dxfId="1489" priority="22">
      <formula>B11&gt;$AG11</formula>
    </cfRule>
  </conditionalFormatting>
  <conditionalFormatting sqref="B12:X14">
    <cfRule type="expression" dxfId="1488" priority="18">
      <formula>B$9&gt;=20/24</formula>
    </cfRule>
    <cfRule type="expression" dxfId="1487" priority="19">
      <formula>AND(B$9&gt;=14/24,B$9&lt;20/24)</formula>
    </cfRule>
    <cfRule type="expression" dxfId="1486" priority="20">
      <formula>AND(B$9&gt;=8/24,B$9&lt;14/24)</formula>
    </cfRule>
    <cfRule type="expression" dxfId="1485" priority="21">
      <formula>B$9&lt;8/24</formula>
    </cfRule>
  </conditionalFormatting>
  <conditionalFormatting sqref="B41:X41">
    <cfRule type="expression" dxfId="1484" priority="14">
      <formula>B$9&gt;=20/24</formula>
    </cfRule>
    <cfRule type="expression" dxfId="1483" priority="15">
      <formula>AND(B$9&gt;=14/24,B$9&lt;20/24)</formula>
    </cfRule>
    <cfRule type="expression" dxfId="1482" priority="16">
      <formula>AND(B$9&gt;=8/24,B$9&lt;14/24)</formula>
    </cfRule>
    <cfRule type="expression" dxfId="1481" priority="17">
      <formula>B$9&lt;8/24</formula>
    </cfRule>
  </conditionalFormatting>
  <conditionalFormatting sqref="B73:AF77">
    <cfRule type="expression" dxfId="1480" priority="10">
      <formula>B$9&gt;=20/24</formula>
    </cfRule>
    <cfRule type="expression" dxfId="1479" priority="11">
      <formula>AND(B$9&gt;=14/24,B$9&lt;20/24)</formula>
    </cfRule>
    <cfRule type="expression" dxfId="1478" priority="12">
      <formula>AND(B$9&gt;=8/24,B$9&lt;14/24)</formula>
    </cfRule>
    <cfRule type="expression" dxfId="1477" priority="13">
      <formula>B$9&lt;8/24</formula>
    </cfRule>
  </conditionalFormatting>
  <conditionalFormatting sqref="AL74:AN74 AL80:AN80 AN75:AN76">
    <cfRule type="expression" dxfId="1476" priority="6">
      <formula>AL$9&gt;=20/24</formula>
    </cfRule>
    <cfRule type="expression" dxfId="1475" priority="7">
      <formula>AND(AL$9&gt;=14/24,AL$9&lt;20/24)</formula>
    </cfRule>
    <cfRule type="expression" dxfId="1474" priority="8">
      <formula>AND(AL$9&gt;=8/24,AL$9&lt;14/24)</formula>
    </cfRule>
    <cfRule type="expression" dxfId="1473" priority="9">
      <formula>AL$9&lt;8/24</formula>
    </cfRule>
  </conditionalFormatting>
  <conditionalFormatting sqref="AN77:AN78">
    <cfRule type="expression" dxfId="1472" priority="2">
      <formula>AN$9&gt;=20/24</formula>
    </cfRule>
    <cfRule type="expression" dxfId="1471" priority="3">
      <formula>AND(AN$9&gt;=14/24,AN$9&lt;20/24)</formula>
    </cfRule>
    <cfRule type="expression" dxfId="1470" priority="4">
      <formula>AND(AN$9&gt;=8/24,AN$9&lt;14/24)</formula>
    </cfRule>
    <cfRule type="expression" dxfId="1469" priority="5">
      <formula>AN$9&lt;8/24</formula>
    </cfRule>
  </conditionalFormatting>
  <conditionalFormatting sqref="AL75:AM79">
    <cfRule type="expression" dxfId="1468" priority="258">
      <formula>AJ$9&gt;=20/24</formula>
    </cfRule>
    <cfRule type="expression" dxfId="1467" priority="259">
      <formula>AND(AJ$9&gt;=14/24,AJ$9&lt;20/24)</formula>
    </cfRule>
    <cfRule type="expression" dxfId="1466" priority="260">
      <formula>AND(AJ$9&gt;=8/24,AJ$9&lt;14/24)</formula>
    </cfRule>
    <cfRule type="expression" dxfId="1465" priority="261">
      <formula>AJ$9&lt;8/24</formula>
    </cfRule>
  </conditionalFormatting>
  <conditionalFormatting sqref="A113">
    <cfRule type="expression" dxfId="1464" priority="1">
      <formula>$AH113=0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4" id="{C7927183-E17F-4890-B065-E095BDED2FB4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5" id="{DD60319D-1709-40FF-8504-659AC728C5D0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6" id="{350E7D62-A59F-4164-B3FF-48FCE2F0FC26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7" id="{538C23E6-54D0-47B5-AAB4-D281FCDF1844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30" id="{1582C891-6DFC-45A1-B331-E15A20DA7D49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1" id="{91C0E104-97E4-4910-8F16-07FFB542CBAD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2" id="{C8D489D3-656D-4355-93E1-17BB7FBB5913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3" id="{701CD580-2966-44C9-88AD-3B6B534798A4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41" id="{03E13273-D45A-4F22-A263-7D69F1C1A3EA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2" id="{83AEF46E-831A-4C61-A191-ED2FFCE95DBD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3" id="{8AA03133-1F46-4046-AEFB-75FAF5B263D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4" id="{F7B75790-D1BF-44E5-89D5-545BF678C930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7" id="{B1898257-6A62-4B9B-98F6-943DA1824AAB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8" id="{21AEC435-2718-44D0-AE88-7F2990421426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9" id="{381AC503-D80C-462C-A644-CC6491ED0B0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id="{47ECA190-514E-45EB-AD09-D361F0F61634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J274"/>
  <sheetViews>
    <sheetView workbookViewId="0">
      <pane ySplit="10" topLeftCell="A98" activePane="bottomLeft" state="frozen"/>
      <selection activeCell="Z85" sqref="Z85"/>
      <selection pane="bottomLeft" activeCell="Z85" sqref="Z8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57031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764" t="s">
        <v>0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764"/>
      <c r="AD1" s="764"/>
      <c r="AE1" s="764"/>
      <c r="AF1" s="764"/>
      <c r="AG1" s="765" t="s">
        <v>1</v>
      </c>
      <c r="AH1" s="765"/>
      <c r="AI1" s="765"/>
      <c r="AL1" s="2"/>
    </row>
    <row r="2" spans="1:88" ht="20.25" x14ac:dyDescent="0.25">
      <c r="A2" s="3"/>
      <c r="B2" s="766" t="s">
        <v>2</v>
      </c>
      <c r="C2" s="4"/>
      <c r="D2" s="768" t="s">
        <v>3</v>
      </c>
      <c r="E2" s="4"/>
      <c r="F2" s="768" t="s">
        <v>4</v>
      </c>
      <c r="G2" s="4"/>
      <c r="H2" s="768" t="s">
        <v>5</v>
      </c>
      <c r="I2" s="5"/>
      <c r="J2" s="770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AG44</f>
        <v>814.78000000000009</v>
      </c>
      <c r="AH2" s="11" t="s">
        <v>7</v>
      </c>
      <c r="AI2" s="12"/>
      <c r="AM2" s="13"/>
      <c r="AN2" s="14"/>
      <c r="AO2" s="14"/>
    </row>
    <row r="3" spans="1:88" ht="19.5" thickBot="1" x14ac:dyDescent="0.3">
      <c r="A3" s="15"/>
      <c r="B3" s="767"/>
      <c r="C3" s="16"/>
      <c r="D3" s="769"/>
      <c r="E3" s="16"/>
      <c r="F3" s="769"/>
      <c r="G3" s="16"/>
      <c r="H3" s="769"/>
      <c r="I3" s="17"/>
      <c r="J3" s="770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AG62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.75" x14ac:dyDescent="0.25">
      <c r="A4" s="25" t="s">
        <v>11</v>
      </c>
      <c r="B4" s="771" t="e">
        <f ca="1">"2079/"&amp;"10/"&amp;INT(MID(CELL("filename",D6),FIND("]",CELL("filename",D6))+1,200))</f>
        <v>#VALUE!</v>
      </c>
      <c r="C4" s="771"/>
      <c r="D4" s="771"/>
      <c r="E4" s="772" t="e">
        <f ca="1">"2079/"&amp;"10/"&amp;INT(MID(CELL("filename",G6),FIND("]",CELL("filename",G6))+1,200))</f>
        <v>#VALUE!</v>
      </c>
      <c r="F4" s="772"/>
      <c r="G4" s="772"/>
      <c r="H4" s="772" t="e">
        <f ca="1">TEXT(E4,"dddd")</f>
        <v>#VALUE!</v>
      </c>
      <c r="I4" s="772"/>
      <c r="J4" s="26"/>
      <c r="K4" s="1" t="str">
        <f>"Total Peak Supply(Inclusive of Export) ("&amp;ROUND(B245,0)&amp;" MW)"&amp;"    IPP   = "&amp;ROUND(B240,0)&amp;" MW     NEA RoR = "&amp;ROUND(B241,0)&amp;" MWImport   = "&amp;ROUND(B243,0)&amp;" MW      KL1+KL2+K3 = "&amp;ROUND(B242,0) &amp;" MW    EXPORT = "&amp;ROUND(B244,0)</f>
        <v>Total Peak Supply(Inclusive of Export) (0 MW)    IPP   = 0 MW     NEA RoR = 0 MWImport   = 0 MW      KL1+KL2+K3 = 0 MW    EXPORT = 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AG66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customHeight="1" x14ac:dyDescent="0.25">
      <c r="A5" s="29"/>
      <c r="B5" s="30">
        <f t="shared" ref="B5:AE5" si="0">C78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 t="shared" si="0"/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B78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18.75" x14ac:dyDescent="0.25">
      <c r="A6" s="29"/>
      <c r="B6" s="31"/>
      <c r="C6" s="29"/>
      <c r="D6" s="32"/>
      <c r="E6" s="32"/>
      <c r="F6" s="32"/>
      <c r="G6" s="32"/>
      <c r="H6" s="32"/>
      <c r="I6" s="32"/>
      <c r="J6" s="26"/>
      <c r="K6" s="1" t="str">
        <f>"Evening Peak "&amp;ROUND(B245,0)&amp;"MW at "&amp;TRUNC(B246*24,0)&amp;":"&amp;ROUND((B246*24-TRUNC(B246*24,0))*60,0)&amp;"hr at "&amp;ROUND(B247,1)&amp;"Hz     "&amp;A237&amp;" "&amp;ROUND(B237,0)&amp;"MW at "&amp;TRUNC(C237*24,0)&amp;":"&amp;ROUND((C237*24-TRUNC(C237*24,0))*6,0)&amp;"0hr"</f>
        <v>Evening Peak 0MW at 0:0hr at 0Hz     Morning Peak 4MW at 4:60hr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1410.69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 x14ac:dyDescent="0.3">
      <c r="A7" s="34" t="str">
        <f>"Base Load="&amp;ROUND(MIN($B$7:$AF$7),0)</f>
        <v>Base Load=4</v>
      </c>
      <c r="B7" s="35">
        <f t="shared" ref="B7:AF7" si="1">B85</f>
        <v>3.54</v>
      </c>
      <c r="C7" s="35">
        <f t="shared" si="1"/>
        <v>3.54</v>
      </c>
      <c r="D7" s="35">
        <f t="shared" si="1"/>
        <v>3.54</v>
      </c>
      <c r="E7" s="35">
        <f t="shared" si="1"/>
        <v>3.54</v>
      </c>
      <c r="F7" s="35">
        <f t="shared" si="1"/>
        <v>3.54</v>
      </c>
      <c r="G7" s="35">
        <f t="shared" si="1"/>
        <v>3.54</v>
      </c>
      <c r="H7" s="35">
        <f t="shared" si="1"/>
        <v>3.54</v>
      </c>
      <c r="I7" s="35">
        <f t="shared" si="1"/>
        <v>3.54</v>
      </c>
      <c r="J7" s="35">
        <f t="shared" si="1"/>
        <v>3.54</v>
      </c>
      <c r="K7" s="35">
        <f t="shared" si="1"/>
        <v>3.54</v>
      </c>
      <c r="L7" s="35">
        <f t="shared" si="1"/>
        <v>3.54</v>
      </c>
      <c r="M7" s="35">
        <f t="shared" si="1"/>
        <v>3.54</v>
      </c>
      <c r="N7" s="35">
        <f>N85</f>
        <v>3.54</v>
      </c>
      <c r="O7" s="35">
        <f t="shared" si="1"/>
        <v>3.54</v>
      </c>
      <c r="P7" s="35">
        <f t="shared" si="1"/>
        <v>3.54</v>
      </c>
      <c r="Q7" s="35">
        <f t="shared" si="1"/>
        <v>3.54</v>
      </c>
      <c r="R7" s="35">
        <f t="shared" si="1"/>
        <v>3.54</v>
      </c>
      <c r="S7" s="35">
        <f t="shared" si="1"/>
        <v>3.54</v>
      </c>
      <c r="T7" s="35">
        <f t="shared" si="1"/>
        <v>3.54</v>
      </c>
      <c r="U7" s="35">
        <f t="shared" si="1"/>
        <v>3.54</v>
      </c>
      <c r="V7" s="35">
        <f t="shared" si="1"/>
        <v>3.54</v>
      </c>
      <c r="W7" s="35">
        <f t="shared" si="1"/>
        <v>3.54</v>
      </c>
      <c r="X7" s="35">
        <f t="shared" si="1"/>
        <v>3.54</v>
      </c>
      <c r="Y7" s="35">
        <f t="shared" si="1"/>
        <v>3.54</v>
      </c>
      <c r="Z7" s="35">
        <f t="shared" si="1"/>
        <v>3.54</v>
      </c>
      <c r="AA7" s="35">
        <f t="shared" si="1"/>
        <v>3.54</v>
      </c>
      <c r="AB7" s="35">
        <f t="shared" si="1"/>
        <v>3.54</v>
      </c>
      <c r="AC7" s="35">
        <f t="shared" si="1"/>
        <v>3.54</v>
      </c>
      <c r="AD7" s="35">
        <f t="shared" si="1"/>
        <v>3.54</v>
      </c>
      <c r="AE7" s="35">
        <f t="shared" si="1"/>
        <v>3.54</v>
      </c>
      <c r="AF7" s="35">
        <f t="shared" si="1"/>
        <v>3.54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7.25" thickTop="1" thickBot="1" x14ac:dyDescent="0.3">
      <c r="A8" s="38"/>
      <c r="B8" s="773" t="s">
        <v>14</v>
      </c>
      <c r="C8" s="774"/>
      <c r="D8" s="774"/>
      <c r="E8" s="774"/>
      <c r="F8" s="774"/>
      <c r="G8" s="774"/>
      <c r="H8" s="774"/>
      <c r="I8" s="774"/>
      <c r="J8" s="774"/>
      <c r="K8" s="774"/>
      <c r="L8" s="775"/>
      <c r="M8" s="776" t="s">
        <v>15</v>
      </c>
      <c r="N8" s="777"/>
      <c r="O8" s="777"/>
      <c r="P8" s="777"/>
      <c r="Q8" s="777"/>
      <c r="R8" s="778"/>
      <c r="S8" s="776" t="s">
        <v>16</v>
      </c>
      <c r="T8" s="777"/>
      <c r="U8" s="777"/>
      <c r="V8" s="777"/>
      <c r="W8" s="777"/>
      <c r="X8" s="777"/>
      <c r="Y8" s="777"/>
      <c r="Z8" s="777"/>
      <c r="AA8" s="778"/>
      <c r="AB8" s="776" t="s">
        <v>17</v>
      </c>
      <c r="AC8" s="777"/>
      <c r="AD8" s="777"/>
      <c r="AE8" s="777"/>
      <c r="AF8" s="778"/>
      <c r="AG8" s="39"/>
      <c r="AH8" s="40"/>
      <c r="AI8" s="41"/>
      <c r="AL8" s="28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x14ac:dyDescent="0.25">
      <c r="A9" s="779" t="s">
        <v>18</v>
      </c>
      <c r="B9" s="781">
        <v>0</v>
      </c>
      <c r="C9" s="781">
        <v>4.1666666666666664E-2</v>
      </c>
      <c r="D9" s="781">
        <v>8.3333333333333301E-2</v>
      </c>
      <c r="E9" s="781">
        <v>0.125</v>
      </c>
      <c r="F9" s="781">
        <v>0.16666666666666699</v>
      </c>
      <c r="G9" s="781">
        <v>0.20833333333333301</v>
      </c>
      <c r="H9" s="781">
        <v>0.22916666666666666</v>
      </c>
      <c r="I9" s="781">
        <v>0.25</v>
      </c>
      <c r="J9" s="781">
        <v>0.27083333333333331</v>
      </c>
      <c r="K9" s="781">
        <v>0.29166666666666669</v>
      </c>
      <c r="L9" s="781">
        <v>0.3125</v>
      </c>
      <c r="M9" s="783">
        <v>0.33333333333333331</v>
      </c>
      <c r="N9" s="783">
        <v>0.375</v>
      </c>
      <c r="O9" s="783">
        <v>0.41666666666666702</v>
      </c>
      <c r="P9" s="783">
        <v>0.45833333333333298</v>
      </c>
      <c r="Q9" s="783">
        <v>0.5</v>
      </c>
      <c r="R9" s="783">
        <v>0.54166666666666696</v>
      </c>
      <c r="S9" s="785">
        <v>0.58333333333333304</v>
      </c>
      <c r="T9" s="785">
        <v>0.625</v>
      </c>
      <c r="U9" s="785">
        <v>0.66666666666666696</v>
      </c>
      <c r="V9" s="785">
        <v>0.70833333333333304</v>
      </c>
      <c r="W9" s="785">
        <v>0.72916666666666663</v>
      </c>
      <c r="X9" s="785">
        <v>0.75</v>
      </c>
      <c r="Y9" s="785">
        <v>0.77083333333333337</v>
      </c>
      <c r="Z9" s="785">
        <v>0.79166666666666663</v>
      </c>
      <c r="AA9" s="785">
        <v>0.8125</v>
      </c>
      <c r="AB9" s="785">
        <v>0.83333333333333337</v>
      </c>
      <c r="AC9" s="785">
        <v>0.85416666666666663</v>
      </c>
      <c r="AD9" s="785">
        <v>0.875</v>
      </c>
      <c r="AE9" s="785">
        <v>0.91666666666666696</v>
      </c>
      <c r="AF9" s="785">
        <v>0.95833333333333304</v>
      </c>
      <c r="AG9" s="789" t="s">
        <v>1</v>
      </c>
      <c r="AH9" s="42"/>
      <c r="AI9" s="41"/>
      <c r="AL9" s="28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5.75" thickBot="1" x14ac:dyDescent="0.3">
      <c r="A10" s="780"/>
      <c r="B10" s="782"/>
      <c r="C10" s="782"/>
      <c r="D10" s="782"/>
      <c r="E10" s="782"/>
      <c r="F10" s="782"/>
      <c r="G10" s="782"/>
      <c r="H10" s="782"/>
      <c r="I10" s="782"/>
      <c r="J10" s="782"/>
      <c r="K10" s="782"/>
      <c r="L10" s="782"/>
      <c r="M10" s="784"/>
      <c r="N10" s="784"/>
      <c r="O10" s="784"/>
      <c r="P10" s="784"/>
      <c r="Q10" s="784"/>
      <c r="R10" s="784"/>
      <c r="S10" s="782"/>
      <c r="T10" s="782"/>
      <c r="U10" s="782"/>
      <c r="V10" s="782"/>
      <c r="W10" s="782"/>
      <c r="X10" s="782"/>
      <c r="Y10" s="782"/>
      <c r="Z10" s="782"/>
      <c r="AA10" s="782"/>
      <c r="AB10" s="782"/>
      <c r="AC10" s="782"/>
      <c r="AD10" s="782"/>
      <c r="AE10" s="782"/>
      <c r="AF10" s="782"/>
      <c r="AG10" s="790"/>
      <c r="AH10" s="43"/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thickTop="1" x14ac:dyDescent="0.25">
      <c r="A11" s="44" t="s">
        <v>19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6">
        <v>52.4</v>
      </c>
      <c r="AH11" s="47">
        <f t="shared" ref="AH11:AH74" si="2">MAX(B11:AF11)</f>
        <v>0</v>
      </c>
      <c r="AI11" s="48">
        <f t="shared" ref="AI11:AI74" si="3">MIN(B11:AF11)</f>
        <v>0</v>
      </c>
      <c r="AK11" s="49"/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 x14ac:dyDescent="0.25">
      <c r="A12" s="44" t="s">
        <v>20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50">
        <v>50</v>
      </c>
      <c r="AH12" s="47">
        <f t="shared" si="2"/>
        <v>0</v>
      </c>
      <c r="AI12" s="48">
        <f t="shared" si="3"/>
        <v>0</v>
      </c>
      <c r="AK12" s="49"/>
      <c r="AL12" s="28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 x14ac:dyDescent="0.25">
      <c r="A13" s="44" t="s">
        <v>21</v>
      </c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50">
        <v>45</v>
      </c>
      <c r="AH13" s="47">
        <f t="shared" si="2"/>
        <v>0</v>
      </c>
      <c r="AI13" s="48">
        <f t="shared" si="3"/>
        <v>0</v>
      </c>
      <c r="AK13" s="49"/>
      <c r="AL13" s="28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x14ac:dyDescent="0.25">
      <c r="A14" s="44" t="s">
        <v>22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50">
        <v>42</v>
      </c>
      <c r="AH14" s="47">
        <f t="shared" si="2"/>
        <v>0</v>
      </c>
      <c r="AI14" s="48">
        <f t="shared" si="3"/>
        <v>0</v>
      </c>
      <c r="AK14" s="49"/>
      <c r="AL14" s="28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x14ac:dyDescent="0.25">
      <c r="A15" s="44" t="s">
        <v>23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50">
        <v>36</v>
      </c>
      <c r="AH15" s="47">
        <f t="shared" si="2"/>
        <v>0</v>
      </c>
      <c r="AI15" s="48">
        <f t="shared" si="3"/>
        <v>0</v>
      </c>
      <c r="AK15" s="49"/>
      <c r="AL15" s="28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 x14ac:dyDescent="0.25">
      <c r="A16" s="44" t="s">
        <v>24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51">
        <v>30</v>
      </c>
      <c r="AH16" s="47">
        <f t="shared" si="2"/>
        <v>0</v>
      </c>
      <c r="AI16" s="48">
        <f t="shared" si="3"/>
        <v>0</v>
      </c>
      <c r="AK16" s="49"/>
      <c r="AL16" s="28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 x14ac:dyDescent="0.25">
      <c r="A17" s="44" t="s">
        <v>25</v>
      </c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50">
        <v>24.2</v>
      </c>
      <c r="AH17" s="47">
        <f t="shared" si="2"/>
        <v>0</v>
      </c>
      <c r="AI17" s="48">
        <f t="shared" si="3"/>
        <v>0</v>
      </c>
      <c r="AK17" s="49"/>
      <c r="AL17" s="28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 x14ac:dyDescent="0.25">
      <c r="A18" s="44" t="s">
        <v>26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50">
        <v>28</v>
      </c>
      <c r="AH18" s="47">
        <f t="shared" si="2"/>
        <v>0</v>
      </c>
      <c r="AI18" s="48">
        <f t="shared" si="3"/>
        <v>0</v>
      </c>
      <c r="AK18" s="49"/>
      <c r="AL18" s="28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 x14ac:dyDescent="0.25">
      <c r="A19" s="44" t="s">
        <v>27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51">
        <v>30</v>
      </c>
      <c r="AH19" s="47">
        <f t="shared" si="2"/>
        <v>0</v>
      </c>
      <c r="AI19" s="48">
        <f t="shared" si="3"/>
        <v>0</v>
      </c>
      <c r="AK19" s="49"/>
      <c r="AL19" s="28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 x14ac:dyDescent="0.25">
      <c r="A20" s="44" t="s">
        <v>28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50">
        <v>25</v>
      </c>
      <c r="AH20" s="47">
        <f t="shared" si="2"/>
        <v>0</v>
      </c>
      <c r="AI20" s="48">
        <f t="shared" si="3"/>
        <v>0</v>
      </c>
      <c r="AK20" s="49"/>
      <c r="AL20" s="28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 x14ac:dyDescent="0.25">
      <c r="A21" s="44" t="s">
        <v>29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50">
        <v>25</v>
      </c>
      <c r="AH21" s="47">
        <f t="shared" si="2"/>
        <v>0</v>
      </c>
      <c r="AI21" s="48">
        <f t="shared" si="3"/>
        <v>0</v>
      </c>
      <c r="AK21" s="49"/>
      <c r="AL21" s="28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 x14ac:dyDescent="0.25">
      <c r="A22" s="44" t="s">
        <v>30</v>
      </c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50">
        <v>25</v>
      </c>
      <c r="AH22" s="47">
        <f t="shared" si="2"/>
        <v>0</v>
      </c>
      <c r="AI22" s="48">
        <f t="shared" si="3"/>
        <v>0</v>
      </c>
      <c r="AK22" s="49"/>
      <c r="AL22" s="28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 x14ac:dyDescent="0.25">
      <c r="A23" s="44" t="s">
        <v>31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50">
        <v>25</v>
      </c>
      <c r="AH23" s="47">
        <f t="shared" si="2"/>
        <v>0</v>
      </c>
      <c r="AI23" s="48">
        <f t="shared" si="3"/>
        <v>0</v>
      </c>
      <c r="AK23" s="49"/>
      <c r="AL23" s="28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 x14ac:dyDescent="0.25">
      <c r="A24" s="44" t="s">
        <v>32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50">
        <v>23.5</v>
      </c>
      <c r="AH24" s="47">
        <f t="shared" si="2"/>
        <v>0</v>
      </c>
      <c r="AI24" s="48">
        <f t="shared" si="3"/>
        <v>0</v>
      </c>
      <c r="AK24" s="49"/>
      <c r="AL24" s="28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 x14ac:dyDescent="0.25">
      <c r="A25" s="44" t="s">
        <v>33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50">
        <v>22.2</v>
      </c>
      <c r="AH25" s="47">
        <f t="shared" si="2"/>
        <v>0</v>
      </c>
      <c r="AI25" s="48">
        <f t="shared" si="3"/>
        <v>0</v>
      </c>
      <c r="AK25" s="49"/>
      <c r="AL25" s="28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 x14ac:dyDescent="0.25">
      <c r="A26" s="44" t="s">
        <v>34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50">
        <v>22.1</v>
      </c>
      <c r="AH26" s="47">
        <f t="shared" si="2"/>
        <v>0</v>
      </c>
      <c r="AI26" s="48">
        <f t="shared" si="3"/>
        <v>0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 x14ac:dyDescent="0.25">
      <c r="A27" s="44" t="s">
        <v>35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50">
        <v>22</v>
      </c>
      <c r="AH27" s="47">
        <f t="shared" si="2"/>
        <v>0</v>
      </c>
      <c r="AI27" s="48">
        <f t="shared" si="3"/>
        <v>0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 x14ac:dyDescent="0.25">
      <c r="A28" s="44" t="s">
        <v>36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50">
        <v>22</v>
      </c>
      <c r="AH28" s="47">
        <f t="shared" si="2"/>
        <v>0</v>
      </c>
      <c r="AI28" s="48">
        <f t="shared" si="3"/>
        <v>0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 x14ac:dyDescent="0.25">
      <c r="A29" s="44" t="s">
        <v>37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50">
        <v>20</v>
      </c>
      <c r="AH29" s="47">
        <f t="shared" si="2"/>
        <v>0</v>
      </c>
      <c r="AI29" s="48">
        <f t="shared" si="3"/>
        <v>0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 x14ac:dyDescent="0.25">
      <c r="A30" s="44" t="s">
        <v>38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50">
        <v>18</v>
      </c>
      <c r="AH30" s="47">
        <f t="shared" si="2"/>
        <v>0</v>
      </c>
      <c r="AI30" s="48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 x14ac:dyDescent="0.25">
      <c r="A31" s="44" t="s">
        <v>39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50">
        <v>14.9</v>
      </c>
      <c r="AH31" s="47">
        <f t="shared" si="2"/>
        <v>0</v>
      </c>
      <c r="AI31" s="48">
        <f t="shared" si="3"/>
        <v>0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 x14ac:dyDescent="0.25">
      <c r="A32" s="44" t="s">
        <v>40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50">
        <v>13.6</v>
      </c>
      <c r="AH32" s="47">
        <f t="shared" si="2"/>
        <v>0</v>
      </c>
      <c r="AI32" s="48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 x14ac:dyDescent="0.25">
      <c r="A33" s="44" t="s">
        <v>41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50">
        <v>13</v>
      </c>
      <c r="AH33" s="47">
        <f t="shared" si="2"/>
        <v>0</v>
      </c>
      <c r="AI33" s="48">
        <f t="shared" si="3"/>
        <v>0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 x14ac:dyDescent="0.25">
      <c r="A34" s="44" t="s">
        <v>42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50">
        <v>12</v>
      </c>
      <c r="AH34" s="47">
        <f t="shared" si="2"/>
        <v>0</v>
      </c>
      <c r="AI34" s="48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 x14ac:dyDescent="0.25">
      <c r="A35" s="44" t="s">
        <v>43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50">
        <v>12</v>
      </c>
      <c r="AH35" s="47">
        <f t="shared" si="2"/>
        <v>0</v>
      </c>
      <c r="AI35" s="48">
        <f t="shared" si="3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 x14ac:dyDescent="0.25">
      <c r="A36" s="44" t="s">
        <v>44</v>
      </c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50">
        <v>12</v>
      </c>
      <c r="AH36" s="47">
        <f t="shared" si="2"/>
        <v>0</v>
      </c>
      <c r="AI36" s="48">
        <f t="shared" si="3"/>
        <v>0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 ht="14.25" customHeight="1" x14ac:dyDescent="0.25">
      <c r="A37" s="44" t="s">
        <v>45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52">
        <v>22</v>
      </c>
      <c r="AH37" s="47">
        <f t="shared" si="2"/>
        <v>0</v>
      </c>
      <c r="AI37" s="48">
        <f t="shared" si="3"/>
        <v>0</v>
      </c>
      <c r="AK37" s="49"/>
      <c r="AL37" s="28"/>
      <c r="AM37" s="24"/>
      <c r="AN37" s="24"/>
      <c r="AO37" s="24"/>
      <c r="AP37" s="24"/>
      <c r="AQ37" s="15"/>
      <c r="AR37" s="21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 ht="14.25" customHeight="1" x14ac:dyDescent="0.25">
      <c r="A38" s="44" t="s">
        <v>46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51">
        <v>11.88</v>
      </c>
      <c r="AH38" s="47">
        <f t="shared" si="2"/>
        <v>0</v>
      </c>
      <c r="AI38" s="48">
        <f t="shared" si="3"/>
        <v>0</v>
      </c>
      <c r="AK38" s="49"/>
      <c r="AL38" s="28"/>
      <c r="AM38" s="24"/>
      <c r="AN38" s="24"/>
      <c r="AO38" s="24"/>
      <c r="AP38" s="24"/>
      <c r="AQ38" s="15"/>
      <c r="AR38" s="21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 ht="14.25" customHeight="1" x14ac:dyDescent="0.25">
      <c r="A39" s="53" t="s">
        <v>47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54">
        <v>11</v>
      </c>
      <c r="AH39" s="47">
        <f t="shared" si="2"/>
        <v>0</v>
      </c>
      <c r="AI39" s="48">
        <f t="shared" si="3"/>
        <v>0</v>
      </c>
      <c r="AK39" s="49"/>
      <c r="AL39" s="28"/>
      <c r="AM39" s="24"/>
      <c r="AN39" s="24"/>
      <c r="AO39" s="24"/>
      <c r="AP39" s="24"/>
      <c r="AQ39" s="15"/>
      <c r="AR39" s="21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 ht="14.25" customHeight="1" x14ac:dyDescent="0.25">
      <c r="A40" s="53" t="s">
        <v>48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54">
        <v>10</v>
      </c>
      <c r="AH40" s="47">
        <f t="shared" si="2"/>
        <v>0</v>
      </c>
      <c r="AI40" s="48">
        <f t="shared" si="3"/>
        <v>0</v>
      </c>
      <c r="AK40" s="49"/>
      <c r="AL40" s="28"/>
      <c r="AM40" s="24"/>
      <c r="AN40" s="24"/>
      <c r="AO40" s="24"/>
      <c r="AP40" s="24"/>
      <c r="AQ40" s="15"/>
      <c r="AR40" s="21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 x14ac:dyDescent="0.25">
      <c r="A41" s="53" t="s">
        <v>49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54">
        <v>10</v>
      </c>
      <c r="AH41" s="47">
        <f t="shared" si="2"/>
        <v>0</v>
      </c>
      <c r="AI41" s="48">
        <f t="shared" si="3"/>
        <v>0</v>
      </c>
      <c r="AK41" s="49"/>
      <c r="AL41" s="28"/>
      <c r="AO41" s="24"/>
      <c r="AP41" s="24"/>
      <c r="AQ41" s="15"/>
      <c r="AR41" s="21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 x14ac:dyDescent="0.25">
      <c r="A42" s="55" t="s">
        <v>50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4">
        <v>85</v>
      </c>
      <c r="AH42" s="47">
        <f t="shared" si="2"/>
        <v>0</v>
      </c>
      <c r="AI42" s="48">
        <f t="shared" si="3"/>
        <v>0</v>
      </c>
      <c r="AK42" s="49"/>
    </row>
    <row r="43" spans="1:88" ht="15.75" thickBot="1" x14ac:dyDescent="0.3">
      <c r="A43" s="57" t="s">
        <v>51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6"/>
      <c r="Y43" s="56"/>
      <c r="Z43" s="56"/>
      <c r="AA43" s="56"/>
      <c r="AB43" s="56"/>
      <c r="AC43" s="56"/>
      <c r="AD43" s="56"/>
      <c r="AE43" s="56"/>
      <c r="AF43" s="56"/>
      <c r="AG43" s="54">
        <v>240</v>
      </c>
      <c r="AH43" s="47">
        <f t="shared" si="2"/>
        <v>0</v>
      </c>
      <c r="AI43" s="48">
        <f t="shared" si="3"/>
        <v>0</v>
      </c>
      <c r="AK43" s="49"/>
    </row>
    <row r="44" spans="1:88" ht="15.75" thickBot="1" x14ac:dyDescent="0.3">
      <c r="A44" s="59" t="s">
        <v>52</v>
      </c>
      <c r="B44" s="60">
        <f t="shared" ref="B44:AG44" si="4">SUM(B11:B42)</f>
        <v>0</v>
      </c>
      <c r="C44" s="60">
        <f t="shared" si="4"/>
        <v>0</v>
      </c>
      <c r="D44" s="60">
        <f t="shared" si="4"/>
        <v>0</v>
      </c>
      <c r="E44" s="60">
        <f t="shared" si="4"/>
        <v>0</v>
      </c>
      <c r="F44" s="60">
        <f t="shared" si="4"/>
        <v>0</v>
      </c>
      <c r="G44" s="60">
        <f t="shared" si="4"/>
        <v>0</v>
      </c>
      <c r="H44" s="60">
        <f t="shared" si="4"/>
        <v>0</v>
      </c>
      <c r="I44" s="60">
        <f t="shared" si="4"/>
        <v>0</v>
      </c>
      <c r="J44" s="60">
        <f t="shared" si="4"/>
        <v>0</v>
      </c>
      <c r="K44" s="60">
        <f t="shared" si="4"/>
        <v>0</v>
      </c>
      <c r="L44" s="60">
        <f t="shared" si="4"/>
        <v>0</v>
      </c>
      <c r="M44" s="60">
        <f t="shared" si="4"/>
        <v>0</v>
      </c>
      <c r="N44" s="60">
        <f t="shared" si="4"/>
        <v>0</v>
      </c>
      <c r="O44" s="60">
        <f t="shared" si="4"/>
        <v>0</v>
      </c>
      <c r="P44" s="60">
        <f t="shared" si="4"/>
        <v>0</v>
      </c>
      <c r="Q44" s="60">
        <f t="shared" si="4"/>
        <v>0</v>
      </c>
      <c r="R44" s="60">
        <f t="shared" si="4"/>
        <v>0</v>
      </c>
      <c r="S44" s="60">
        <f t="shared" si="4"/>
        <v>0</v>
      </c>
      <c r="T44" s="60">
        <f t="shared" si="4"/>
        <v>0</v>
      </c>
      <c r="U44" s="60">
        <f t="shared" si="4"/>
        <v>0</v>
      </c>
      <c r="V44" s="60">
        <f t="shared" si="4"/>
        <v>0</v>
      </c>
      <c r="W44" s="60">
        <f t="shared" si="4"/>
        <v>0</v>
      </c>
      <c r="X44" s="60">
        <f t="shared" si="4"/>
        <v>0</v>
      </c>
      <c r="Y44" s="60">
        <f t="shared" si="4"/>
        <v>0</v>
      </c>
      <c r="Z44" s="60">
        <f t="shared" si="4"/>
        <v>0</v>
      </c>
      <c r="AA44" s="60">
        <f t="shared" si="4"/>
        <v>0</v>
      </c>
      <c r="AB44" s="60">
        <f t="shared" si="4"/>
        <v>0</v>
      </c>
      <c r="AC44" s="60">
        <f t="shared" si="4"/>
        <v>0</v>
      </c>
      <c r="AD44" s="60">
        <f t="shared" si="4"/>
        <v>0</v>
      </c>
      <c r="AE44" s="60">
        <f t="shared" si="4"/>
        <v>0</v>
      </c>
      <c r="AF44" s="60">
        <f t="shared" si="4"/>
        <v>0</v>
      </c>
      <c r="AG44" s="61">
        <f t="shared" si="4"/>
        <v>814.78000000000009</v>
      </c>
      <c r="AH44" s="47">
        <f t="shared" si="2"/>
        <v>0</v>
      </c>
      <c r="AI44" s="48">
        <f t="shared" si="3"/>
        <v>0</v>
      </c>
      <c r="AK44" s="49"/>
    </row>
    <row r="45" spans="1:88" x14ac:dyDescent="0.25">
      <c r="A45" s="62" t="s">
        <v>53</v>
      </c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63"/>
      <c r="N45" s="63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51">
        <v>456</v>
      </c>
      <c r="AH45" s="47">
        <f t="shared" si="2"/>
        <v>0</v>
      </c>
      <c r="AI45" s="48">
        <f t="shared" si="3"/>
        <v>0</v>
      </c>
      <c r="AK45" s="49"/>
    </row>
    <row r="46" spans="1:88" x14ac:dyDescent="0.25">
      <c r="A46" s="64" t="s">
        <v>54</v>
      </c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54">
        <v>60</v>
      </c>
      <c r="AH46" s="47">
        <f t="shared" si="2"/>
        <v>0</v>
      </c>
      <c r="AI46" s="48">
        <f t="shared" si="3"/>
        <v>0</v>
      </c>
      <c r="AK46" s="49"/>
    </row>
    <row r="47" spans="1:88" ht="15.75" thickBot="1" x14ac:dyDescent="0.3">
      <c r="A47" s="66" t="s">
        <v>55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8">
        <v>22.1</v>
      </c>
      <c r="AH47" s="47">
        <f t="shared" si="2"/>
        <v>0</v>
      </c>
      <c r="AI47" s="48">
        <f t="shared" si="3"/>
        <v>0</v>
      </c>
      <c r="AK47" s="49"/>
    </row>
    <row r="48" spans="1:88" ht="15.75" thickBot="1" x14ac:dyDescent="0.3">
      <c r="A48" s="69" t="s">
        <v>56</v>
      </c>
      <c r="B48" s="60">
        <f t="shared" ref="B48:AG48" si="5">SUM(B45:B47)</f>
        <v>0</v>
      </c>
      <c r="C48" s="60">
        <f t="shared" si="5"/>
        <v>0</v>
      </c>
      <c r="D48" s="60">
        <f t="shared" si="5"/>
        <v>0</v>
      </c>
      <c r="E48" s="60">
        <f t="shared" si="5"/>
        <v>0</v>
      </c>
      <c r="F48" s="60">
        <f t="shared" si="5"/>
        <v>0</v>
      </c>
      <c r="G48" s="60">
        <f t="shared" si="5"/>
        <v>0</v>
      </c>
      <c r="H48" s="60">
        <f t="shared" si="5"/>
        <v>0</v>
      </c>
      <c r="I48" s="60">
        <f t="shared" si="5"/>
        <v>0</v>
      </c>
      <c r="J48" s="60">
        <f t="shared" si="5"/>
        <v>0</v>
      </c>
      <c r="K48" s="60">
        <f t="shared" si="5"/>
        <v>0</v>
      </c>
      <c r="L48" s="60">
        <f t="shared" si="5"/>
        <v>0</v>
      </c>
      <c r="M48" s="60">
        <f t="shared" si="5"/>
        <v>0</v>
      </c>
      <c r="N48" s="60">
        <f t="shared" si="5"/>
        <v>0</v>
      </c>
      <c r="O48" s="60">
        <f t="shared" si="5"/>
        <v>0</v>
      </c>
      <c r="P48" s="60">
        <f t="shared" si="5"/>
        <v>0</v>
      </c>
      <c r="Q48" s="60">
        <f t="shared" si="5"/>
        <v>0</v>
      </c>
      <c r="R48" s="60">
        <f t="shared" si="5"/>
        <v>0</v>
      </c>
      <c r="S48" s="60">
        <f t="shared" si="5"/>
        <v>0</v>
      </c>
      <c r="T48" s="60">
        <f t="shared" si="5"/>
        <v>0</v>
      </c>
      <c r="U48" s="60">
        <f t="shared" si="5"/>
        <v>0</v>
      </c>
      <c r="V48" s="60">
        <f t="shared" si="5"/>
        <v>0</v>
      </c>
      <c r="W48" s="60">
        <f t="shared" si="5"/>
        <v>0</v>
      </c>
      <c r="X48" s="60">
        <f t="shared" si="5"/>
        <v>0</v>
      </c>
      <c r="Y48" s="60">
        <f t="shared" si="5"/>
        <v>0</v>
      </c>
      <c r="Z48" s="60">
        <f t="shared" si="5"/>
        <v>0</v>
      </c>
      <c r="AA48" s="60">
        <f t="shared" si="5"/>
        <v>0</v>
      </c>
      <c r="AB48" s="60">
        <f t="shared" si="5"/>
        <v>0</v>
      </c>
      <c r="AC48" s="60">
        <f t="shared" si="5"/>
        <v>0</v>
      </c>
      <c r="AD48" s="60">
        <f t="shared" si="5"/>
        <v>0</v>
      </c>
      <c r="AE48" s="60">
        <f t="shared" si="5"/>
        <v>0</v>
      </c>
      <c r="AF48" s="60">
        <f t="shared" si="5"/>
        <v>0</v>
      </c>
      <c r="AG48" s="61">
        <f t="shared" si="5"/>
        <v>538.1</v>
      </c>
      <c r="AH48" s="47">
        <f t="shared" si="2"/>
        <v>0</v>
      </c>
      <c r="AI48" s="48">
        <f t="shared" si="3"/>
        <v>0</v>
      </c>
      <c r="AK48" s="49"/>
    </row>
    <row r="49" spans="1:41" x14ac:dyDescent="0.25">
      <c r="A49" s="44" t="s">
        <v>57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51">
        <v>144</v>
      </c>
      <c r="AH49" s="47">
        <f t="shared" si="2"/>
        <v>0</v>
      </c>
      <c r="AI49" s="48">
        <f t="shared" si="3"/>
        <v>0</v>
      </c>
      <c r="AK49" s="49"/>
    </row>
    <row r="50" spans="1:41" x14ac:dyDescent="0.25">
      <c r="A50" s="53" t="s">
        <v>58</v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65"/>
      <c r="AC50" s="65"/>
      <c r="AD50" s="65"/>
      <c r="AE50" s="65"/>
      <c r="AF50" s="65"/>
      <c r="AG50" s="54">
        <v>70</v>
      </c>
      <c r="AH50" s="47">
        <f t="shared" si="2"/>
        <v>0</v>
      </c>
      <c r="AI50" s="48">
        <f t="shared" si="3"/>
        <v>0</v>
      </c>
      <c r="AK50" s="49"/>
    </row>
    <row r="51" spans="1:41" x14ac:dyDescent="0.25">
      <c r="A51" s="53" t="s">
        <v>59</v>
      </c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65"/>
      <c r="AC51" s="65"/>
      <c r="AD51" s="65"/>
      <c r="AE51" s="65"/>
      <c r="AF51" s="65"/>
      <c r="AG51" s="54">
        <v>69</v>
      </c>
      <c r="AH51" s="47">
        <f t="shared" si="2"/>
        <v>0</v>
      </c>
      <c r="AI51" s="48">
        <f t="shared" si="3"/>
        <v>0</v>
      </c>
      <c r="AK51" s="49"/>
    </row>
    <row r="52" spans="1:41" x14ac:dyDescent="0.25">
      <c r="A52" s="53" t="s">
        <v>60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65"/>
      <c r="N52" s="65"/>
      <c r="O52" s="65"/>
      <c r="P52" s="65"/>
      <c r="Q52" s="65"/>
      <c r="R52" s="45"/>
      <c r="S52" s="45"/>
      <c r="T52" s="45"/>
      <c r="U52" s="45"/>
      <c r="V52" s="4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54">
        <v>60</v>
      </c>
      <c r="AH52" s="47">
        <f t="shared" si="2"/>
        <v>0</v>
      </c>
      <c r="AI52" s="48">
        <f t="shared" si="3"/>
        <v>0</v>
      </c>
      <c r="AK52" s="49"/>
    </row>
    <row r="53" spans="1:41" x14ac:dyDescent="0.25">
      <c r="A53" s="53" t="s">
        <v>61</v>
      </c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65"/>
      <c r="N53" s="65"/>
      <c r="O53" s="65"/>
      <c r="P53" s="65"/>
      <c r="Q53" s="65"/>
      <c r="R53" s="45"/>
      <c r="S53" s="45"/>
      <c r="T53" s="45"/>
      <c r="U53" s="45"/>
      <c r="V53" s="4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54">
        <v>30</v>
      </c>
      <c r="AH53" s="47">
        <f t="shared" si="2"/>
        <v>0</v>
      </c>
      <c r="AI53" s="48">
        <f t="shared" si="3"/>
        <v>0</v>
      </c>
      <c r="AK53" s="49"/>
    </row>
    <row r="54" spans="1:41" x14ac:dyDescent="0.25">
      <c r="A54" s="53" t="s">
        <v>62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65"/>
      <c r="N54" s="65"/>
      <c r="O54" s="65"/>
      <c r="P54" s="65"/>
      <c r="Q54" s="65"/>
      <c r="R54" s="45"/>
      <c r="S54" s="45"/>
      <c r="T54" s="45"/>
      <c r="U54" s="45"/>
      <c r="V54" s="45"/>
      <c r="W54" s="45"/>
      <c r="X54" s="65"/>
      <c r="Y54" s="65"/>
      <c r="Z54" s="65"/>
      <c r="AA54" s="65"/>
      <c r="AB54" s="65"/>
      <c r="AC54" s="65"/>
      <c r="AD54" s="65"/>
      <c r="AE54" s="65"/>
      <c r="AF54" s="65"/>
      <c r="AG54" s="54">
        <v>25</v>
      </c>
      <c r="AH54" s="47">
        <f t="shared" si="2"/>
        <v>0</v>
      </c>
      <c r="AI54" s="48">
        <f t="shared" si="3"/>
        <v>0</v>
      </c>
      <c r="AK54" s="49"/>
    </row>
    <row r="55" spans="1:41" x14ac:dyDescent="0.25">
      <c r="A55" s="53" t="s">
        <v>63</v>
      </c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45"/>
      <c r="S55" s="45"/>
      <c r="T55" s="45"/>
      <c r="U55" s="45"/>
      <c r="V55" s="4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54">
        <v>24</v>
      </c>
      <c r="AH55" s="47">
        <f t="shared" si="2"/>
        <v>0</v>
      </c>
      <c r="AI55" s="48">
        <f t="shared" si="3"/>
        <v>0</v>
      </c>
      <c r="AK55" s="49"/>
    </row>
    <row r="56" spans="1:41" x14ac:dyDescent="0.25">
      <c r="A56" s="53" t="s">
        <v>64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45"/>
      <c r="S56" s="45"/>
      <c r="T56" s="45"/>
      <c r="U56" s="45"/>
      <c r="V56" s="4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54">
        <v>15</v>
      </c>
      <c r="AH56" s="47">
        <f t="shared" si="2"/>
        <v>0</v>
      </c>
      <c r="AI56" s="48">
        <f t="shared" si="3"/>
        <v>0</v>
      </c>
      <c r="AK56" s="49"/>
      <c r="AL56" s="70"/>
      <c r="AO56" s="70"/>
    </row>
    <row r="57" spans="1:41" s="70" customFormat="1" x14ac:dyDescent="0.25">
      <c r="A57" s="53" t="s">
        <v>65</v>
      </c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54">
        <v>14.1</v>
      </c>
      <c r="AH57" s="47">
        <f t="shared" si="2"/>
        <v>0</v>
      </c>
      <c r="AI57" s="48">
        <f t="shared" si="3"/>
        <v>0</v>
      </c>
      <c r="AJ57" s="1"/>
      <c r="AK57" s="49"/>
      <c r="AL57" s="1"/>
      <c r="AM57" s="1"/>
      <c r="AN57" s="1"/>
      <c r="AO57" s="1"/>
    </row>
    <row r="58" spans="1:41" x14ac:dyDescent="0.25">
      <c r="A58" s="71" t="s">
        <v>66</v>
      </c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54">
        <v>14</v>
      </c>
      <c r="AH58" s="47">
        <f t="shared" si="2"/>
        <v>0</v>
      </c>
      <c r="AI58" s="48">
        <f t="shared" si="3"/>
        <v>0</v>
      </c>
      <c r="AK58" s="49"/>
    </row>
    <row r="59" spans="1:41" x14ac:dyDescent="0.25">
      <c r="A59" s="53" t="s">
        <v>67</v>
      </c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54">
        <v>10.050000000000001</v>
      </c>
      <c r="AH59" s="47">
        <f t="shared" si="2"/>
        <v>0</v>
      </c>
      <c r="AI59" s="48">
        <f t="shared" si="3"/>
        <v>0</v>
      </c>
      <c r="AK59" s="49"/>
    </row>
    <row r="60" spans="1:41" x14ac:dyDescent="0.25">
      <c r="A60" s="53" t="s">
        <v>68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54">
        <v>6.2</v>
      </c>
      <c r="AH60" s="47">
        <f t="shared" si="2"/>
        <v>0</v>
      </c>
      <c r="AI60" s="48">
        <f t="shared" si="3"/>
        <v>0</v>
      </c>
      <c r="AK60" s="49"/>
    </row>
    <row r="61" spans="1:41" ht="15.75" thickBot="1" x14ac:dyDescent="0.3">
      <c r="A61" s="55" t="s">
        <v>69</v>
      </c>
      <c r="B61" s="72">
        <v>3.54</v>
      </c>
      <c r="C61" s="72">
        <v>3.54</v>
      </c>
      <c r="D61" s="72">
        <v>3.54</v>
      </c>
      <c r="E61" s="72">
        <v>3.54</v>
      </c>
      <c r="F61" s="72">
        <v>3.54</v>
      </c>
      <c r="G61" s="72">
        <v>3.54</v>
      </c>
      <c r="H61" s="72">
        <v>3.54</v>
      </c>
      <c r="I61" s="72">
        <v>3.54</v>
      </c>
      <c r="J61" s="72">
        <v>3.54</v>
      </c>
      <c r="K61" s="72">
        <v>3.54</v>
      </c>
      <c r="L61" s="72">
        <v>3.54</v>
      </c>
      <c r="M61" s="72">
        <v>3.54</v>
      </c>
      <c r="N61" s="72">
        <v>3.54</v>
      </c>
      <c r="O61" s="72">
        <v>3.54</v>
      </c>
      <c r="P61" s="72">
        <v>3.54</v>
      </c>
      <c r="Q61" s="72">
        <v>3.54</v>
      </c>
      <c r="R61" s="72">
        <v>3.54</v>
      </c>
      <c r="S61" s="72">
        <v>3.54</v>
      </c>
      <c r="T61" s="72">
        <v>3.54</v>
      </c>
      <c r="U61" s="72">
        <v>3.54</v>
      </c>
      <c r="V61" s="72">
        <v>3.54</v>
      </c>
      <c r="W61" s="72">
        <v>3.54</v>
      </c>
      <c r="X61" s="72">
        <v>3.54</v>
      </c>
      <c r="Y61" s="72">
        <v>3.54</v>
      </c>
      <c r="Z61" s="72">
        <v>3.54</v>
      </c>
      <c r="AA61" s="72">
        <v>3.54</v>
      </c>
      <c r="AB61" s="72">
        <v>3.54</v>
      </c>
      <c r="AC61" s="72">
        <v>3.54</v>
      </c>
      <c r="AD61" s="72">
        <v>3.54</v>
      </c>
      <c r="AE61" s="72">
        <v>3.54</v>
      </c>
      <c r="AF61" s="72">
        <v>3.54</v>
      </c>
      <c r="AG61" s="73">
        <f>AG228</f>
        <v>8.56</v>
      </c>
      <c r="AH61" s="47">
        <f t="shared" si="2"/>
        <v>3.54</v>
      </c>
      <c r="AI61" s="48">
        <f t="shared" si="3"/>
        <v>3.54</v>
      </c>
      <c r="AK61" s="49"/>
    </row>
    <row r="62" spans="1:41" ht="15.75" thickBot="1" x14ac:dyDescent="0.3">
      <c r="A62" s="74" t="s">
        <v>70</v>
      </c>
      <c r="B62" s="60">
        <f t="shared" ref="B62:AG62" si="6">SUM(B49:B61)</f>
        <v>3.54</v>
      </c>
      <c r="C62" s="60">
        <f t="shared" si="6"/>
        <v>3.54</v>
      </c>
      <c r="D62" s="60">
        <f t="shared" si="6"/>
        <v>3.54</v>
      </c>
      <c r="E62" s="60">
        <f t="shared" si="6"/>
        <v>3.54</v>
      </c>
      <c r="F62" s="60">
        <f t="shared" si="6"/>
        <v>3.54</v>
      </c>
      <c r="G62" s="60">
        <f t="shared" si="6"/>
        <v>3.54</v>
      </c>
      <c r="H62" s="60">
        <f t="shared" si="6"/>
        <v>3.54</v>
      </c>
      <c r="I62" s="60">
        <f t="shared" si="6"/>
        <v>3.54</v>
      </c>
      <c r="J62" s="60">
        <f t="shared" si="6"/>
        <v>3.54</v>
      </c>
      <c r="K62" s="60">
        <f t="shared" si="6"/>
        <v>3.54</v>
      </c>
      <c r="L62" s="60">
        <f t="shared" si="6"/>
        <v>3.54</v>
      </c>
      <c r="M62" s="60">
        <f t="shared" si="6"/>
        <v>3.54</v>
      </c>
      <c r="N62" s="60">
        <f t="shared" si="6"/>
        <v>3.54</v>
      </c>
      <c r="O62" s="60">
        <f t="shared" si="6"/>
        <v>3.54</v>
      </c>
      <c r="P62" s="60">
        <f t="shared" si="6"/>
        <v>3.54</v>
      </c>
      <c r="Q62" s="60">
        <f t="shared" si="6"/>
        <v>3.54</v>
      </c>
      <c r="R62" s="60">
        <f t="shared" si="6"/>
        <v>3.54</v>
      </c>
      <c r="S62" s="60">
        <f t="shared" si="6"/>
        <v>3.54</v>
      </c>
      <c r="T62" s="60">
        <f t="shared" si="6"/>
        <v>3.54</v>
      </c>
      <c r="U62" s="60">
        <f t="shared" si="6"/>
        <v>3.54</v>
      </c>
      <c r="V62" s="60">
        <f t="shared" si="6"/>
        <v>3.54</v>
      </c>
      <c r="W62" s="60">
        <f t="shared" si="6"/>
        <v>3.54</v>
      </c>
      <c r="X62" s="60">
        <f t="shared" si="6"/>
        <v>3.54</v>
      </c>
      <c r="Y62" s="60">
        <f t="shared" si="6"/>
        <v>3.54</v>
      </c>
      <c r="Z62" s="60">
        <f t="shared" si="6"/>
        <v>3.54</v>
      </c>
      <c r="AA62" s="60">
        <f t="shared" si="6"/>
        <v>3.54</v>
      </c>
      <c r="AB62" s="60">
        <f t="shared" si="6"/>
        <v>3.54</v>
      </c>
      <c r="AC62" s="60">
        <f t="shared" si="6"/>
        <v>3.54</v>
      </c>
      <c r="AD62" s="60">
        <f t="shared" si="6"/>
        <v>3.54</v>
      </c>
      <c r="AE62" s="60">
        <f t="shared" si="6"/>
        <v>3.54</v>
      </c>
      <c r="AF62" s="60">
        <f t="shared" si="6"/>
        <v>3.54</v>
      </c>
      <c r="AG62" s="61">
        <f t="shared" si="6"/>
        <v>489.91</v>
      </c>
      <c r="AH62" s="47">
        <f t="shared" si="2"/>
        <v>3.54</v>
      </c>
      <c r="AI62" s="48">
        <f t="shared" si="3"/>
        <v>3.54</v>
      </c>
      <c r="AK62" s="49"/>
    </row>
    <row r="63" spans="1:41" x14ac:dyDescent="0.25">
      <c r="A63" s="44" t="s">
        <v>71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51">
        <v>60</v>
      </c>
      <c r="AH63" s="47">
        <f t="shared" si="2"/>
        <v>0</v>
      </c>
      <c r="AI63" s="48">
        <f t="shared" si="3"/>
        <v>0</v>
      </c>
      <c r="AK63" s="49"/>
    </row>
    <row r="64" spans="1:41" x14ac:dyDescent="0.25">
      <c r="A64" s="53" t="s">
        <v>72</v>
      </c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45"/>
      <c r="R64" s="4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45"/>
      <c r="AG64" s="54">
        <v>32</v>
      </c>
      <c r="AH64" s="47">
        <f t="shared" si="2"/>
        <v>0</v>
      </c>
      <c r="AI64" s="48">
        <f t="shared" si="3"/>
        <v>0</v>
      </c>
      <c r="AK64" s="49"/>
    </row>
    <row r="65" spans="1:40" ht="15.75" thickBot="1" x14ac:dyDescent="0.3">
      <c r="A65" s="71" t="s">
        <v>73</v>
      </c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45"/>
      <c r="R65" s="45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45"/>
      <c r="AG65" s="68">
        <v>14</v>
      </c>
      <c r="AH65" s="47">
        <f t="shared" si="2"/>
        <v>0</v>
      </c>
      <c r="AI65" s="48">
        <f t="shared" si="3"/>
        <v>0</v>
      </c>
      <c r="AK65" s="49"/>
    </row>
    <row r="66" spans="1:40" ht="15.75" thickBot="1" x14ac:dyDescent="0.3">
      <c r="A66" s="74" t="s">
        <v>74</v>
      </c>
      <c r="B66" s="60">
        <v>0</v>
      </c>
      <c r="C66" s="60">
        <v>0</v>
      </c>
      <c r="D66" s="60">
        <v>0</v>
      </c>
      <c r="E66" s="60">
        <v>0</v>
      </c>
      <c r="F66" s="60">
        <v>0</v>
      </c>
      <c r="G66" s="60">
        <v>0</v>
      </c>
      <c r="H66" s="60">
        <v>0</v>
      </c>
      <c r="I66" s="60">
        <v>0</v>
      </c>
      <c r="J66" s="60">
        <v>0</v>
      </c>
      <c r="K66" s="60">
        <v>0</v>
      </c>
      <c r="L66" s="60">
        <f>L63+L64+L65</f>
        <v>0</v>
      </c>
      <c r="M66" s="60">
        <f t="shared" ref="M66:AF66" si="7">M63+M64+M65</f>
        <v>0</v>
      </c>
      <c r="N66" s="60">
        <f t="shared" si="7"/>
        <v>0</v>
      </c>
      <c r="O66" s="60">
        <f t="shared" si="7"/>
        <v>0</v>
      </c>
      <c r="P66" s="60">
        <f t="shared" si="7"/>
        <v>0</v>
      </c>
      <c r="Q66" s="60">
        <f t="shared" si="7"/>
        <v>0</v>
      </c>
      <c r="R66" s="60">
        <f t="shared" si="7"/>
        <v>0</v>
      </c>
      <c r="S66" s="60">
        <f t="shared" si="7"/>
        <v>0</v>
      </c>
      <c r="T66" s="60">
        <f t="shared" si="7"/>
        <v>0</v>
      </c>
      <c r="U66" s="60">
        <f t="shared" si="7"/>
        <v>0</v>
      </c>
      <c r="V66" s="60">
        <f t="shared" si="7"/>
        <v>0</v>
      </c>
      <c r="W66" s="60">
        <f t="shared" si="7"/>
        <v>0</v>
      </c>
      <c r="X66" s="60">
        <f t="shared" si="7"/>
        <v>0</v>
      </c>
      <c r="Y66" s="60">
        <f t="shared" si="7"/>
        <v>0</v>
      </c>
      <c r="Z66" s="60">
        <f t="shared" si="7"/>
        <v>0</v>
      </c>
      <c r="AA66" s="60">
        <f t="shared" si="7"/>
        <v>0</v>
      </c>
      <c r="AB66" s="60">
        <f t="shared" si="7"/>
        <v>0</v>
      </c>
      <c r="AC66" s="60">
        <f t="shared" si="7"/>
        <v>0</v>
      </c>
      <c r="AD66" s="60">
        <f t="shared" si="7"/>
        <v>0</v>
      </c>
      <c r="AE66" s="60">
        <f t="shared" si="7"/>
        <v>0</v>
      </c>
      <c r="AF66" s="60">
        <f t="shared" si="7"/>
        <v>0</v>
      </c>
      <c r="AG66" s="61">
        <f>SUM(AG63:AG65)</f>
        <v>106</v>
      </c>
      <c r="AH66" s="47">
        <f t="shared" si="2"/>
        <v>0</v>
      </c>
      <c r="AI66" s="48">
        <f t="shared" si="3"/>
        <v>0</v>
      </c>
      <c r="AK66" s="49"/>
    </row>
    <row r="67" spans="1:40" x14ac:dyDescent="0.25">
      <c r="A67" s="44" t="s">
        <v>75</v>
      </c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51"/>
      <c r="AH67" s="47">
        <f t="shared" si="2"/>
        <v>0</v>
      </c>
      <c r="AI67" s="48">
        <f t="shared" si="3"/>
        <v>0</v>
      </c>
      <c r="AK67" s="49"/>
    </row>
    <row r="68" spans="1:40" x14ac:dyDescent="0.25">
      <c r="A68" s="53" t="s">
        <v>76</v>
      </c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54"/>
      <c r="AH68" s="47">
        <f t="shared" si="2"/>
        <v>0</v>
      </c>
      <c r="AI68" s="48">
        <f t="shared" si="3"/>
        <v>0</v>
      </c>
      <c r="AK68" s="49"/>
    </row>
    <row r="69" spans="1:40" x14ac:dyDescent="0.25">
      <c r="A69" s="53" t="s">
        <v>77</v>
      </c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75"/>
      <c r="AH69" s="47">
        <f t="shared" si="2"/>
        <v>0</v>
      </c>
      <c r="AI69" s="48">
        <f t="shared" si="3"/>
        <v>0</v>
      </c>
      <c r="AK69" s="49"/>
    </row>
    <row r="70" spans="1:40" x14ac:dyDescent="0.25">
      <c r="A70" s="53" t="s">
        <v>78</v>
      </c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65"/>
      <c r="Y70" s="65"/>
      <c r="Z70" s="65"/>
      <c r="AA70" s="65"/>
      <c r="AB70" s="65"/>
      <c r="AC70" s="65"/>
      <c r="AD70" s="65"/>
      <c r="AE70" s="65"/>
      <c r="AF70" s="65"/>
      <c r="AG70" s="75"/>
      <c r="AH70" s="47">
        <f t="shared" si="2"/>
        <v>0</v>
      </c>
      <c r="AI70" s="48">
        <f t="shared" si="3"/>
        <v>0</v>
      </c>
      <c r="AK70" s="49"/>
    </row>
    <row r="71" spans="1:40" x14ac:dyDescent="0.25">
      <c r="A71" s="53" t="s">
        <v>79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75"/>
      <c r="AH71" s="47">
        <f t="shared" si="2"/>
        <v>0</v>
      </c>
      <c r="AI71" s="48">
        <f t="shared" si="3"/>
        <v>0</v>
      </c>
      <c r="AK71" s="49"/>
    </row>
    <row r="72" spans="1:40" x14ac:dyDescent="0.25">
      <c r="A72" s="53" t="s">
        <v>80</v>
      </c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5"/>
      <c r="AH72" s="47">
        <f t="shared" si="2"/>
        <v>0</v>
      </c>
      <c r="AI72" s="48">
        <f t="shared" si="3"/>
        <v>0</v>
      </c>
      <c r="AK72" s="49"/>
    </row>
    <row r="73" spans="1:40" ht="15.75" thickBot="1" x14ac:dyDescent="0.3">
      <c r="A73" s="53" t="s">
        <v>81</v>
      </c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5"/>
      <c r="AH73" s="47">
        <f t="shared" si="2"/>
        <v>0</v>
      </c>
      <c r="AI73" s="48">
        <f t="shared" si="3"/>
        <v>0</v>
      </c>
      <c r="AK73" s="49"/>
      <c r="AL73" s="78" t="s">
        <v>82</v>
      </c>
      <c r="AM73" s="78"/>
    </row>
    <row r="74" spans="1:40" x14ac:dyDescent="0.25">
      <c r="A74" s="53" t="s">
        <v>83</v>
      </c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5"/>
      <c r="AH74" s="47">
        <f t="shared" si="2"/>
        <v>0</v>
      </c>
      <c r="AI74" s="48">
        <f t="shared" si="3"/>
        <v>0</v>
      </c>
      <c r="AK74" s="79"/>
      <c r="AL74" s="80">
        <v>14</v>
      </c>
      <c r="AM74" s="80">
        <v>10</v>
      </c>
      <c r="AN74" s="81"/>
    </row>
    <row r="75" spans="1:40" x14ac:dyDescent="0.25">
      <c r="A75" s="53" t="s">
        <v>84</v>
      </c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5"/>
      <c r="AH75" s="47">
        <f t="shared" ref="AH75:AH113" si="8">MAX(B75:AF75)</f>
        <v>0</v>
      </c>
      <c r="AI75" s="48">
        <f t="shared" ref="AI75:AI113" si="9">MIN(B75:AF75)</f>
        <v>0</v>
      </c>
      <c r="AK75" s="82" t="s">
        <v>85</v>
      </c>
      <c r="AL75" s="65">
        <v>533554.48</v>
      </c>
      <c r="AM75" s="76">
        <v>533330.87</v>
      </c>
      <c r="AN75" s="83">
        <f>AL75-AM75</f>
        <v>223.60999999998603</v>
      </c>
    </row>
    <row r="76" spans="1:40" x14ac:dyDescent="0.25">
      <c r="A76" s="84" t="s">
        <v>86</v>
      </c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85"/>
      <c r="AH76" s="47">
        <f t="shared" si="8"/>
        <v>0</v>
      </c>
      <c r="AI76" s="48">
        <f t="shared" si="9"/>
        <v>0</v>
      </c>
      <c r="AK76" s="82" t="s">
        <v>87</v>
      </c>
      <c r="AL76" s="76">
        <v>377068.94</v>
      </c>
      <c r="AM76" s="76">
        <v>376844.36</v>
      </c>
      <c r="AN76" s="83">
        <f>AL76-AM76</f>
        <v>224.5800000000163</v>
      </c>
    </row>
    <row r="77" spans="1:40" ht="15.75" thickBot="1" x14ac:dyDescent="0.3">
      <c r="A77" s="84" t="s">
        <v>88</v>
      </c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85"/>
      <c r="AH77" s="47">
        <f t="shared" si="8"/>
        <v>0</v>
      </c>
      <c r="AI77" s="48">
        <f t="shared" si="9"/>
        <v>0</v>
      </c>
      <c r="AK77" s="86"/>
      <c r="AL77" s="45"/>
      <c r="AM77" s="45"/>
      <c r="AN77" s="87">
        <f>AN75+AN76</f>
        <v>448.19000000000233</v>
      </c>
    </row>
    <row r="78" spans="1:40" ht="15.75" thickBot="1" x14ac:dyDescent="0.3">
      <c r="A78" s="74" t="s">
        <v>89</v>
      </c>
      <c r="B78" s="60">
        <f t="shared" ref="B78:AF78" si="10">SUMIF(B67:B77,"&gt;0")</f>
        <v>0</v>
      </c>
      <c r="C78" s="60">
        <f t="shared" si="10"/>
        <v>0</v>
      </c>
      <c r="D78" s="60">
        <f t="shared" si="10"/>
        <v>0</v>
      </c>
      <c r="E78" s="60">
        <f t="shared" si="10"/>
        <v>0</v>
      </c>
      <c r="F78" s="60">
        <f t="shared" si="10"/>
        <v>0</v>
      </c>
      <c r="G78" s="60">
        <f t="shared" si="10"/>
        <v>0</v>
      </c>
      <c r="H78" s="60">
        <f t="shared" si="10"/>
        <v>0</v>
      </c>
      <c r="I78" s="60">
        <f t="shared" si="10"/>
        <v>0</v>
      </c>
      <c r="J78" s="60">
        <f t="shared" si="10"/>
        <v>0</v>
      </c>
      <c r="K78" s="60">
        <f t="shared" si="10"/>
        <v>0</v>
      </c>
      <c r="L78" s="60">
        <f t="shared" si="10"/>
        <v>0</v>
      </c>
      <c r="M78" s="60">
        <f t="shared" si="10"/>
        <v>0</v>
      </c>
      <c r="N78" s="60">
        <f t="shared" si="10"/>
        <v>0</v>
      </c>
      <c r="O78" s="60">
        <f t="shared" si="10"/>
        <v>0</v>
      </c>
      <c r="P78" s="60">
        <f t="shared" si="10"/>
        <v>0</v>
      </c>
      <c r="Q78" s="60">
        <f t="shared" si="10"/>
        <v>0</v>
      </c>
      <c r="R78" s="60">
        <f t="shared" si="10"/>
        <v>0</v>
      </c>
      <c r="S78" s="60">
        <f t="shared" si="10"/>
        <v>0</v>
      </c>
      <c r="T78" s="60">
        <f t="shared" si="10"/>
        <v>0</v>
      </c>
      <c r="U78" s="60">
        <f t="shared" si="10"/>
        <v>0</v>
      </c>
      <c r="V78" s="60">
        <f t="shared" si="10"/>
        <v>0</v>
      </c>
      <c r="W78" s="60">
        <f t="shared" si="10"/>
        <v>0</v>
      </c>
      <c r="X78" s="60">
        <f t="shared" si="10"/>
        <v>0</v>
      </c>
      <c r="Y78" s="60">
        <f t="shared" si="10"/>
        <v>0</v>
      </c>
      <c r="Z78" s="60">
        <f t="shared" si="10"/>
        <v>0</v>
      </c>
      <c r="AA78" s="60">
        <f t="shared" si="10"/>
        <v>0</v>
      </c>
      <c r="AB78" s="60">
        <f t="shared" si="10"/>
        <v>0</v>
      </c>
      <c r="AC78" s="60">
        <f t="shared" si="10"/>
        <v>0</v>
      </c>
      <c r="AD78" s="60">
        <f t="shared" si="10"/>
        <v>0</v>
      </c>
      <c r="AE78" s="60">
        <f t="shared" si="10"/>
        <v>0</v>
      </c>
      <c r="AF78" s="60">
        <f t="shared" si="10"/>
        <v>0</v>
      </c>
      <c r="AG78" s="88">
        <f>SUM(AG67:AG77)</f>
        <v>0</v>
      </c>
      <c r="AH78" s="47">
        <f t="shared" si="8"/>
        <v>0</v>
      </c>
      <c r="AI78" s="48">
        <f t="shared" si="9"/>
        <v>0</v>
      </c>
      <c r="AK78" s="86"/>
      <c r="AL78" s="77"/>
      <c r="AM78" s="89"/>
      <c r="AN78" s="786">
        <f>448.2/4</f>
        <v>112.05</v>
      </c>
    </row>
    <row r="79" spans="1:40" x14ac:dyDescent="0.25">
      <c r="A79" s="44" t="s">
        <v>90</v>
      </c>
      <c r="B79" s="76">
        <v>0</v>
      </c>
      <c r="C79" s="76">
        <v>0</v>
      </c>
      <c r="D79" s="76">
        <v>0</v>
      </c>
      <c r="E79" s="76">
        <v>0</v>
      </c>
      <c r="F79" s="76">
        <v>0</v>
      </c>
      <c r="G79" s="76">
        <v>0</v>
      </c>
      <c r="H79" s="76">
        <v>0</v>
      </c>
      <c r="I79" s="76">
        <v>0</v>
      </c>
      <c r="J79" s="76">
        <v>0</v>
      </c>
      <c r="K79" s="76">
        <v>0</v>
      </c>
      <c r="L79" s="76">
        <v>0</v>
      </c>
      <c r="M79" s="76">
        <v>0</v>
      </c>
      <c r="N79" s="76">
        <v>0</v>
      </c>
      <c r="O79" s="76">
        <v>0</v>
      </c>
      <c r="P79" s="76">
        <v>0</v>
      </c>
      <c r="Q79" s="76">
        <v>0</v>
      </c>
      <c r="R79" s="76">
        <v>0</v>
      </c>
      <c r="S79" s="76">
        <v>0</v>
      </c>
      <c r="T79" s="76">
        <v>0</v>
      </c>
      <c r="U79" s="76">
        <v>0</v>
      </c>
      <c r="V79" s="76">
        <v>0</v>
      </c>
      <c r="W79" s="76">
        <v>0</v>
      </c>
      <c r="X79" s="76">
        <v>0</v>
      </c>
      <c r="Y79" s="76">
        <v>0</v>
      </c>
      <c r="Z79" s="76">
        <v>0</v>
      </c>
      <c r="AA79" s="76">
        <v>0</v>
      </c>
      <c r="AB79" s="76">
        <v>0</v>
      </c>
      <c r="AC79" s="76">
        <v>0</v>
      </c>
      <c r="AD79" s="76">
        <v>0</v>
      </c>
      <c r="AE79" s="76">
        <v>0</v>
      </c>
      <c r="AF79" s="76">
        <v>0</v>
      </c>
      <c r="AG79" s="90">
        <v>39</v>
      </c>
      <c r="AH79" s="47">
        <f t="shared" si="8"/>
        <v>0</v>
      </c>
      <c r="AI79" s="48">
        <f t="shared" si="9"/>
        <v>0</v>
      </c>
      <c r="AK79" s="86"/>
      <c r="AL79" s="77"/>
      <c r="AM79" s="77"/>
      <c r="AN79" s="787"/>
    </row>
    <row r="80" spans="1:40" ht="15.75" thickBot="1" x14ac:dyDescent="0.3">
      <c r="A80" s="53" t="s">
        <v>91</v>
      </c>
      <c r="B80" s="77">
        <v>0</v>
      </c>
      <c r="C80" s="77">
        <v>0</v>
      </c>
      <c r="D80" s="77">
        <v>0</v>
      </c>
      <c r="E80" s="77">
        <v>0</v>
      </c>
      <c r="F80" s="77">
        <v>0</v>
      </c>
      <c r="G80" s="77">
        <v>0</v>
      </c>
      <c r="H80" s="77">
        <v>0</v>
      </c>
      <c r="I80" s="77">
        <v>0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  <c r="V80" s="77">
        <v>0</v>
      </c>
      <c r="W80" s="77">
        <v>0</v>
      </c>
      <c r="X80" s="77">
        <v>0</v>
      </c>
      <c r="Y80" s="77">
        <v>0</v>
      </c>
      <c r="Z80" s="77">
        <v>0</v>
      </c>
      <c r="AA80" s="77">
        <v>0</v>
      </c>
      <c r="AB80" s="77">
        <v>0</v>
      </c>
      <c r="AC80" s="77">
        <v>0</v>
      </c>
      <c r="AD80" s="77">
        <v>0</v>
      </c>
      <c r="AE80" s="77">
        <v>0</v>
      </c>
      <c r="AF80" s="77">
        <v>0</v>
      </c>
      <c r="AG80" s="75">
        <v>14.4</v>
      </c>
      <c r="AH80" s="47">
        <f t="shared" si="8"/>
        <v>0</v>
      </c>
      <c r="AI80" s="48">
        <f t="shared" si="9"/>
        <v>0</v>
      </c>
      <c r="AK80" s="91"/>
      <c r="AL80" s="92"/>
      <c r="AM80" s="92"/>
      <c r="AN80" s="93"/>
    </row>
    <row r="81" spans="1:37" ht="15.75" thickBot="1" x14ac:dyDescent="0.3">
      <c r="A81" s="84" t="s">
        <v>92</v>
      </c>
      <c r="B81" s="94">
        <v>0</v>
      </c>
      <c r="C81" s="94">
        <v>0</v>
      </c>
      <c r="D81" s="94">
        <v>0</v>
      </c>
      <c r="E81" s="94">
        <v>0</v>
      </c>
      <c r="F81" s="94">
        <v>0</v>
      </c>
      <c r="G81" s="94">
        <v>0</v>
      </c>
      <c r="H81" s="94">
        <v>0</v>
      </c>
      <c r="I81" s="94">
        <v>0</v>
      </c>
      <c r="J81" s="94">
        <v>0</v>
      </c>
      <c r="K81" s="94">
        <v>0</v>
      </c>
      <c r="L81" s="94">
        <v>0</v>
      </c>
      <c r="M81" s="94">
        <v>0</v>
      </c>
      <c r="N81" s="94">
        <v>0</v>
      </c>
      <c r="O81" s="94">
        <v>0</v>
      </c>
      <c r="P81" s="94">
        <v>0</v>
      </c>
      <c r="Q81" s="94">
        <v>0</v>
      </c>
      <c r="R81" s="94">
        <v>0</v>
      </c>
      <c r="S81" s="94">
        <v>0</v>
      </c>
      <c r="T81" s="94">
        <v>0</v>
      </c>
      <c r="U81" s="94">
        <v>0</v>
      </c>
      <c r="V81" s="94">
        <v>0</v>
      </c>
      <c r="W81" s="94">
        <v>0</v>
      </c>
      <c r="X81" s="94">
        <v>0</v>
      </c>
      <c r="Y81" s="94">
        <v>0</v>
      </c>
      <c r="Z81" s="94">
        <v>0</v>
      </c>
      <c r="AA81" s="94">
        <v>0</v>
      </c>
      <c r="AB81" s="94">
        <v>0</v>
      </c>
      <c r="AC81" s="94">
        <v>0</v>
      </c>
      <c r="AD81" s="94">
        <v>0</v>
      </c>
      <c r="AE81" s="94">
        <v>0</v>
      </c>
      <c r="AF81" s="94">
        <v>0</v>
      </c>
      <c r="AG81" s="85">
        <v>2</v>
      </c>
      <c r="AH81" s="47">
        <f t="shared" si="8"/>
        <v>0</v>
      </c>
      <c r="AI81" s="48">
        <f t="shared" si="9"/>
        <v>0</v>
      </c>
    </row>
    <row r="82" spans="1:37" ht="15.75" thickBot="1" x14ac:dyDescent="0.3">
      <c r="A82" s="74" t="s">
        <v>93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>
        <v>0</v>
      </c>
      <c r="Y82" s="60"/>
      <c r="Z82" s="60"/>
      <c r="AA82" s="60"/>
      <c r="AB82" s="60"/>
      <c r="AC82" s="60"/>
      <c r="AD82" s="60"/>
      <c r="AE82" s="60"/>
      <c r="AF82" s="60"/>
      <c r="AG82" s="88">
        <f>SUM(AG79:AG81)</f>
        <v>55.4</v>
      </c>
      <c r="AH82" s="47">
        <f t="shared" si="8"/>
        <v>0</v>
      </c>
      <c r="AI82" s="48">
        <f t="shared" si="9"/>
        <v>0</v>
      </c>
    </row>
    <row r="83" spans="1:37" ht="15.75" thickBot="1" x14ac:dyDescent="0.3">
      <c r="A83" s="74" t="s">
        <v>94</v>
      </c>
      <c r="B83" s="95">
        <f>B44+B48+B66+B62+B78+B82</f>
        <v>3.54</v>
      </c>
      <c r="C83" s="95">
        <f t="shared" ref="C83:AG83" si="11">C44+C48+C66+C62+C78+C82</f>
        <v>3.54</v>
      </c>
      <c r="D83" s="95">
        <f t="shared" si="11"/>
        <v>3.54</v>
      </c>
      <c r="E83" s="95">
        <f t="shared" si="11"/>
        <v>3.54</v>
      </c>
      <c r="F83" s="95">
        <f t="shared" si="11"/>
        <v>3.54</v>
      </c>
      <c r="G83" s="95">
        <f t="shared" si="11"/>
        <v>3.54</v>
      </c>
      <c r="H83" s="95">
        <f t="shared" si="11"/>
        <v>3.54</v>
      </c>
      <c r="I83" s="95">
        <f t="shared" si="11"/>
        <v>3.54</v>
      </c>
      <c r="J83" s="95">
        <f t="shared" si="11"/>
        <v>3.54</v>
      </c>
      <c r="K83" s="95">
        <f t="shared" si="11"/>
        <v>3.54</v>
      </c>
      <c r="L83" s="95">
        <f t="shared" si="11"/>
        <v>3.54</v>
      </c>
      <c r="M83" s="95">
        <f t="shared" si="11"/>
        <v>3.54</v>
      </c>
      <c r="N83" s="95">
        <f t="shared" si="11"/>
        <v>3.54</v>
      </c>
      <c r="O83" s="95">
        <f t="shared" si="11"/>
        <v>3.54</v>
      </c>
      <c r="P83" s="95">
        <f t="shared" si="11"/>
        <v>3.54</v>
      </c>
      <c r="Q83" s="95">
        <f t="shared" si="11"/>
        <v>3.54</v>
      </c>
      <c r="R83" s="95">
        <f t="shared" si="11"/>
        <v>3.54</v>
      </c>
      <c r="S83" s="95">
        <f t="shared" si="11"/>
        <v>3.54</v>
      </c>
      <c r="T83" s="95">
        <f t="shared" si="11"/>
        <v>3.54</v>
      </c>
      <c r="U83" s="95">
        <f t="shared" si="11"/>
        <v>3.54</v>
      </c>
      <c r="V83" s="95">
        <f t="shared" si="11"/>
        <v>3.54</v>
      </c>
      <c r="W83" s="95">
        <f t="shared" si="11"/>
        <v>3.54</v>
      </c>
      <c r="X83" s="95">
        <f t="shared" si="11"/>
        <v>3.54</v>
      </c>
      <c r="Y83" s="95">
        <f t="shared" si="11"/>
        <v>3.54</v>
      </c>
      <c r="Z83" s="95">
        <f t="shared" si="11"/>
        <v>3.54</v>
      </c>
      <c r="AA83" s="95">
        <f t="shared" si="11"/>
        <v>3.54</v>
      </c>
      <c r="AB83" s="95">
        <f t="shared" si="11"/>
        <v>3.54</v>
      </c>
      <c r="AC83" s="95">
        <f t="shared" si="11"/>
        <v>3.54</v>
      </c>
      <c r="AD83" s="95">
        <f t="shared" si="11"/>
        <v>3.54</v>
      </c>
      <c r="AE83" s="95">
        <f t="shared" si="11"/>
        <v>3.54</v>
      </c>
      <c r="AF83" s="95">
        <f t="shared" si="11"/>
        <v>3.54</v>
      </c>
      <c r="AG83" s="61">
        <f t="shared" si="11"/>
        <v>2004.1900000000003</v>
      </c>
      <c r="AH83" s="47">
        <f>MAX(B83:AF83)</f>
        <v>3.54</v>
      </c>
      <c r="AI83" s="48">
        <f>MIN(B83:AF83)</f>
        <v>3.54</v>
      </c>
    </row>
    <row r="84" spans="1:37" ht="15.75" thickBot="1" x14ac:dyDescent="0.3">
      <c r="A84" s="96" t="s">
        <v>95</v>
      </c>
      <c r="B84" s="97"/>
      <c r="C84" s="97"/>
      <c r="D84" s="97"/>
      <c r="E84" s="97"/>
      <c r="F84" s="97"/>
      <c r="G84" s="97"/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97"/>
      <c r="AB84" s="97"/>
      <c r="AC84" s="97"/>
      <c r="AD84" s="97"/>
      <c r="AE84" s="97"/>
      <c r="AF84" s="97"/>
      <c r="AG84" s="88"/>
      <c r="AH84" s="47">
        <f t="shared" si="8"/>
        <v>0</v>
      </c>
      <c r="AI84" s="48">
        <f t="shared" si="9"/>
        <v>0</v>
      </c>
    </row>
    <row r="85" spans="1:37" ht="15.75" thickBot="1" x14ac:dyDescent="0.3">
      <c r="A85" s="74" t="s">
        <v>96</v>
      </c>
      <c r="B85" s="95">
        <f>B83+B84</f>
        <v>3.54</v>
      </c>
      <c r="C85" s="95">
        <f t="shared" ref="C85:AF85" si="12">C83+C84</f>
        <v>3.54</v>
      </c>
      <c r="D85" s="95">
        <f t="shared" si="12"/>
        <v>3.54</v>
      </c>
      <c r="E85" s="95">
        <f t="shared" si="12"/>
        <v>3.54</v>
      </c>
      <c r="F85" s="95">
        <f t="shared" si="12"/>
        <v>3.54</v>
      </c>
      <c r="G85" s="95">
        <f t="shared" si="12"/>
        <v>3.54</v>
      </c>
      <c r="H85" s="95">
        <f t="shared" si="12"/>
        <v>3.54</v>
      </c>
      <c r="I85" s="95">
        <f t="shared" si="12"/>
        <v>3.54</v>
      </c>
      <c r="J85" s="95">
        <f t="shared" si="12"/>
        <v>3.54</v>
      </c>
      <c r="K85" s="95">
        <f t="shared" si="12"/>
        <v>3.54</v>
      </c>
      <c r="L85" s="95">
        <f t="shared" si="12"/>
        <v>3.54</v>
      </c>
      <c r="M85" s="95">
        <f t="shared" si="12"/>
        <v>3.54</v>
      </c>
      <c r="N85" s="95">
        <f t="shared" si="12"/>
        <v>3.54</v>
      </c>
      <c r="O85" s="95">
        <f t="shared" si="12"/>
        <v>3.54</v>
      </c>
      <c r="P85" s="95">
        <f t="shared" si="12"/>
        <v>3.54</v>
      </c>
      <c r="Q85" s="95">
        <f t="shared" si="12"/>
        <v>3.54</v>
      </c>
      <c r="R85" s="95">
        <f t="shared" si="12"/>
        <v>3.54</v>
      </c>
      <c r="S85" s="95">
        <f t="shared" si="12"/>
        <v>3.54</v>
      </c>
      <c r="T85" s="95">
        <f t="shared" si="12"/>
        <v>3.54</v>
      </c>
      <c r="U85" s="95">
        <f t="shared" si="12"/>
        <v>3.54</v>
      </c>
      <c r="V85" s="95">
        <f t="shared" si="12"/>
        <v>3.54</v>
      </c>
      <c r="W85" s="95">
        <f t="shared" si="12"/>
        <v>3.54</v>
      </c>
      <c r="X85" s="95">
        <f t="shared" si="12"/>
        <v>3.54</v>
      </c>
      <c r="Y85" s="95">
        <f t="shared" si="12"/>
        <v>3.54</v>
      </c>
      <c r="Z85" s="95">
        <f t="shared" si="12"/>
        <v>3.54</v>
      </c>
      <c r="AA85" s="95">
        <f t="shared" si="12"/>
        <v>3.54</v>
      </c>
      <c r="AB85" s="95">
        <f t="shared" si="12"/>
        <v>3.54</v>
      </c>
      <c r="AC85" s="95">
        <f t="shared" si="12"/>
        <v>3.54</v>
      </c>
      <c r="AD85" s="95">
        <f t="shared" si="12"/>
        <v>3.54</v>
      </c>
      <c r="AE85" s="95">
        <f t="shared" si="12"/>
        <v>3.54</v>
      </c>
      <c r="AF85" s="95">
        <f t="shared" si="12"/>
        <v>3.54</v>
      </c>
      <c r="AG85" s="88">
        <f>AG82+AG78+AG66+AG62+AG44+AG84</f>
        <v>1466.0900000000001</v>
      </c>
      <c r="AH85" s="47">
        <f t="shared" si="8"/>
        <v>3.54</v>
      </c>
      <c r="AI85" s="48">
        <f t="shared" si="9"/>
        <v>3.54</v>
      </c>
    </row>
    <row r="86" spans="1:37" ht="15.75" thickBot="1" x14ac:dyDescent="0.3">
      <c r="A86" s="74" t="s">
        <v>97</v>
      </c>
      <c r="B86" s="95">
        <f t="shared" ref="B86:AF86" si="13">B85-B93</f>
        <v>3.54</v>
      </c>
      <c r="C86" s="95">
        <f t="shared" si="13"/>
        <v>3.54</v>
      </c>
      <c r="D86" s="95">
        <f t="shared" si="13"/>
        <v>3.54</v>
      </c>
      <c r="E86" s="95">
        <f t="shared" si="13"/>
        <v>3.54</v>
      </c>
      <c r="F86" s="95">
        <f t="shared" si="13"/>
        <v>3.54</v>
      </c>
      <c r="G86" s="95">
        <f t="shared" si="13"/>
        <v>3.54</v>
      </c>
      <c r="H86" s="95">
        <f t="shared" si="13"/>
        <v>3.54</v>
      </c>
      <c r="I86" s="95">
        <f t="shared" si="13"/>
        <v>3.54</v>
      </c>
      <c r="J86" s="95">
        <f t="shared" si="13"/>
        <v>3.54</v>
      </c>
      <c r="K86" s="95">
        <f t="shared" si="13"/>
        <v>3.54</v>
      </c>
      <c r="L86" s="95">
        <f t="shared" si="13"/>
        <v>3.54</v>
      </c>
      <c r="M86" s="95">
        <f t="shared" si="13"/>
        <v>3.54</v>
      </c>
      <c r="N86" s="95">
        <f t="shared" si="13"/>
        <v>3.54</v>
      </c>
      <c r="O86" s="95">
        <f t="shared" si="13"/>
        <v>3.54</v>
      </c>
      <c r="P86" s="95">
        <f t="shared" si="13"/>
        <v>3.54</v>
      </c>
      <c r="Q86" s="95">
        <f t="shared" si="13"/>
        <v>3.54</v>
      </c>
      <c r="R86" s="95">
        <f t="shared" si="13"/>
        <v>3.54</v>
      </c>
      <c r="S86" s="95">
        <f t="shared" si="13"/>
        <v>3.54</v>
      </c>
      <c r="T86" s="95">
        <f t="shared" si="13"/>
        <v>3.54</v>
      </c>
      <c r="U86" s="95">
        <f t="shared" si="13"/>
        <v>3.54</v>
      </c>
      <c r="V86" s="95">
        <f t="shared" si="13"/>
        <v>3.54</v>
      </c>
      <c r="W86" s="95">
        <f t="shared" si="13"/>
        <v>3.54</v>
      </c>
      <c r="X86" s="95">
        <f t="shared" si="13"/>
        <v>3.54</v>
      </c>
      <c r="Y86" s="95">
        <f t="shared" si="13"/>
        <v>3.54</v>
      </c>
      <c r="Z86" s="95">
        <f t="shared" si="13"/>
        <v>3.54</v>
      </c>
      <c r="AA86" s="95">
        <f t="shared" si="13"/>
        <v>3.54</v>
      </c>
      <c r="AB86" s="95">
        <f t="shared" si="13"/>
        <v>3.54</v>
      </c>
      <c r="AC86" s="95">
        <f t="shared" si="13"/>
        <v>3.54</v>
      </c>
      <c r="AD86" s="95">
        <f t="shared" si="13"/>
        <v>3.54</v>
      </c>
      <c r="AE86" s="95">
        <f t="shared" si="13"/>
        <v>3.54</v>
      </c>
      <c r="AF86" s="95">
        <f t="shared" si="13"/>
        <v>3.54</v>
      </c>
      <c r="AG86" s="88"/>
      <c r="AH86" s="47">
        <f t="shared" si="8"/>
        <v>3.54</v>
      </c>
      <c r="AI86" s="48">
        <f t="shared" si="9"/>
        <v>3.54</v>
      </c>
    </row>
    <row r="87" spans="1:37" x14ac:dyDescent="0.25">
      <c r="A87" s="44" t="s">
        <v>78</v>
      </c>
      <c r="B87" s="76">
        <v>0</v>
      </c>
      <c r="C87" s="76">
        <v>0</v>
      </c>
      <c r="D87" s="76">
        <v>0</v>
      </c>
      <c r="E87" s="76">
        <v>0</v>
      </c>
      <c r="F87" s="76">
        <v>0</v>
      </c>
      <c r="G87" s="76">
        <v>0</v>
      </c>
      <c r="H87" s="76">
        <v>0</v>
      </c>
      <c r="I87" s="76">
        <v>0</v>
      </c>
      <c r="J87" s="76">
        <v>0</v>
      </c>
      <c r="K87" s="76">
        <v>0</v>
      </c>
      <c r="L87" s="76">
        <v>0</v>
      </c>
      <c r="M87" s="76">
        <v>0</v>
      </c>
      <c r="N87" s="76">
        <v>0</v>
      </c>
      <c r="O87" s="76">
        <v>0</v>
      </c>
      <c r="P87" s="76">
        <v>0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0</v>
      </c>
      <c r="X87" s="76">
        <v>0</v>
      </c>
      <c r="Y87" s="76">
        <v>0</v>
      </c>
      <c r="Z87" s="76">
        <v>0</v>
      </c>
      <c r="AA87" s="76">
        <v>0</v>
      </c>
      <c r="AB87" s="76">
        <v>0</v>
      </c>
      <c r="AC87" s="76">
        <v>0</v>
      </c>
      <c r="AD87" s="76">
        <v>0</v>
      </c>
      <c r="AE87" s="76">
        <v>0</v>
      </c>
      <c r="AF87" s="76">
        <v>0</v>
      </c>
      <c r="AG87" s="51"/>
      <c r="AH87" s="47">
        <f t="shared" si="8"/>
        <v>0</v>
      </c>
      <c r="AI87" s="48">
        <f t="shared" si="9"/>
        <v>0</v>
      </c>
    </row>
    <row r="88" spans="1:37" x14ac:dyDescent="0.25">
      <c r="A88" s="53" t="s">
        <v>76</v>
      </c>
      <c r="B88" s="76">
        <v>0</v>
      </c>
      <c r="C88" s="76">
        <v>0</v>
      </c>
      <c r="D88" s="76">
        <v>0</v>
      </c>
      <c r="E88" s="76">
        <v>0</v>
      </c>
      <c r="F88" s="76">
        <v>0</v>
      </c>
      <c r="G88" s="76">
        <v>0</v>
      </c>
      <c r="H88" s="76">
        <v>0</v>
      </c>
      <c r="I88" s="76">
        <v>0</v>
      </c>
      <c r="J88" s="76">
        <v>0</v>
      </c>
      <c r="K88" s="76">
        <v>0</v>
      </c>
      <c r="L88" s="76">
        <v>0</v>
      </c>
      <c r="M88" s="76">
        <v>0</v>
      </c>
      <c r="N88" s="76">
        <v>0</v>
      </c>
      <c r="O88" s="76">
        <v>0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0</v>
      </c>
      <c r="X88" s="76">
        <v>0</v>
      </c>
      <c r="Y88" s="76">
        <v>0</v>
      </c>
      <c r="Z88" s="76">
        <v>0</v>
      </c>
      <c r="AA88" s="76">
        <v>0</v>
      </c>
      <c r="AB88" s="76">
        <v>0</v>
      </c>
      <c r="AC88" s="76">
        <v>0</v>
      </c>
      <c r="AD88" s="76">
        <v>0</v>
      </c>
      <c r="AE88" s="76">
        <v>0</v>
      </c>
      <c r="AF88" s="76">
        <v>0</v>
      </c>
      <c r="AG88" s="54"/>
      <c r="AH88" s="47">
        <f t="shared" si="8"/>
        <v>0</v>
      </c>
      <c r="AI88" s="48">
        <f t="shared" si="9"/>
        <v>0</v>
      </c>
    </row>
    <row r="89" spans="1:37" x14ac:dyDescent="0.25">
      <c r="A89" s="84" t="s">
        <v>98</v>
      </c>
      <c r="B89" s="76">
        <v>0</v>
      </c>
      <c r="C89" s="76">
        <v>0</v>
      </c>
      <c r="D89" s="76">
        <v>0</v>
      </c>
      <c r="E89" s="76">
        <v>0</v>
      </c>
      <c r="F89" s="76">
        <v>0</v>
      </c>
      <c r="G89" s="76">
        <v>0</v>
      </c>
      <c r="H89" s="76">
        <v>0</v>
      </c>
      <c r="I89" s="76">
        <v>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0</v>
      </c>
      <c r="X89" s="76">
        <v>0</v>
      </c>
      <c r="Y89" s="76">
        <v>0</v>
      </c>
      <c r="Z89" s="76">
        <v>0</v>
      </c>
      <c r="AA89" s="76">
        <v>0</v>
      </c>
      <c r="AB89" s="76">
        <v>0</v>
      </c>
      <c r="AC89" s="76">
        <v>0</v>
      </c>
      <c r="AD89" s="76">
        <v>0</v>
      </c>
      <c r="AE89" s="76">
        <v>0</v>
      </c>
      <c r="AF89" s="76">
        <v>0</v>
      </c>
      <c r="AG89" s="98"/>
      <c r="AH89" s="47">
        <f t="shared" si="8"/>
        <v>0</v>
      </c>
      <c r="AI89" s="48">
        <f t="shared" si="9"/>
        <v>0</v>
      </c>
    </row>
    <row r="90" spans="1:37" x14ac:dyDescent="0.25">
      <c r="A90" s="84" t="s">
        <v>99</v>
      </c>
      <c r="B90" s="76">
        <v>0</v>
      </c>
      <c r="C90" s="76">
        <v>0</v>
      </c>
      <c r="D90" s="76">
        <v>0</v>
      </c>
      <c r="E90" s="76">
        <v>0</v>
      </c>
      <c r="F90" s="76">
        <v>0</v>
      </c>
      <c r="G90" s="76">
        <v>0</v>
      </c>
      <c r="H90" s="76">
        <v>0</v>
      </c>
      <c r="I90" s="76">
        <v>0</v>
      </c>
      <c r="J90" s="76">
        <v>0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0</v>
      </c>
      <c r="X90" s="76">
        <v>0</v>
      </c>
      <c r="Y90" s="76">
        <v>0</v>
      </c>
      <c r="Z90" s="76">
        <v>0</v>
      </c>
      <c r="AA90" s="76">
        <v>0</v>
      </c>
      <c r="AB90" s="76">
        <v>0</v>
      </c>
      <c r="AC90" s="76">
        <v>0</v>
      </c>
      <c r="AD90" s="76">
        <v>0</v>
      </c>
      <c r="AE90" s="76">
        <v>0</v>
      </c>
      <c r="AF90" s="76">
        <v>0</v>
      </c>
      <c r="AG90" s="98"/>
      <c r="AH90" s="47">
        <f t="shared" si="8"/>
        <v>0</v>
      </c>
      <c r="AI90" s="48">
        <f t="shared" si="9"/>
        <v>0</v>
      </c>
    </row>
    <row r="91" spans="1:37" x14ac:dyDescent="0.25">
      <c r="A91" s="84" t="s">
        <v>75</v>
      </c>
      <c r="B91" s="76">
        <v>0</v>
      </c>
      <c r="C91" s="76">
        <v>0</v>
      </c>
      <c r="D91" s="76">
        <v>0</v>
      </c>
      <c r="E91" s="76">
        <v>0</v>
      </c>
      <c r="F91" s="76">
        <v>0</v>
      </c>
      <c r="G91" s="76">
        <v>0</v>
      </c>
      <c r="H91" s="76">
        <v>0</v>
      </c>
      <c r="I91" s="76">
        <v>0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0</v>
      </c>
      <c r="Z91" s="76">
        <v>0</v>
      </c>
      <c r="AA91" s="76">
        <v>0</v>
      </c>
      <c r="AB91" s="76">
        <v>0</v>
      </c>
      <c r="AC91" s="76">
        <v>0</v>
      </c>
      <c r="AD91" s="76">
        <v>0</v>
      </c>
      <c r="AE91" s="76">
        <v>0</v>
      </c>
      <c r="AF91" s="76">
        <v>0</v>
      </c>
      <c r="AG91" s="98"/>
      <c r="AH91" s="47">
        <f t="shared" si="8"/>
        <v>0</v>
      </c>
      <c r="AI91" s="48">
        <f t="shared" si="9"/>
        <v>0</v>
      </c>
    </row>
    <row r="92" spans="1:37" ht="15.75" thickBot="1" x14ac:dyDescent="0.3">
      <c r="A92" s="84" t="s">
        <v>100</v>
      </c>
      <c r="B92" s="94">
        <v>0</v>
      </c>
      <c r="C92" s="94">
        <v>0</v>
      </c>
      <c r="D92" s="94">
        <v>0</v>
      </c>
      <c r="E92" s="94">
        <v>0</v>
      </c>
      <c r="F92" s="94">
        <v>0</v>
      </c>
      <c r="G92" s="94">
        <v>0</v>
      </c>
      <c r="H92" s="94">
        <v>0</v>
      </c>
      <c r="I92" s="94">
        <v>0</v>
      </c>
      <c r="J92" s="94">
        <v>0</v>
      </c>
      <c r="K92" s="94">
        <v>0</v>
      </c>
      <c r="L92" s="94">
        <v>0</v>
      </c>
      <c r="M92" s="94">
        <v>0</v>
      </c>
      <c r="N92" s="94">
        <v>0</v>
      </c>
      <c r="O92" s="94">
        <v>0</v>
      </c>
      <c r="P92" s="94">
        <v>0</v>
      </c>
      <c r="Q92" s="94">
        <v>0</v>
      </c>
      <c r="R92" s="94">
        <v>0</v>
      </c>
      <c r="S92" s="94">
        <v>0</v>
      </c>
      <c r="T92" s="94">
        <v>0</v>
      </c>
      <c r="U92" s="94">
        <v>0</v>
      </c>
      <c r="V92" s="94">
        <v>0</v>
      </c>
      <c r="W92" s="94">
        <v>0</v>
      </c>
      <c r="X92" s="94">
        <v>0</v>
      </c>
      <c r="Y92" s="94">
        <v>0</v>
      </c>
      <c r="Z92" s="94">
        <v>0</v>
      </c>
      <c r="AA92" s="94">
        <v>0</v>
      </c>
      <c r="AB92" s="94">
        <v>0</v>
      </c>
      <c r="AC92" s="94">
        <v>0</v>
      </c>
      <c r="AD92" s="94">
        <v>0</v>
      </c>
      <c r="AE92" s="94">
        <v>0</v>
      </c>
      <c r="AF92" s="94">
        <v>0</v>
      </c>
      <c r="AG92" s="85"/>
      <c r="AH92" s="47">
        <f t="shared" si="8"/>
        <v>0</v>
      </c>
      <c r="AI92" s="48">
        <f t="shared" si="9"/>
        <v>0</v>
      </c>
    </row>
    <row r="93" spans="1:37" ht="15.75" thickBot="1" x14ac:dyDescent="0.3">
      <c r="A93" s="99" t="s">
        <v>101</v>
      </c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88"/>
      <c r="AH93" s="47">
        <f t="shared" si="8"/>
        <v>0</v>
      </c>
      <c r="AI93" s="48">
        <f t="shared" si="9"/>
        <v>0</v>
      </c>
      <c r="AK93" s="49"/>
    </row>
    <row r="94" spans="1:37" ht="15.75" thickBot="1" x14ac:dyDescent="0.3">
      <c r="A94" s="74" t="s">
        <v>102</v>
      </c>
      <c r="B94" s="60">
        <f t="shared" ref="B94:AF94" si="14">B78-B93</f>
        <v>0</v>
      </c>
      <c r="C94" s="60">
        <f t="shared" si="14"/>
        <v>0</v>
      </c>
      <c r="D94" s="60">
        <f t="shared" si="14"/>
        <v>0</v>
      </c>
      <c r="E94" s="60">
        <f t="shared" si="14"/>
        <v>0</v>
      </c>
      <c r="F94" s="60">
        <f t="shared" si="14"/>
        <v>0</v>
      </c>
      <c r="G94" s="60">
        <f t="shared" si="14"/>
        <v>0</v>
      </c>
      <c r="H94" s="60">
        <f t="shared" si="14"/>
        <v>0</v>
      </c>
      <c r="I94" s="60">
        <f t="shared" si="14"/>
        <v>0</v>
      </c>
      <c r="J94" s="60">
        <f t="shared" si="14"/>
        <v>0</v>
      </c>
      <c r="K94" s="60">
        <f t="shared" si="14"/>
        <v>0</v>
      </c>
      <c r="L94" s="60">
        <f t="shared" si="14"/>
        <v>0</v>
      </c>
      <c r="M94" s="60">
        <f t="shared" si="14"/>
        <v>0</v>
      </c>
      <c r="N94" s="60">
        <f t="shared" si="14"/>
        <v>0</v>
      </c>
      <c r="O94" s="60">
        <f t="shared" si="14"/>
        <v>0</v>
      </c>
      <c r="P94" s="60">
        <f t="shared" si="14"/>
        <v>0</v>
      </c>
      <c r="Q94" s="60">
        <f t="shared" si="14"/>
        <v>0</v>
      </c>
      <c r="R94" s="60">
        <f t="shared" si="14"/>
        <v>0</v>
      </c>
      <c r="S94" s="60">
        <f t="shared" si="14"/>
        <v>0</v>
      </c>
      <c r="T94" s="60">
        <f t="shared" si="14"/>
        <v>0</v>
      </c>
      <c r="U94" s="60">
        <f t="shared" si="14"/>
        <v>0</v>
      </c>
      <c r="V94" s="60">
        <f t="shared" si="14"/>
        <v>0</v>
      </c>
      <c r="W94" s="60">
        <f t="shared" si="14"/>
        <v>0</v>
      </c>
      <c r="X94" s="60">
        <f t="shared" si="14"/>
        <v>0</v>
      </c>
      <c r="Y94" s="60">
        <f t="shared" si="14"/>
        <v>0</v>
      </c>
      <c r="Z94" s="60">
        <f t="shared" si="14"/>
        <v>0</v>
      </c>
      <c r="AA94" s="60">
        <f t="shared" si="14"/>
        <v>0</v>
      </c>
      <c r="AB94" s="60">
        <f t="shared" si="14"/>
        <v>0</v>
      </c>
      <c r="AC94" s="60">
        <f t="shared" si="14"/>
        <v>0</v>
      </c>
      <c r="AD94" s="60">
        <f t="shared" si="14"/>
        <v>0</v>
      </c>
      <c r="AE94" s="60">
        <f t="shared" si="14"/>
        <v>0</v>
      </c>
      <c r="AF94" s="60">
        <f t="shared" si="14"/>
        <v>0</v>
      </c>
      <c r="AG94" s="88"/>
      <c r="AH94" s="47">
        <f t="shared" si="8"/>
        <v>0</v>
      </c>
      <c r="AI94" s="48">
        <f t="shared" si="9"/>
        <v>0</v>
      </c>
    </row>
    <row r="95" spans="1:37" x14ac:dyDescent="0.25">
      <c r="A95" s="100" t="s">
        <v>103</v>
      </c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2"/>
      <c r="AH95" s="47">
        <f t="shared" si="8"/>
        <v>0</v>
      </c>
      <c r="AI95" s="48">
        <f t="shared" si="9"/>
        <v>0</v>
      </c>
    </row>
    <row r="96" spans="1:37" x14ac:dyDescent="0.25">
      <c r="A96" s="103" t="s">
        <v>104</v>
      </c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104"/>
      <c r="AH96" s="47">
        <f t="shared" si="8"/>
        <v>0</v>
      </c>
      <c r="AI96" s="48">
        <f t="shared" si="9"/>
        <v>0</v>
      </c>
    </row>
    <row r="97" spans="1:35" x14ac:dyDescent="0.25">
      <c r="A97" s="103" t="s">
        <v>105</v>
      </c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104"/>
      <c r="AH97" s="47">
        <f t="shared" si="8"/>
        <v>0</v>
      </c>
      <c r="AI97" s="48">
        <f t="shared" si="9"/>
        <v>0</v>
      </c>
    </row>
    <row r="98" spans="1:35" x14ac:dyDescent="0.25">
      <c r="A98" s="103" t="s">
        <v>106</v>
      </c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104"/>
      <c r="AH98" s="47">
        <f t="shared" si="8"/>
        <v>0</v>
      </c>
      <c r="AI98" s="48">
        <f t="shared" si="9"/>
        <v>0</v>
      </c>
    </row>
    <row r="99" spans="1:35" x14ac:dyDescent="0.25">
      <c r="A99" s="105" t="s">
        <v>107</v>
      </c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104"/>
      <c r="AH99" s="47">
        <f t="shared" si="8"/>
        <v>0</v>
      </c>
      <c r="AI99" s="48">
        <f t="shared" si="9"/>
        <v>0</v>
      </c>
    </row>
    <row r="100" spans="1:35" x14ac:dyDescent="0.25">
      <c r="A100" s="105" t="s">
        <v>108</v>
      </c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7"/>
      <c r="AH100" s="47">
        <f t="shared" si="8"/>
        <v>0</v>
      </c>
      <c r="AI100" s="48">
        <f t="shared" si="9"/>
        <v>0</v>
      </c>
    </row>
    <row r="101" spans="1:35" x14ac:dyDescent="0.25">
      <c r="A101" s="103" t="s">
        <v>109</v>
      </c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104"/>
      <c r="AH101" s="47">
        <f t="shared" si="8"/>
        <v>0</v>
      </c>
      <c r="AI101" s="48">
        <f t="shared" si="9"/>
        <v>0</v>
      </c>
    </row>
    <row r="102" spans="1:35" ht="15.75" thickBot="1" x14ac:dyDescent="0.3">
      <c r="A102" s="103" t="s">
        <v>110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108"/>
      <c r="AH102" s="47">
        <f t="shared" si="8"/>
        <v>0</v>
      </c>
      <c r="AI102" s="48">
        <f t="shared" si="9"/>
        <v>0</v>
      </c>
    </row>
    <row r="103" spans="1:35" ht="15.75" thickBot="1" x14ac:dyDescent="0.3">
      <c r="A103" s="109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 t="s">
        <v>111</v>
      </c>
      <c r="Y103" s="92"/>
      <c r="Z103" s="92"/>
      <c r="AA103" s="92"/>
      <c r="AB103" s="92"/>
      <c r="AC103" s="92"/>
      <c r="AD103" s="92"/>
      <c r="AE103" s="92"/>
      <c r="AF103" s="92"/>
      <c r="AG103" s="108"/>
      <c r="AH103" s="47">
        <f t="shared" si="8"/>
        <v>0</v>
      </c>
      <c r="AI103" s="48">
        <f t="shared" si="9"/>
        <v>0</v>
      </c>
    </row>
    <row r="104" spans="1:35" ht="15.75" thickBot="1" x14ac:dyDescent="0.3">
      <c r="A104" s="110" t="s">
        <v>112</v>
      </c>
      <c r="B104" s="111">
        <f t="shared" ref="B104:AF104" si="15">SUM(B16,B22,B25:B26,B52,B54:B55,B57,B59,B105:B109,B131,B137,B143,B152,B154,B166,B173,B176:B177,B184,B186,B188,B192:B194,B196:B198,B203,B209:B210,B212:B214,B222,B227)</f>
        <v>0</v>
      </c>
      <c r="C104" s="111">
        <f t="shared" si="15"/>
        <v>0.94</v>
      </c>
      <c r="D104" s="111">
        <f t="shared" si="15"/>
        <v>0.94</v>
      </c>
      <c r="E104" s="111">
        <f t="shared" si="15"/>
        <v>0.94</v>
      </c>
      <c r="F104" s="111">
        <f t="shared" si="15"/>
        <v>0.94</v>
      </c>
      <c r="G104" s="111">
        <f t="shared" si="15"/>
        <v>0.94</v>
      </c>
      <c r="H104" s="111">
        <f t="shared" si="15"/>
        <v>0.94</v>
      </c>
      <c r="I104" s="111">
        <f t="shared" si="15"/>
        <v>0.94</v>
      </c>
      <c r="J104" s="111">
        <f t="shared" si="15"/>
        <v>0.94</v>
      </c>
      <c r="K104" s="111">
        <f t="shared" si="15"/>
        <v>0.94</v>
      </c>
      <c r="L104" s="111">
        <f t="shared" si="15"/>
        <v>0.94</v>
      </c>
      <c r="M104" s="111">
        <f t="shared" si="15"/>
        <v>0.94</v>
      </c>
      <c r="N104" s="111">
        <f t="shared" si="15"/>
        <v>0.94</v>
      </c>
      <c r="O104" s="111">
        <f t="shared" si="15"/>
        <v>0.94</v>
      </c>
      <c r="P104" s="111">
        <v>42</v>
      </c>
      <c r="Q104" s="111">
        <f t="shared" si="15"/>
        <v>0</v>
      </c>
      <c r="R104" s="111">
        <f t="shared" si="15"/>
        <v>0</v>
      </c>
      <c r="S104" s="111">
        <f t="shared" si="15"/>
        <v>0</v>
      </c>
      <c r="T104" s="111">
        <f t="shared" si="15"/>
        <v>0</v>
      </c>
      <c r="U104" s="111">
        <f t="shared" si="15"/>
        <v>0</v>
      </c>
      <c r="V104" s="111">
        <f t="shared" si="15"/>
        <v>0</v>
      </c>
      <c r="W104" s="111">
        <f t="shared" si="15"/>
        <v>0</v>
      </c>
      <c r="X104" s="111">
        <f t="shared" si="15"/>
        <v>0</v>
      </c>
      <c r="Y104" s="111">
        <f t="shared" si="15"/>
        <v>0</v>
      </c>
      <c r="Z104" s="111">
        <f t="shared" si="15"/>
        <v>0</v>
      </c>
      <c r="AA104" s="111">
        <f t="shared" si="15"/>
        <v>0</v>
      </c>
      <c r="AB104" s="111">
        <f t="shared" si="15"/>
        <v>0</v>
      </c>
      <c r="AC104" s="111">
        <f t="shared" si="15"/>
        <v>0</v>
      </c>
      <c r="AD104" s="111">
        <f t="shared" si="15"/>
        <v>0</v>
      </c>
      <c r="AE104" s="111">
        <f t="shared" si="15"/>
        <v>0</v>
      </c>
      <c r="AF104" s="111">
        <f t="shared" si="15"/>
        <v>0</v>
      </c>
      <c r="AG104" s="112"/>
      <c r="AH104" s="47">
        <f t="shared" si="8"/>
        <v>42</v>
      </c>
      <c r="AI104" s="48">
        <f t="shared" si="9"/>
        <v>0</v>
      </c>
    </row>
    <row r="105" spans="1:35" x14ac:dyDescent="0.25">
      <c r="A105" s="100" t="s">
        <v>113</v>
      </c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  <c r="AD105" s="113"/>
      <c r="AE105" s="113"/>
      <c r="AF105" s="113"/>
      <c r="AG105" s="114">
        <v>75</v>
      </c>
      <c r="AH105" s="47">
        <f t="shared" si="8"/>
        <v>0</v>
      </c>
      <c r="AI105" s="48">
        <f t="shared" si="9"/>
        <v>0</v>
      </c>
    </row>
    <row r="106" spans="1:35" x14ac:dyDescent="0.25">
      <c r="A106" s="103" t="s">
        <v>114</v>
      </c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15"/>
      <c r="AF106" s="115"/>
      <c r="AG106" s="114">
        <v>240</v>
      </c>
      <c r="AH106" s="47">
        <f t="shared" si="8"/>
        <v>0</v>
      </c>
      <c r="AI106" s="48">
        <f t="shared" si="9"/>
        <v>0</v>
      </c>
    </row>
    <row r="107" spans="1:35" x14ac:dyDescent="0.25">
      <c r="A107" s="103" t="s">
        <v>115</v>
      </c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15"/>
      <c r="AF107" s="115"/>
      <c r="AG107" s="114">
        <v>240</v>
      </c>
      <c r="AH107" s="47">
        <f t="shared" si="8"/>
        <v>0</v>
      </c>
      <c r="AI107" s="48">
        <f t="shared" si="9"/>
        <v>0</v>
      </c>
    </row>
    <row r="108" spans="1:35" x14ac:dyDescent="0.25">
      <c r="A108" s="103" t="s">
        <v>116</v>
      </c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15"/>
      <c r="AF108" s="115"/>
      <c r="AG108" s="114">
        <v>60</v>
      </c>
      <c r="AH108" s="47">
        <f t="shared" si="8"/>
        <v>0</v>
      </c>
      <c r="AI108" s="48">
        <f t="shared" si="9"/>
        <v>0</v>
      </c>
    </row>
    <row r="109" spans="1:35" x14ac:dyDescent="0.25">
      <c r="A109" s="116" t="s">
        <v>117</v>
      </c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  <c r="AB109" s="117"/>
      <c r="AC109" s="117"/>
      <c r="AD109" s="117"/>
      <c r="AE109" s="117"/>
      <c r="AF109" s="117"/>
      <c r="AG109" s="118">
        <v>120</v>
      </c>
      <c r="AH109" s="47">
        <f t="shared" si="8"/>
        <v>0</v>
      </c>
      <c r="AI109" s="48">
        <f t="shared" si="9"/>
        <v>0</v>
      </c>
    </row>
    <row r="110" spans="1:35" x14ac:dyDescent="0.25">
      <c r="A110" s="116" t="s">
        <v>118</v>
      </c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  <c r="AB110" s="117"/>
      <c r="AC110" s="117"/>
      <c r="AD110" s="117"/>
      <c r="AE110" s="117"/>
      <c r="AF110" s="117"/>
      <c r="AG110" s="118"/>
      <c r="AH110" s="47">
        <f t="shared" si="8"/>
        <v>0</v>
      </c>
      <c r="AI110" s="48">
        <f t="shared" si="9"/>
        <v>0</v>
      </c>
    </row>
    <row r="111" spans="1:35" x14ac:dyDescent="0.25">
      <c r="A111" s="116" t="s">
        <v>119</v>
      </c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  <c r="AB111" s="117"/>
      <c r="AC111" s="117"/>
      <c r="AD111" s="117"/>
      <c r="AE111" s="117"/>
      <c r="AF111" s="117"/>
      <c r="AG111" s="119"/>
      <c r="AH111" s="47">
        <f t="shared" si="8"/>
        <v>0</v>
      </c>
      <c r="AI111" s="48">
        <f t="shared" si="9"/>
        <v>0</v>
      </c>
    </row>
    <row r="112" spans="1:35" x14ac:dyDescent="0.25">
      <c r="A112" s="120" t="s">
        <v>120</v>
      </c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  <c r="AA112" s="106"/>
      <c r="AB112" s="106"/>
      <c r="AC112" s="106"/>
      <c r="AD112" s="106"/>
      <c r="AE112" s="106"/>
      <c r="AF112" s="106"/>
      <c r="AG112" s="119"/>
      <c r="AH112" s="47">
        <f t="shared" si="8"/>
        <v>0</v>
      </c>
      <c r="AI112" s="48">
        <f t="shared" si="9"/>
        <v>0</v>
      </c>
    </row>
    <row r="113" spans="1:37" ht="15.75" thickBot="1" x14ac:dyDescent="0.3">
      <c r="A113" s="120" t="s">
        <v>715</v>
      </c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  <c r="AA113" s="106"/>
      <c r="AB113" s="106"/>
      <c r="AC113" s="106"/>
      <c r="AD113" s="106"/>
      <c r="AE113" s="106"/>
      <c r="AF113" s="106"/>
      <c r="AG113" s="119"/>
      <c r="AH113" s="47">
        <f t="shared" si="8"/>
        <v>0</v>
      </c>
      <c r="AI113" s="48">
        <f t="shared" si="9"/>
        <v>0</v>
      </c>
    </row>
    <row r="114" spans="1:37" ht="15.75" thickBot="1" x14ac:dyDescent="0.3">
      <c r="A114" s="121" t="s">
        <v>122</v>
      </c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3"/>
      <c r="AH114" s="47"/>
      <c r="AI114" s="48"/>
      <c r="AK114" s="49"/>
    </row>
    <row r="115" spans="1:37" x14ac:dyDescent="0.25">
      <c r="A115" s="124" t="s">
        <v>123</v>
      </c>
      <c r="B115" s="125"/>
      <c r="C115" s="126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7">
        <v>9.94</v>
      </c>
      <c r="AH115" s="47"/>
      <c r="AI115" s="48"/>
      <c r="AK115" s="49"/>
    </row>
    <row r="116" spans="1:37" x14ac:dyDescent="0.25">
      <c r="A116" s="103" t="s">
        <v>124</v>
      </c>
      <c r="B116" s="125"/>
      <c r="C116" s="126"/>
      <c r="D116" s="125"/>
      <c r="E116" s="125"/>
      <c r="F116" s="125"/>
      <c r="G116" s="125"/>
      <c r="H116" s="125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7"/>
      <c r="AH116" s="47"/>
      <c r="AI116" s="48"/>
      <c r="AK116" s="49"/>
    </row>
    <row r="117" spans="1:37" x14ac:dyDescent="0.25">
      <c r="A117" s="103" t="s">
        <v>125</v>
      </c>
      <c r="B117" s="125"/>
      <c r="C117" s="126"/>
      <c r="D117" s="125"/>
      <c r="E117" s="125"/>
      <c r="F117" s="125"/>
      <c r="G117" s="125"/>
      <c r="H117" s="125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7"/>
      <c r="AH117" s="47"/>
      <c r="AI117" s="48"/>
      <c r="AK117" s="49"/>
    </row>
    <row r="118" spans="1:37" x14ac:dyDescent="0.25">
      <c r="A118" s="103" t="s">
        <v>126</v>
      </c>
      <c r="B118" s="125"/>
      <c r="C118" s="126"/>
      <c r="D118" s="125"/>
      <c r="E118" s="125"/>
      <c r="F118" s="125"/>
      <c r="G118" s="125"/>
      <c r="H118" s="125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7"/>
      <c r="AH118" s="47"/>
      <c r="AI118" s="48"/>
      <c r="AK118" s="49"/>
    </row>
    <row r="119" spans="1:37" x14ac:dyDescent="0.25">
      <c r="A119" s="103" t="s">
        <v>127</v>
      </c>
      <c r="B119" s="125"/>
      <c r="C119" s="126"/>
      <c r="D119" s="125"/>
      <c r="E119" s="125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7"/>
      <c r="AH119" s="47"/>
      <c r="AI119" s="48"/>
      <c r="AK119" s="49"/>
    </row>
    <row r="120" spans="1:37" x14ac:dyDescent="0.25">
      <c r="A120" s="103" t="s">
        <v>128</v>
      </c>
      <c r="B120" s="125"/>
      <c r="C120" s="126"/>
      <c r="D120" s="125"/>
      <c r="E120" s="125"/>
      <c r="F120" s="125"/>
      <c r="G120" s="125"/>
      <c r="H120" s="125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7"/>
      <c r="AH120" s="47"/>
      <c r="AI120" s="48"/>
      <c r="AK120" s="49"/>
    </row>
    <row r="121" spans="1:37" x14ac:dyDescent="0.25">
      <c r="A121" s="103" t="s">
        <v>129</v>
      </c>
      <c r="B121" s="125"/>
      <c r="C121" s="126"/>
      <c r="D121" s="125"/>
      <c r="E121" s="125"/>
      <c r="F121" s="125"/>
      <c r="G121" s="125"/>
      <c r="H121" s="125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7"/>
      <c r="AH121" s="47"/>
      <c r="AI121" s="48"/>
      <c r="AK121" s="49"/>
    </row>
    <row r="122" spans="1:37" x14ac:dyDescent="0.25">
      <c r="A122" s="103" t="s">
        <v>130</v>
      </c>
      <c r="B122" s="125"/>
      <c r="C122" s="126"/>
      <c r="D122" s="125"/>
      <c r="E122" s="125"/>
      <c r="F122" s="125"/>
      <c r="G122" s="125"/>
      <c r="H122" s="125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7"/>
      <c r="AH122" s="47"/>
      <c r="AI122" s="48"/>
      <c r="AK122" s="49"/>
    </row>
    <row r="123" spans="1:37" x14ac:dyDescent="0.25">
      <c r="A123" s="103" t="s">
        <v>131</v>
      </c>
      <c r="B123" s="125"/>
      <c r="C123" s="126"/>
      <c r="D123" s="125"/>
      <c r="E123" s="125"/>
      <c r="F123" s="125"/>
      <c r="G123" s="125"/>
      <c r="H123" s="125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7"/>
      <c r="AH123" s="47"/>
      <c r="AI123" s="48"/>
      <c r="AK123" s="49"/>
    </row>
    <row r="124" spans="1:37" x14ac:dyDescent="0.25">
      <c r="A124" s="103" t="s">
        <v>132</v>
      </c>
      <c r="B124" s="125"/>
      <c r="C124" s="126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7"/>
      <c r="AH124" s="47"/>
      <c r="AI124" s="48"/>
      <c r="AK124" s="49"/>
    </row>
    <row r="125" spans="1:37" x14ac:dyDescent="0.25">
      <c r="A125" s="103" t="s">
        <v>133</v>
      </c>
      <c r="B125" s="125"/>
      <c r="C125" s="126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7"/>
      <c r="AH125" s="47"/>
      <c r="AI125" s="48"/>
      <c r="AK125" s="49"/>
    </row>
    <row r="126" spans="1:37" x14ac:dyDescent="0.25">
      <c r="A126" s="103" t="s">
        <v>134</v>
      </c>
      <c r="B126" s="125"/>
      <c r="C126" s="126"/>
      <c r="D126" s="125"/>
      <c r="E126" s="125"/>
      <c r="F126" s="125"/>
      <c r="G126" s="125"/>
      <c r="H126" s="125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7"/>
      <c r="AH126" s="47"/>
      <c r="AI126" s="48"/>
      <c r="AK126" s="49"/>
    </row>
    <row r="127" spans="1:37" x14ac:dyDescent="0.25">
      <c r="A127" s="103" t="s">
        <v>135</v>
      </c>
      <c r="B127" s="125"/>
      <c r="C127" s="126"/>
      <c r="D127" s="125"/>
      <c r="E127" s="125"/>
      <c r="F127" s="125"/>
      <c r="G127" s="125"/>
      <c r="H127" s="125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7"/>
      <c r="AH127" s="47"/>
      <c r="AI127" s="48"/>
      <c r="AK127" s="49"/>
    </row>
    <row r="128" spans="1:37" x14ac:dyDescent="0.25">
      <c r="A128" s="103" t="s">
        <v>136</v>
      </c>
      <c r="B128" s="125"/>
      <c r="C128" s="126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7"/>
      <c r="AH128" s="47"/>
      <c r="AI128" s="48"/>
      <c r="AK128" s="49"/>
    </row>
    <row r="129" spans="1:37" x14ac:dyDescent="0.25">
      <c r="A129" s="103" t="s">
        <v>137</v>
      </c>
      <c r="B129" s="125"/>
      <c r="C129" s="126"/>
      <c r="D129" s="125"/>
      <c r="E129" s="125"/>
      <c r="F129" s="125"/>
      <c r="G129" s="125"/>
      <c r="H129" s="125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7"/>
      <c r="AH129" s="47"/>
      <c r="AI129" s="48"/>
      <c r="AK129" s="49"/>
    </row>
    <row r="130" spans="1:37" x14ac:dyDescent="0.25">
      <c r="A130" s="103" t="s">
        <v>138</v>
      </c>
      <c r="B130" s="125"/>
      <c r="C130" s="126"/>
      <c r="D130" s="125"/>
      <c r="E130" s="125"/>
      <c r="F130" s="125"/>
      <c r="G130" s="125"/>
      <c r="H130" s="125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7"/>
      <c r="AH130" s="47"/>
      <c r="AI130" s="48"/>
      <c r="AK130" s="49"/>
    </row>
    <row r="131" spans="1:37" x14ac:dyDescent="0.25">
      <c r="A131" s="103" t="s">
        <v>139</v>
      </c>
      <c r="B131" s="128"/>
      <c r="C131" s="129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30">
        <v>9.9</v>
      </c>
      <c r="AH131" s="47"/>
      <c r="AI131" s="48"/>
      <c r="AK131" s="49"/>
    </row>
    <row r="132" spans="1:37" x14ac:dyDescent="0.25">
      <c r="A132" s="116" t="s">
        <v>140</v>
      </c>
      <c r="B132" s="128"/>
      <c r="C132" s="129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31">
        <v>9.6579999999999995</v>
      </c>
      <c r="AH132" s="47"/>
      <c r="AI132" s="48"/>
      <c r="AK132" s="49"/>
    </row>
    <row r="133" spans="1:37" x14ac:dyDescent="0.25">
      <c r="A133" s="116" t="s">
        <v>141</v>
      </c>
      <c r="B133" s="128"/>
      <c r="C133" s="129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31">
        <v>9.6</v>
      </c>
      <c r="AH133" s="47"/>
      <c r="AI133" s="48"/>
      <c r="AK133" s="49"/>
    </row>
    <row r="134" spans="1:37" x14ac:dyDescent="0.25">
      <c r="A134" s="116" t="s">
        <v>142</v>
      </c>
      <c r="B134" s="128"/>
      <c r="C134" s="129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31">
        <v>9.51</v>
      </c>
      <c r="AH134" s="47"/>
      <c r="AI134" s="48"/>
      <c r="AK134" s="49"/>
    </row>
    <row r="135" spans="1:37" x14ac:dyDescent="0.25">
      <c r="A135" s="116" t="s">
        <v>143</v>
      </c>
      <c r="B135" s="128"/>
      <c r="C135" s="129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31">
        <v>9.4</v>
      </c>
      <c r="AH135" s="47"/>
      <c r="AI135" s="48"/>
      <c r="AK135" s="49"/>
    </row>
    <row r="136" spans="1:37" x14ac:dyDescent="0.25">
      <c r="A136" s="116" t="s">
        <v>144</v>
      </c>
      <c r="B136" s="128"/>
      <c r="C136" s="129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31">
        <v>8.8000000000000007</v>
      </c>
      <c r="AH136" s="47"/>
      <c r="AI136" s="48"/>
      <c r="AK136" s="49"/>
    </row>
    <row r="137" spans="1:37" x14ac:dyDescent="0.25">
      <c r="A137" s="116" t="s">
        <v>145</v>
      </c>
      <c r="B137" s="128"/>
      <c r="C137" s="129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31">
        <v>8.5</v>
      </c>
      <c r="AH137" s="47"/>
      <c r="AI137" s="48"/>
      <c r="AK137" s="49"/>
    </row>
    <row r="138" spans="1:37" x14ac:dyDescent="0.25">
      <c r="A138" s="116" t="s">
        <v>146</v>
      </c>
      <c r="B138" s="128"/>
      <c r="C138" s="129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31">
        <v>8.5</v>
      </c>
      <c r="AH138" s="47"/>
      <c r="AI138" s="48"/>
      <c r="AK138" s="49"/>
    </row>
    <row r="139" spans="1:37" x14ac:dyDescent="0.25">
      <c r="A139" s="116" t="s">
        <v>147</v>
      </c>
      <c r="B139" s="128"/>
      <c r="C139" s="129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31">
        <v>8.4</v>
      </c>
      <c r="AH139" s="47"/>
      <c r="AI139" s="48"/>
      <c r="AK139" s="49"/>
    </row>
    <row r="140" spans="1:37" ht="13.5" customHeight="1" x14ac:dyDescent="0.25">
      <c r="A140" s="116" t="s">
        <v>148</v>
      </c>
      <c r="B140" s="128"/>
      <c r="C140" s="129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31">
        <v>8</v>
      </c>
      <c r="AH140" s="47"/>
      <c r="AI140" s="48"/>
      <c r="AK140" s="49"/>
    </row>
    <row r="141" spans="1:37" x14ac:dyDescent="0.25">
      <c r="A141" s="116" t="s">
        <v>149</v>
      </c>
      <c r="B141" s="128"/>
      <c r="C141" s="129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31">
        <v>8</v>
      </c>
      <c r="AH141" s="47"/>
      <c r="AI141" s="48"/>
      <c r="AK141" s="49"/>
    </row>
    <row r="142" spans="1:37" x14ac:dyDescent="0.25">
      <c r="A142" s="116" t="s">
        <v>150</v>
      </c>
      <c r="B142" s="128"/>
      <c r="C142" s="129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31">
        <v>8</v>
      </c>
      <c r="AH142" s="47"/>
      <c r="AI142" s="48"/>
      <c r="AK142" s="49"/>
    </row>
    <row r="143" spans="1:37" x14ac:dyDescent="0.25">
      <c r="A143" s="116" t="s">
        <v>151</v>
      </c>
      <c r="B143" s="128"/>
      <c r="C143" s="129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31">
        <v>7.8</v>
      </c>
      <c r="AH143" s="47"/>
      <c r="AI143" s="48"/>
      <c r="AK143" s="49"/>
    </row>
    <row r="144" spans="1:37" x14ac:dyDescent="0.25">
      <c r="A144" s="116" t="s">
        <v>152</v>
      </c>
      <c r="B144" s="128"/>
      <c r="C144" s="129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31">
        <v>7.6</v>
      </c>
      <c r="AH144" s="47"/>
      <c r="AI144" s="48"/>
      <c r="AK144" s="49"/>
    </row>
    <row r="145" spans="1:37" x14ac:dyDescent="0.25">
      <c r="A145" s="116" t="s">
        <v>153</v>
      </c>
      <c r="B145" s="128"/>
      <c r="C145" s="129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31">
        <v>7.5</v>
      </c>
      <c r="AH145" s="47"/>
      <c r="AI145" s="48"/>
      <c r="AK145" s="49"/>
    </row>
    <row r="146" spans="1:37" x14ac:dyDescent="0.25">
      <c r="A146" s="116" t="s">
        <v>154</v>
      </c>
      <c r="B146" s="128"/>
      <c r="C146" s="129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31">
        <v>7.5</v>
      </c>
      <c r="AH146" s="47"/>
      <c r="AI146" s="48"/>
      <c r="AK146" s="49"/>
    </row>
    <row r="147" spans="1:37" x14ac:dyDescent="0.25">
      <c r="A147" s="116" t="s">
        <v>155</v>
      </c>
      <c r="B147" s="128"/>
      <c r="C147" s="129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31">
        <v>7</v>
      </c>
      <c r="AH147" s="47"/>
      <c r="AI147" s="48"/>
      <c r="AK147" s="49"/>
    </row>
    <row r="148" spans="1:37" x14ac:dyDescent="0.25">
      <c r="A148" s="116" t="s">
        <v>156</v>
      </c>
      <c r="B148" s="128"/>
      <c r="C148" s="129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31">
        <v>7</v>
      </c>
      <c r="AH148" s="47"/>
      <c r="AI148" s="48"/>
      <c r="AK148" s="49"/>
    </row>
    <row r="149" spans="1:37" x14ac:dyDescent="0.25">
      <c r="A149" s="116" t="s">
        <v>157</v>
      </c>
      <c r="B149" s="128"/>
      <c r="C149" s="129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31">
        <v>7</v>
      </c>
      <c r="AH149" s="47"/>
      <c r="AI149" s="48"/>
      <c r="AK149" s="49"/>
    </row>
    <row r="150" spans="1:37" x14ac:dyDescent="0.25">
      <c r="A150" s="116" t="s">
        <v>158</v>
      </c>
      <c r="B150" s="128"/>
      <c r="C150" s="129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31">
        <v>7</v>
      </c>
      <c r="AH150" s="47"/>
      <c r="AI150" s="48"/>
      <c r="AK150" s="49"/>
    </row>
    <row r="151" spans="1:37" x14ac:dyDescent="0.25">
      <c r="A151" s="116" t="s">
        <v>159</v>
      </c>
      <c r="B151" s="128"/>
      <c r="C151" s="129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31">
        <v>6.6</v>
      </c>
      <c r="AH151" s="47"/>
      <c r="AI151" s="48"/>
      <c r="AK151" s="49"/>
    </row>
    <row r="152" spans="1:37" x14ac:dyDescent="0.25">
      <c r="A152" s="116" t="s">
        <v>160</v>
      </c>
      <c r="B152" s="128"/>
      <c r="C152" s="129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31">
        <v>6.6</v>
      </c>
      <c r="AH152" s="47"/>
      <c r="AI152" s="48"/>
      <c r="AK152" s="49"/>
    </row>
    <row r="153" spans="1:37" x14ac:dyDescent="0.25">
      <c r="A153" s="116" t="s">
        <v>161</v>
      </c>
      <c r="B153" s="128"/>
      <c r="C153" s="129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31">
        <v>6.4</v>
      </c>
      <c r="AH153" s="47"/>
      <c r="AI153" s="48"/>
      <c r="AK153" s="49"/>
    </row>
    <row r="154" spans="1:37" x14ac:dyDescent="0.25">
      <c r="A154" s="116" t="s">
        <v>162</v>
      </c>
      <c r="B154" s="128"/>
      <c r="C154" s="129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31">
        <v>6</v>
      </c>
      <c r="AH154" s="47"/>
      <c r="AI154" s="48"/>
      <c r="AK154" s="49"/>
    </row>
    <row r="155" spans="1:37" x14ac:dyDescent="0.25">
      <c r="A155" s="116" t="s">
        <v>163</v>
      </c>
      <c r="B155" s="128"/>
      <c r="C155" s="129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31">
        <v>5.0999999999999996</v>
      </c>
      <c r="AH155" s="47"/>
      <c r="AI155" s="48"/>
      <c r="AK155" s="49"/>
    </row>
    <row r="156" spans="1:37" x14ac:dyDescent="0.25">
      <c r="A156" s="116" t="s">
        <v>164</v>
      </c>
      <c r="B156" s="128"/>
      <c r="C156" s="129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31">
        <v>5</v>
      </c>
      <c r="AH156" s="47"/>
      <c r="AI156" s="48"/>
      <c r="AK156" s="49"/>
    </row>
    <row r="157" spans="1:37" x14ac:dyDescent="0.25">
      <c r="A157" s="103" t="s">
        <v>165</v>
      </c>
      <c r="B157" s="128"/>
      <c r="C157" s="129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30">
        <v>5</v>
      </c>
      <c r="AH157" s="47"/>
      <c r="AI157" s="48"/>
      <c r="AK157" s="49"/>
    </row>
    <row r="158" spans="1:37" x14ac:dyDescent="0.25">
      <c r="A158" s="116" t="s">
        <v>166</v>
      </c>
      <c r="B158" s="128"/>
      <c r="C158" s="129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31">
        <v>5</v>
      </c>
      <c r="AH158" s="47"/>
      <c r="AI158" s="48"/>
      <c r="AK158" s="49"/>
    </row>
    <row r="159" spans="1:37" x14ac:dyDescent="0.25">
      <c r="A159" s="116" t="s">
        <v>167</v>
      </c>
      <c r="B159" s="128"/>
      <c r="C159" s="129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31">
        <v>5</v>
      </c>
      <c r="AH159" s="47"/>
      <c r="AI159" s="48"/>
      <c r="AK159" s="49"/>
    </row>
    <row r="160" spans="1:37" x14ac:dyDescent="0.25">
      <c r="A160" s="116" t="s">
        <v>168</v>
      </c>
      <c r="B160" s="128"/>
      <c r="C160" s="129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31">
        <v>5</v>
      </c>
      <c r="AH160" s="47"/>
      <c r="AI160" s="48"/>
      <c r="AK160" s="49"/>
    </row>
    <row r="161" spans="1:37" x14ac:dyDescent="0.25">
      <c r="A161" s="116" t="s">
        <v>169</v>
      </c>
      <c r="B161" s="128"/>
      <c r="C161" s="129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31">
        <v>5</v>
      </c>
      <c r="AH161" s="47"/>
      <c r="AI161" s="48"/>
      <c r="AK161" s="49"/>
    </row>
    <row r="162" spans="1:37" x14ac:dyDescent="0.25">
      <c r="A162" s="116" t="s">
        <v>170</v>
      </c>
      <c r="B162" s="128"/>
      <c r="C162" s="129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31">
        <v>5</v>
      </c>
      <c r="AH162" s="47"/>
      <c r="AI162" s="48"/>
      <c r="AK162" s="49"/>
    </row>
    <row r="163" spans="1:37" x14ac:dyDescent="0.25">
      <c r="A163" s="116" t="s">
        <v>171</v>
      </c>
      <c r="B163" s="128"/>
      <c r="C163" s="129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31">
        <v>4.9930000000000003</v>
      </c>
      <c r="AH163" s="47"/>
      <c r="AI163" s="48"/>
      <c r="AK163" s="49"/>
    </row>
    <row r="164" spans="1:37" x14ac:dyDescent="0.25">
      <c r="A164" s="116" t="s">
        <v>172</v>
      </c>
      <c r="B164" s="128"/>
      <c r="C164" s="129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31">
        <v>4.9800000000000004</v>
      </c>
      <c r="AH164" s="47"/>
      <c r="AI164" s="48"/>
      <c r="AK164" s="49"/>
    </row>
    <row r="165" spans="1:37" x14ac:dyDescent="0.25">
      <c r="A165" s="116" t="s">
        <v>173</v>
      </c>
      <c r="B165" s="128"/>
      <c r="C165" s="129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31">
        <v>4.95</v>
      </c>
      <c r="AH165" s="47"/>
      <c r="AI165" s="48"/>
      <c r="AK165" s="49"/>
    </row>
    <row r="166" spans="1:37" x14ac:dyDescent="0.25">
      <c r="A166" s="116" t="s">
        <v>174</v>
      </c>
      <c r="B166" s="128"/>
      <c r="C166" s="129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31">
        <v>4.95</v>
      </c>
      <c r="AH166" s="47"/>
      <c r="AI166" s="48"/>
      <c r="AK166" s="49"/>
    </row>
    <row r="167" spans="1:37" x14ac:dyDescent="0.25">
      <c r="A167" s="116" t="s">
        <v>175</v>
      </c>
      <c r="B167" s="128"/>
      <c r="C167" s="129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31">
        <v>4.8</v>
      </c>
      <c r="AH167" s="47"/>
      <c r="AI167" s="48"/>
      <c r="AK167" s="49"/>
    </row>
    <row r="168" spans="1:37" x14ac:dyDescent="0.25">
      <c r="A168" s="116" t="s">
        <v>176</v>
      </c>
      <c r="B168" s="128"/>
      <c r="C168" s="129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31">
        <v>4.8</v>
      </c>
      <c r="AH168" s="47"/>
      <c r="AI168" s="48"/>
      <c r="AK168" s="49"/>
    </row>
    <row r="169" spans="1:37" x14ac:dyDescent="0.25">
      <c r="A169" s="116" t="s">
        <v>177</v>
      </c>
      <c r="B169" s="128"/>
      <c r="C169" s="129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31">
        <v>4.8</v>
      </c>
      <c r="AH169" s="47"/>
      <c r="AI169" s="48"/>
      <c r="AK169" s="49"/>
    </row>
    <row r="170" spans="1:37" x14ac:dyDescent="0.25">
      <c r="A170" s="116" t="s">
        <v>178</v>
      </c>
      <c r="B170" s="128"/>
      <c r="C170" s="129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31">
        <v>4.5</v>
      </c>
      <c r="AH170" s="47"/>
      <c r="AI170" s="48"/>
      <c r="AK170" s="49"/>
    </row>
    <row r="171" spans="1:37" x14ac:dyDescent="0.25">
      <c r="A171" s="116" t="s">
        <v>179</v>
      </c>
      <c r="B171" s="128"/>
      <c r="C171" s="129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31">
        <v>4.5</v>
      </c>
      <c r="AH171" s="47"/>
      <c r="AI171" s="48"/>
      <c r="AK171" s="49"/>
    </row>
    <row r="172" spans="1:37" x14ac:dyDescent="0.25">
      <c r="A172" s="116" t="s">
        <v>180</v>
      </c>
      <c r="B172" s="128"/>
      <c r="C172" s="129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31">
        <v>4.4550000000000001</v>
      </c>
      <c r="AH172" s="47"/>
      <c r="AI172" s="48"/>
      <c r="AK172" s="49"/>
    </row>
    <row r="173" spans="1:37" x14ac:dyDescent="0.25">
      <c r="A173" s="116" t="s">
        <v>181</v>
      </c>
      <c r="B173" s="128"/>
      <c r="C173" s="129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31">
        <v>4.41</v>
      </c>
      <c r="AH173" s="47"/>
      <c r="AI173" s="48"/>
      <c r="AK173" s="49"/>
    </row>
    <row r="174" spans="1:37" x14ac:dyDescent="0.25">
      <c r="A174" s="116" t="s">
        <v>182</v>
      </c>
      <c r="B174" s="128"/>
      <c r="C174" s="129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31">
        <v>4.4000000000000004</v>
      </c>
      <c r="AH174" s="47"/>
      <c r="AI174" s="48"/>
      <c r="AK174" s="49"/>
    </row>
    <row r="175" spans="1:37" x14ac:dyDescent="0.25">
      <c r="A175" s="116" t="s">
        <v>183</v>
      </c>
      <c r="B175" s="128"/>
      <c r="C175" s="129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31">
        <v>4.3600000000000003</v>
      </c>
      <c r="AH175" s="47"/>
      <c r="AI175" s="48"/>
      <c r="AK175" s="49"/>
    </row>
    <row r="176" spans="1:37" x14ac:dyDescent="0.25">
      <c r="A176" s="116" t="s">
        <v>184</v>
      </c>
      <c r="B176" s="128"/>
      <c r="C176" s="129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31">
        <v>4.2</v>
      </c>
      <c r="AH176" s="47"/>
      <c r="AI176" s="48"/>
      <c r="AK176" s="49"/>
    </row>
    <row r="177" spans="1:37" x14ac:dyDescent="0.25">
      <c r="A177" s="116" t="s">
        <v>185</v>
      </c>
      <c r="B177" s="128"/>
      <c r="C177" s="129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31">
        <v>4</v>
      </c>
      <c r="AH177" s="47"/>
      <c r="AI177" s="48"/>
      <c r="AK177" s="49"/>
    </row>
    <row r="178" spans="1:37" x14ac:dyDescent="0.25">
      <c r="A178" s="116" t="s">
        <v>186</v>
      </c>
      <c r="B178" s="128"/>
      <c r="C178" s="129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31">
        <v>4</v>
      </c>
      <c r="AH178" s="47"/>
      <c r="AI178" s="48"/>
      <c r="AK178" s="49"/>
    </row>
    <row r="179" spans="1:37" x14ac:dyDescent="0.25">
      <c r="A179" s="116" t="s">
        <v>187</v>
      </c>
      <c r="B179" s="128"/>
      <c r="C179" s="129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31">
        <v>4</v>
      </c>
      <c r="AH179" s="47"/>
      <c r="AI179" s="48"/>
      <c r="AK179" s="49"/>
    </row>
    <row r="180" spans="1:37" x14ac:dyDescent="0.25">
      <c r="A180" s="116" t="s">
        <v>188</v>
      </c>
      <c r="B180" s="128"/>
      <c r="C180" s="129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31">
        <v>4</v>
      </c>
      <c r="AH180" s="47"/>
      <c r="AI180" s="48"/>
      <c r="AK180" s="49"/>
    </row>
    <row r="181" spans="1:37" x14ac:dyDescent="0.25">
      <c r="A181" s="116" t="s">
        <v>189</v>
      </c>
      <c r="B181" s="128"/>
      <c r="C181" s="129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31">
        <v>4</v>
      </c>
      <c r="AH181" s="47"/>
      <c r="AI181" s="48"/>
      <c r="AK181" s="49"/>
    </row>
    <row r="182" spans="1:37" x14ac:dyDescent="0.25">
      <c r="A182" s="116" t="s">
        <v>190</v>
      </c>
      <c r="B182" s="128"/>
      <c r="C182" s="129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31">
        <v>4</v>
      </c>
      <c r="AH182" s="47"/>
      <c r="AI182" s="48"/>
      <c r="AK182" s="49"/>
    </row>
    <row r="183" spans="1:37" x14ac:dyDescent="0.25">
      <c r="A183" s="116" t="s">
        <v>191</v>
      </c>
      <c r="B183" s="128"/>
      <c r="C183" s="129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31">
        <v>4</v>
      </c>
      <c r="AH183" s="47"/>
      <c r="AI183" s="48"/>
      <c r="AK183" s="49"/>
    </row>
    <row r="184" spans="1:37" x14ac:dyDescent="0.25">
      <c r="A184" s="116" t="s">
        <v>192</v>
      </c>
      <c r="B184" s="128"/>
      <c r="C184" s="129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31">
        <v>4</v>
      </c>
      <c r="AH184" s="47"/>
      <c r="AI184" s="48"/>
      <c r="AK184" s="49"/>
    </row>
    <row r="185" spans="1:37" x14ac:dyDescent="0.25">
      <c r="A185" s="116" t="s">
        <v>193</v>
      </c>
      <c r="B185" s="128"/>
      <c r="C185" s="129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31">
        <v>3.75</v>
      </c>
      <c r="AH185" s="47"/>
      <c r="AI185" s="48"/>
      <c r="AK185" s="49"/>
    </row>
    <row r="186" spans="1:37" x14ac:dyDescent="0.25">
      <c r="A186" s="116" t="s">
        <v>194</v>
      </c>
      <c r="B186" s="128"/>
      <c r="C186" s="129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31">
        <v>3.52</v>
      </c>
      <c r="AH186" s="47"/>
      <c r="AI186" s="48"/>
      <c r="AK186" s="49"/>
    </row>
    <row r="187" spans="1:37" x14ac:dyDescent="0.25">
      <c r="A187" s="116" t="s">
        <v>195</v>
      </c>
      <c r="B187" s="128"/>
      <c r="C187" s="129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31">
        <v>3.33</v>
      </c>
      <c r="AH187" s="47"/>
      <c r="AI187" s="48"/>
      <c r="AK187" s="49"/>
    </row>
    <row r="188" spans="1:37" x14ac:dyDescent="0.25">
      <c r="A188" s="116" t="s">
        <v>196</v>
      </c>
      <c r="B188" s="128"/>
      <c r="C188" s="129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31">
        <v>3.2</v>
      </c>
      <c r="AH188" s="47"/>
      <c r="AI188" s="48"/>
      <c r="AK188" s="49"/>
    </row>
    <row r="189" spans="1:37" x14ac:dyDescent="0.25">
      <c r="A189" s="116" t="s">
        <v>197</v>
      </c>
      <c r="B189" s="128"/>
      <c r="C189" s="129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31">
        <v>3</v>
      </c>
      <c r="AH189" s="47"/>
      <c r="AI189" s="48"/>
      <c r="AK189" s="49"/>
    </row>
    <row r="190" spans="1:37" x14ac:dyDescent="0.25">
      <c r="A190" s="116" t="s">
        <v>198</v>
      </c>
      <c r="B190" s="128"/>
      <c r="C190" s="129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31">
        <v>3</v>
      </c>
      <c r="AH190" s="47"/>
      <c r="AI190" s="48"/>
      <c r="AK190" s="49"/>
    </row>
    <row r="191" spans="1:37" x14ac:dyDescent="0.25">
      <c r="A191" s="116" t="s">
        <v>199</v>
      </c>
      <c r="B191" s="128"/>
      <c r="C191" s="129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31">
        <v>3</v>
      </c>
      <c r="AH191" s="47"/>
      <c r="AI191" s="48"/>
      <c r="AK191" s="49"/>
    </row>
    <row r="192" spans="1:37" x14ac:dyDescent="0.25">
      <c r="A192" s="116" t="s">
        <v>200</v>
      </c>
      <c r="B192" s="128"/>
      <c r="C192" s="129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31">
        <v>3</v>
      </c>
      <c r="AH192" s="47"/>
      <c r="AI192" s="48"/>
      <c r="AK192" s="49"/>
    </row>
    <row r="193" spans="1:37" x14ac:dyDescent="0.25">
      <c r="A193" s="116" t="s">
        <v>201</v>
      </c>
      <c r="B193" s="128"/>
      <c r="C193" s="129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31">
        <v>3</v>
      </c>
      <c r="AH193" s="47"/>
      <c r="AI193" s="48"/>
      <c r="AK193" s="49"/>
    </row>
    <row r="194" spans="1:37" x14ac:dyDescent="0.25">
      <c r="A194" s="116" t="s">
        <v>202</v>
      </c>
      <c r="B194" s="128"/>
      <c r="C194" s="129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31">
        <v>3</v>
      </c>
      <c r="AH194" s="47"/>
      <c r="AI194" s="48"/>
      <c r="AK194" s="49"/>
    </row>
    <row r="195" spans="1:37" x14ac:dyDescent="0.25">
      <c r="A195" s="116" t="s">
        <v>203</v>
      </c>
      <c r="B195" s="128"/>
      <c r="C195" s="129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31">
        <v>3</v>
      </c>
      <c r="AH195" s="47"/>
      <c r="AI195" s="48"/>
      <c r="AK195" s="49"/>
    </row>
    <row r="196" spans="1:37" x14ac:dyDescent="0.25">
      <c r="A196" s="116" t="s">
        <v>204</v>
      </c>
      <c r="B196" s="128"/>
      <c r="C196" s="129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31">
        <v>3</v>
      </c>
      <c r="AH196" s="47"/>
      <c r="AI196" s="48"/>
      <c r="AK196" s="49"/>
    </row>
    <row r="197" spans="1:37" x14ac:dyDescent="0.25">
      <c r="A197" s="116" t="s">
        <v>205</v>
      </c>
      <c r="B197" s="128"/>
      <c r="C197" s="129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31">
        <v>2.83</v>
      </c>
      <c r="AH197" s="47"/>
      <c r="AI197" s="48"/>
      <c r="AK197" s="49"/>
    </row>
    <row r="198" spans="1:37" x14ac:dyDescent="0.25">
      <c r="A198" s="116" t="s">
        <v>206</v>
      </c>
      <c r="B198" s="128"/>
      <c r="C198" s="129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31">
        <v>2.5</v>
      </c>
      <c r="AH198" s="47"/>
      <c r="AI198" s="48"/>
      <c r="AK198" s="49"/>
    </row>
    <row r="199" spans="1:37" x14ac:dyDescent="0.25">
      <c r="A199" s="116" t="s">
        <v>207</v>
      </c>
      <c r="B199" s="128"/>
      <c r="C199" s="129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31">
        <v>2.5</v>
      </c>
      <c r="AH199" s="47"/>
      <c r="AI199" s="48"/>
      <c r="AK199" s="49"/>
    </row>
    <row r="200" spans="1:37" x14ac:dyDescent="0.25">
      <c r="A200" s="116" t="s">
        <v>208</v>
      </c>
      <c r="B200" s="128"/>
      <c r="C200" s="129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31">
        <v>2.4</v>
      </c>
      <c r="AH200" s="47"/>
      <c r="AI200" s="48"/>
      <c r="AK200" s="49"/>
    </row>
    <row r="201" spans="1:37" x14ac:dyDescent="0.25">
      <c r="A201" s="116" t="s">
        <v>209</v>
      </c>
      <c r="B201" s="128"/>
      <c r="C201" s="129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31">
        <v>2.4</v>
      </c>
      <c r="AH201" s="47"/>
      <c r="AI201" s="48"/>
      <c r="AK201" s="49"/>
    </row>
    <row r="202" spans="1:37" x14ac:dyDescent="0.25">
      <c r="A202" s="116" t="s">
        <v>210</v>
      </c>
      <c r="B202" s="128"/>
      <c r="C202" s="129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31">
        <v>2.2000000000000002</v>
      </c>
      <c r="AH202" s="47"/>
      <c r="AI202" s="48"/>
      <c r="AK202" s="49"/>
    </row>
    <row r="203" spans="1:37" x14ac:dyDescent="0.25">
      <c r="A203" s="116" t="s">
        <v>211</v>
      </c>
      <c r="B203" s="128"/>
      <c r="C203" s="129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31">
        <v>2</v>
      </c>
      <c r="AH203" s="47"/>
      <c r="AI203" s="48"/>
      <c r="AK203" s="49"/>
    </row>
    <row r="204" spans="1:37" x14ac:dyDescent="0.25">
      <c r="A204" s="116" t="s">
        <v>212</v>
      </c>
      <c r="B204" s="128"/>
      <c r="C204" s="129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31">
        <v>2</v>
      </c>
      <c r="AH204" s="47"/>
      <c r="AI204" s="48"/>
      <c r="AK204" s="49"/>
    </row>
    <row r="205" spans="1:37" x14ac:dyDescent="0.25">
      <c r="A205" s="116" t="s">
        <v>213</v>
      </c>
      <c r="B205" s="128"/>
      <c r="C205" s="129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31">
        <v>2</v>
      </c>
      <c r="AH205" s="47"/>
      <c r="AI205" s="48"/>
      <c r="AK205" s="49"/>
    </row>
    <row r="206" spans="1:37" x14ac:dyDescent="0.25">
      <c r="A206" s="116" t="s">
        <v>214</v>
      </c>
      <c r="B206" s="128"/>
      <c r="C206" s="129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31">
        <v>1.8</v>
      </c>
      <c r="AH206" s="47"/>
      <c r="AI206" s="48"/>
      <c r="AK206" s="49"/>
    </row>
    <row r="207" spans="1:37" x14ac:dyDescent="0.25">
      <c r="A207" s="116" t="s">
        <v>215</v>
      </c>
      <c r="B207" s="128"/>
      <c r="C207" s="129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31">
        <v>1.8</v>
      </c>
      <c r="AH207" s="47"/>
      <c r="AI207" s="48"/>
      <c r="AK207" s="49"/>
    </row>
    <row r="208" spans="1:37" x14ac:dyDescent="0.25">
      <c r="A208" s="116" t="s">
        <v>216</v>
      </c>
      <c r="B208" s="128"/>
      <c r="C208" s="129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31">
        <v>1.65</v>
      </c>
      <c r="AH208" s="47"/>
      <c r="AI208" s="48"/>
      <c r="AK208" s="49"/>
    </row>
    <row r="209" spans="1:37" x14ac:dyDescent="0.25">
      <c r="A209" s="116" t="s">
        <v>217</v>
      </c>
      <c r="B209" s="128"/>
      <c r="C209" s="129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31">
        <v>1.5</v>
      </c>
      <c r="AH209" s="47"/>
      <c r="AI209" s="48"/>
      <c r="AK209" s="49"/>
    </row>
    <row r="210" spans="1:37" x14ac:dyDescent="0.25">
      <c r="A210" s="116" t="s">
        <v>218</v>
      </c>
      <c r="B210" s="128"/>
      <c r="C210" s="129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31">
        <v>0.998</v>
      </c>
      <c r="AH210" s="47"/>
      <c r="AI210" s="48"/>
      <c r="AK210" s="49"/>
    </row>
    <row r="211" spans="1:37" x14ac:dyDescent="0.25">
      <c r="A211" s="116" t="s">
        <v>219</v>
      </c>
      <c r="B211" s="128"/>
      <c r="C211" s="129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31">
        <v>0.997</v>
      </c>
      <c r="AH211" s="47"/>
      <c r="AI211" s="48"/>
      <c r="AK211" s="49"/>
    </row>
    <row r="212" spans="1:37" x14ac:dyDescent="0.25">
      <c r="A212" s="116" t="s">
        <v>220</v>
      </c>
      <c r="B212" s="128"/>
      <c r="C212" s="129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31">
        <v>0.997</v>
      </c>
      <c r="AH212" s="47"/>
      <c r="AI212" s="48"/>
      <c r="AK212" s="49"/>
    </row>
    <row r="213" spans="1:37" x14ac:dyDescent="0.25">
      <c r="A213" s="116" t="s">
        <v>221</v>
      </c>
      <c r="B213" s="128"/>
      <c r="C213" s="129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31">
        <v>0.996</v>
      </c>
      <c r="AH213" s="47"/>
      <c r="AI213" s="48"/>
      <c r="AK213" s="49"/>
    </row>
    <row r="214" spans="1:37" x14ac:dyDescent="0.25">
      <c r="A214" s="116" t="s">
        <v>222</v>
      </c>
      <c r="B214" s="128"/>
      <c r="C214" s="129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31">
        <v>0.996</v>
      </c>
      <c r="AH214" s="47"/>
      <c r="AI214" s="48"/>
      <c r="AK214" s="49"/>
    </row>
    <row r="215" spans="1:37" x14ac:dyDescent="0.25">
      <c r="A215" s="116" t="s">
        <v>223</v>
      </c>
      <c r="B215" s="128"/>
      <c r="C215" s="129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31">
        <v>0.996</v>
      </c>
      <c r="AH215" s="47"/>
      <c r="AI215" s="48"/>
      <c r="AK215" s="49"/>
    </row>
    <row r="216" spans="1:37" x14ac:dyDescent="0.25">
      <c r="A216" s="116" t="s">
        <v>224</v>
      </c>
      <c r="B216" s="128"/>
      <c r="C216" s="129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31">
        <v>0.995</v>
      </c>
      <c r="AH216" s="47"/>
      <c r="AI216" s="48"/>
      <c r="AK216" s="49"/>
    </row>
    <row r="217" spans="1:37" x14ac:dyDescent="0.25">
      <c r="A217" s="116" t="s">
        <v>225</v>
      </c>
      <c r="B217" s="128"/>
      <c r="C217" s="129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31">
        <v>0.99299999999999999</v>
      </c>
      <c r="AH217" s="47"/>
      <c r="AI217" s="48"/>
      <c r="AK217" s="49"/>
    </row>
    <row r="218" spans="1:37" x14ac:dyDescent="0.25">
      <c r="A218" s="116" t="s">
        <v>226</v>
      </c>
      <c r="B218" s="128"/>
      <c r="C218" s="126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31">
        <v>0.99</v>
      </c>
      <c r="AH218" s="47"/>
      <c r="AI218" s="48"/>
      <c r="AK218" s="49"/>
    </row>
    <row r="219" spans="1:37" ht="15.75" thickBot="1" x14ac:dyDescent="0.3">
      <c r="A219" s="116" t="s">
        <v>227</v>
      </c>
      <c r="B219" s="132"/>
      <c r="C219" s="133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  <c r="AC219" s="132"/>
      <c r="AD219" s="132"/>
      <c r="AE219" s="132"/>
      <c r="AF219" s="132"/>
      <c r="AG219" s="131">
        <v>0.97899999999999998</v>
      </c>
      <c r="AH219" s="47"/>
      <c r="AI219" s="48"/>
      <c r="AK219" s="49"/>
    </row>
    <row r="220" spans="1:37" ht="15.75" thickBot="1" x14ac:dyDescent="0.3">
      <c r="A220" s="134" t="s">
        <v>228</v>
      </c>
      <c r="B220" s="135">
        <f t="shared" ref="B220:AG220" si="16">SUM(B115:B219)</f>
        <v>0</v>
      </c>
      <c r="C220" s="136">
        <f t="shared" si="16"/>
        <v>0</v>
      </c>
      <c r="D220" s="136">
        <f t="shared" si="16"/>
        <v>0</v>
      </c>
      <c r="E220" s="136">
        <f t="shared" si="16"/>
        <v>0</v>
      </c>
      <c r="F220" s="136">
        <f t="shared" si="16"/>
        <v>0</v>
      </c>
      <c r="G220" s="136">
        <f t="shared" si="16"/>
        <v>0</v>
      </c>
      <c r="H220" s="136">
        <f t="shared" si="16"/>
        <v>0</v>
      </c>
      <c r="I220" s="136">
        <f t="shared" si="16"/>
        <v>0</v>
      </c>
      <c r="J220" s="136">
        <f t="shared" si="16"/>
        <v>0</v>
      </c>
      <c r="K220" s="136">
        <f t="shared" si="16"/>
        <v>0</v>
      </c>
      <c r="L220" s="136">
        <f t="shared" si="16"/>
        <v>0</v>
      </c>
      <c r="M220" s="136">
        <f t="shared" si="16"/>
        <v>0</v>
      </c>
      <c r="N220" s="136">
        <f t="shared" si="16"/>
        <v>0</v>
      </c>
      <c r="O220" s="136">
        <f t="shared" si="16"/>
        <v>0</v>
      </c>
      <c r="P220" s="136">
        <f t="shared" si="16"/>
        <v>0</v>
      </c>
      <c r="Q220" s="136">
        <f t="shared" si="16"/>
        <v>0</v>
      </c>
      <c r="R220" s="136">
        <f t="shared" si="16"/>
        <v>0</v>
      </c>
      <c r="S220" s="136">
        <f t="shared" si="16"/>
        <v>0</v>
      </c>
      <c r="T220" s="136">
        <f t="shared" si="16"/>
        <v>0</v>
      </c>
      <c r="U220" s="136">
        <f t="shared" si="16"/>
        <v>0</v>
      </c>
      <c r="V220" s="136">
        <f t="shared" si="16"/>
        <v>0</v>
      </c>
      <c r="W220" s="136">
        <f t="shared" si="16"/>
        <v>0</v>
      </c>
      <c r="X220" s="136">
        <f t="shared" si="16"/>
        <v>0</v>
      </c>
      <c r="Y220" s="136">
        <f t="shared" si="16"/>
        <v>0</v>
      </c>
      <c r="Z220" s="136">
        <f t="shared" si="16"/>
        <v>0</v>
      </c>
      <c r="AA220" s="136">
        <f t="shared" si="16"/>
        <v>0</v>
      </c>
      <c r="AB220" s="136">
        <f t="shared" si="16"/>
        <v>0</v>
      </c>
      <c r="AC220" s="136">
        <f t="shared" si="16"/>
        <v>0</v>
      </c>
      <c r="AD220" s="136">
        <f t="shared" si="16"/>
        <v>0</v>
      </c>
      <c r="AE220" s="136">
        <f t="shared" si="16"/>
        <v>0</v>
      </c>
      <c r="AF220" s="137">
        <f t="shared" si="16"/>
        <v>0</v>
      </c>
      <c r="AG220" s="138">
        <f t="shared" si="16"/>
        <v>412.72299999999984</v>
      </c>
      <c r="AH220" s="47"/>
      <c r="AI220" s="48"/>
      <c r="AK220" s="49"/>
    </row>
    <row r="221" spans="1:37" ht="15.75" thickBot="1" x14ac:dyDescent="0.3">
      <c r="A221" s="26" t="s">
        <v>69</v>
      </c>
      <c r="B221" s="139"/>
      <c r="C221" s="139"/>
      <c r="D221" s="139"/>
      <c r="E221" s="139"/>
      <c r="F221" s="139"/>
      <c r="G221" s="139"/>
      <c r="H221" s="139"/>
      <c r="I221" s="139"/>
      <c r="J221" s="139"/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  <c r="Z221" s="139"/>
      <c r="AA221" s="139"/>
      <c r="AB221" s="139"/>
      <c r="AC221" s="139"/>
      <c r="AD221" s="139"/>
      <c r="AE221" s="139"/>
      <c r="AF221" s="139"/>
      <c r="AG221" s="119"/>
      <c r="AH221" s="47"/>
      <c r="AI221" s="48"/>
      <c r="AK221" s="49"/>
    </row>
    <row r="222" spans="1:37" x14ac:dyDescent="0.25">
      <c r="A222" s="100" t="s">
        <v>229</v>
      </c>
      <c r="B222" s="140">
        <f t="shared" ref="B222:B227" si="17">AF222</f>
        <v>0</v>
      </c>
      <c r="C222" s="140">
        <v>0.3</v>
      </c>
      <c r="D222" s="140">
        <f t="shared" ref="D222:P227" si="18">C222</f>
        <v>0.3</v>
      </c>
      <c r="E222" s="140">
        <f t="shared" si="18"/>
        <v>0.3</v>
      </c>
      <c r="F222" s="140">
        <f t="shared" si="18"/>
        <v>0.3</v>
      </c>
      <c r="G222" s="140">
        <f t="shared" si="18"/>
        <v>0.3</v>
      </c>
      <c r="H222" s="140">
        <f t="shared" si="18"/>
        <v>0.3</v>
      </c>
      <c r="I222" s="140">
        <f t="shared" si="18"/>
        <v>0.3</v>
      </c>
      <c r="J222" s="140">
        <f t="shared" si="18"/>
        <v>0.3</v>
      </c>
      <c r="K222" s="140">
        <f t="shared" si="18"/>
        <v>0.3</v>
      </c>
      <c r="L222" s="140">
        <f t="shared" si="18"/>
        <v>0.3</v>
      </c>
      <c r="M222" s="140">
        <f t="shared" si="18"/>
        <v>0.3</v>
      </c>
      <c r="N222" s="140">
        <f t="shared" si="18"/>
        <v>0.3</v>
      </c>
      <c r="O222" s="140">
        <f t="shared" si="18"/>
        <v>0.3</v>
      </c>
      <c r="P222" s="140">
        <f t="shared" si="18"/>
        <v>0.3</v>
      </c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  <c r="AA222" s="140"/>
      <c r="AB222" s="140"/>
      <c r="AC222" s="140"/>
      <c r="AD222" s="140"/>
      <c r="AE222" s="140"/>
      <c r="AF222" s="140"/>
      <c r="AG222" s="141">
        <v>2.4</v>
      </c>
      <c r="AH222" s="47"/>
      <c r="AI222" s="48"/>
      <c r="AK222" s="49"/>
    </row>
    <row r="223" spans="1:37" ht="15.75" thickBot="1" x14ac:dyDescent="0.3">
      <c r="A223" s="103" t="s">
        <v>230</v>
      </c>
      <c r="B223" s="128">
        <f t="shared" si="17"/>
        <v>0</v>
      </c>
      <c r="C223" s="128">
        <v>0.4</v>
      </c>
      <c r="D223" s="128">
        <f t="shared" si="18"/>
        <v>0.4</v>
      </c>
      <c r="E223" s="128">
        <f t="shared" si="18"/>
        <v>0.4</v>
      </c>
      <c r="F223" s="128">
        <f t="shared" si="18"/>
        <v>0.4</v>
      </c>
      <c r="G223" s="128">
        <f t="shared" si="18"/>
        <v>0.4</v>
      </c>
      <c r="H223" s="128">
        <f t="shared" si="18"/>
        <v>0.4</v>
      </c>
      <c r="I223" s="128">
        <f t="shared" si="18"/>
        <v>0.4</v>
      </c>
      <c r="J223" s="128">
        <f t="shared" si="18"/>
        <v>0.4</v>
      </c>
      <c r="K223" s="128">
        <f t="shared" si="18"/>
        <v>0.4</v>
      </c>
      <c r="L223" s="128">
        <f t="shared" si="18"/>
        <v>0.4</v>
      </c>
      <c r="M223" s="128">
        <f t="shared" si="18"/>
        <v>0.4</v>
      </c>
      <c r="N223" s="128">
        <f t="shared" si="18"/>
        <v>0.4</v>
      </c>
      <c r="O223" s="128">
        <f t="shared" si="18"/>
        <v>0.4</v>
      </c>
      <c r="P223" s="128">
        <f t="shared" si="18"/>
        <v>0.4</v>
      </c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42">
        <v>2</v>
      </c>
      <c r="AH223" s="47"/>
      <c r="AI223" s="48"/>
      <c r="AK223" s="49"/>
    </row>
    <row r="224" spans="1:37" x14ac:dyDescent="0.25">
      <c r="A224" s="103" t="s">
        <v>231</v>
      </c>
      <c r="B224" s="128">
        <f t="shared" si="17"/>
        <v>0</v>
      </c>
      <c r="C224" s="128">
        <v>1.5</v>
      </c>
      <c r="D224" s="128">
        <f t="shared" si="18"/>
        <v>1.5</v>
      </c>
      <c r="E224" s="128">
        <f t="shared" si="18"/>
        <v>1.5</v>
      </c>
      <c r="F224" s="128">
        <f t="shared" si="18"/>
        <v>1.5</v>
      </c>
      <c r="G224" s="128">
        <f t="shared" si="18"/>
        <v>1.5</v>
      </c>
      <c r="H224" s="128">
        <f t="shared" si="18"/>
        <v>1.5</v>
      </c>
      <c r="I224" s="111">
        <f ca="1">SUM(I136,I142,I145:I146,I172,I174:I175,I177,I179,I225:I229,I251,I257,I263,I272,I274,I286,I293,I296:I297,I304,I306,I308,I312:I314,I316:I318,I323,I329:I330,I332:I334,I342,I347)</f>
        <v>87.039000000000001</v>
      </c>
      <c r="J224" s="128">
        <f t="shared" ca="1" si="18"/>
        <v>1.5</v>
      </c>
      <c r="K224" s="128">
        <f t="shared" ca="1" si="18"/>
        <v>1.5</v>
      </c>
      <c r="L224" s="128">
        <f t="shared" ca="1" si="18"/>
        <v>1.5</v>
      </c>
      <c r="M224" s="128">
        <f t="shared" ca="1" si="18"/>
        <v>1.5</v>
      </c>
      <c r="N224" s="128">
        <f t="shared" ca="1" si="18"/>
        <v>1.5</v>
      </c>
      <c r="O224" s="128">
        <f t="shared" ca="1" si="18"/>
        <v>1.5</v>
      </c>
      <c r="P224" s="128">
        <f t="shared" ca="1" si="18"/>
        <v>1.5</v>
      </c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42">
        <v>1.5</v>
      </c>
      <c r="AH224" s="47"/>
      <c r="AI224" s="48"/>
      <c r="AK224" s="49"/>
    </row>
    <row r="225" spans="1:37" x14ac:dyDescent="0.25">
      <c r="A225" s="103" t="s">
        <v>232</v>
      </c>
      <c r="B225" s="128">
        <f t="shared" si="17"/>
        <v>0</v>
      </c>
      <c r="C225" s="128">
        <v>0.3</v>
      </c>
      <c r="D225" s="128">
        <f t="shared" si="18"/>
        <v>0.3</v>
      </c>
      <c r="E225" s="128">
        <f t="shared" si="18"/>
        <v>0.3</v>
      </c>
      <c r="F225" s="128">
        <f t="shared" si="18"/>
        <v>0.3</v>
      </c>
      <c r="G225" s="128">
        <f t="shared" si="18"/>
        <v>0.3</v>
      </c>
      <c r="H225" s="128">
        <f t="shared" si="18"/>
        <v>0.3</v>
      </c>
      <c r="I225" s="128">
        <f t="shared" si="18"/>
        <v>0.3</v>
      </c>
      <c r="J225" s="128">
        <f t="shared" si="18"/>
        <v>0.3</v>
      </c>
      <c r="K225" s="128">
        <f t="shared" si="18"/>
        <v>0.3</v>
      </c>
      <c r="L225" s="128">
        <f t="shared" si="18"/>
        <v>0.3</v>
      </c>
      <c r="M225" s="128">
        <f t="shared" si="18"/>
        <v>0.3</v>
      </c>
      <c r="N225" s="128">
        <f t="shared" si="18"/>
        <v>0.3</v>
      </c>
      <c r="O225" s="128">
        <f t="shared" si="18"/>
        <v>0.3</v>
      </c>
      <c r="P225" s="128">
        <f t="shared" si="18"/>
        <v>0.3</v>
      </c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42">
        <v>1</v>
      </c>
      <c r="AH225" s="47"/>
      <c r="AI225" s="48"/>
      <c r="AK225" s="49"/>
    </row>
    <row r="226" spans="1:37" x14ac:dyDescent="0.25">
      <c r="A226" s="103" t="s">
        <v>233</v>
      </c>
      <c r="B226" s="128">
        <f t="shared" si="17"/>
        <v>0</v>
      </c>
      <c r="C226" s="128">
        <v>0.4</v>
      </c>
      <c r="D226" s="128">
        <f t="shared" si="18"/>
        <v>0.4</v>
      </c>
      <c r="E226" s="128">
        <f t="shared" si="18"/>
        <v>0.4</v>
      </c>
      <c r="F226" s="128">
        <f t="shared" si="18"/>
        <v>0.4</v>
      </c>
      <c r="G226" s="128">
        <f t="shared" si="18"/>
        <v>0.4</v>
      </c>
      <c r="H226" s="128">
        <f t="shared" si="18"/>
        <v>0.4</v>
      </c>
      <c r="I226" s="128">
        <f t="shared" si="18"/>
        <v>0.4</v>
      </c>
      <c r="J226" s="128">
        <f t="shared" si="18"/>
        <v>0.4</v>
      </c>
      <c r="K226" s="128">
        <f t="shared" si="18"/>
        <v>0.4</v>
      </c>
      <c r="L226" s="128">
        <f t="shared" si="18"/>
        <v>0.4</v>
      </c>
      <c r="M226" s="128">
        <f t="shared" si="18"/>
        <v>0.4</v>
      </c>
      <c r="N226" s="128">
        <f t="shared" si="18"/>
        <v>0.4</v>
      </c>
      <c r="O226" s="128">
        <f t="shared" si="18"/>
        <v>0.4</v>
      </c>
      <c r="P226" s="128">
        <f t="shared" si="18"/>
        <v>0.4</v>
      </c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42">
        <v>1</v>
      </c>
      <c r="AH226" s="47"/>
      <c r="AI226" s="48"/>
      <c r="AK226" s="49"/>
    </row>
    <row r="227" spans="1:37" ht="15.75" thickBot="1" x14ac:dyDescent="0.3">
      <c r="A227" s="116" t="s">
        <v>234</v>
      </c>
      <c r="B227" s="132">
        <f t="shared" si="17"/>
        <v>0</v>
      </c>
      <c r="C227" s="132">
        <v>0.64</v>
      </c>
      <c r="D227" s="132">
        <f t="shared" si="18"/>
        <v>0.64</v>
      </c>
      <c r="E227" s="132">
        <f t="shared" si="18"/>
        <v>0.64</v>
      </c>
      <c r="F227" s="132">
        <f t="shared" si="18"/>
        <v>0.64</v>
      </c>
      <c r="G227" s="132">
        <f t="shared" si="18"/>
        <v>0.64</v>
      </c>
      <c r="H227" s="132">
        <f t="shared" si="18"/>
        <v>0.64</v>
      </c>
      <c r="I227" s="132">
        <f t="shared" si="18"/>
        <v>0.64</v>
      </c>
      <c r="J227" s="132">
        <f t="shared" si="18"/>
        <v>0.64</v>
      </c>
      <c r="K227" s="132">
        <f t="shared" si="18"/>
        <v>0.64</v>
      </c>
      <c r="L227" s="132">
        <f t="shared" si="18"/>
        <v>0.64</v>
      </c>
      <c r="M227" s="132">
        <f t="shared" si="18"/>
        <v>0.64</v>
      </c>
      <c r="N227" s="132">
        <f t="shared" si="18"/>
        <v>0.64</v>
      </c>
      <c r="O227" s="132">
        <f t="shared" si="18"/>
        <v>0.64</v>
      </c>
      <c r="P227" s="132">
        <f t="shared" si="18"/>
        <v>0.64</v>
      </c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  <c r="AC227" s="132"/>
      <c r="AD227" s="132"/>
      <c r="AE227" s="132"/>
      <c r="AF227" s="132"/>
      <c r="AG227" s="143">
        <v>0.66</v>
      </c>
      <c r="AH227" s="47"/>
      <c r="AI227" s="48"/>
    </row>
    <row r="228" spans="1:37" ht="15.75" thickBot="1" x14ac:dyDescent="0.3">
      <c r="A228" s="144" t="s">
        <v>69</v>
      </c>
      <c r="B228" s="136">
        <f t="shared" ref="B228:AG228" si="19">SUM(B222:B227)</f>
        <v>0</v>
      </c>
      <c r="C228" s="136">
        <f t="shared" si="19"/>
        <v>3.54</v>
      </c>
      <c r="D228" s="136">
        <f t="shared" si="19"/>
        <v>3.54</v>
      </c>
      <c r="E228" s="136">
        <f t="shared" si="19"/>
        <v>3.54</v>
      </c>
      <c r="F228" s="136">
        <f t="shared" si="19"/>
        <v>3.54</v>
      </c>
      <c r="G228" s="136">
        <f t="shared" si="19"/>
        <v>3.54</v>
      </c>
      <c r="H228" s="136">
        <f t="shared" si="19"/>
        <v>3.54</v>
      </c>
      <c r="I228" s="136">
        <f t="shared" ca="1" si="19"/>
        <v>3.54</v>
      </c>
      <c r="J228" s="136">
        <f t="shared" ca="1" si="19"/>
        <v>3.54</v>
      </c>
      <c r="K228" s="136">
        <f t="shared" ca="1" si="19"/>
        <v>3.54</v>
      </c>
      <c r="L228" s="136">
        <f t="shared" ca="1" si="19"/>
        <v>3.54</v>
      </c>
      <c r="M228" s="136">
        <f t="shared" ca="1" si="19"/>
        <v>3.54</v>
      </c>
      <c r="N228" s="136">
        <f t="shared" ca="1" si="19"/>
        <v>3.54</v>
      </c>
      <c r="O228" s="136">
        <f t="shared" ca="1" si="19"/>
        <v>3.54</v>
      </c>
      <c r="P228" s="136">
        <f t="shared" ca="1" si="19"/>
        <v>3.54</v>
      </c>
      <c r="Q228" s="136">
        <f t="shared" si="19"/>
        <v>0</v>
      </c>
      <c r="R228" s="136">
        <f t="shared" si="19"/>
        <v>0</v>
      </c>
      <c r="S228" s="136">
        <f t="shared" si="19"/>
        <v>0</v>
      </c>
      <c r="T228" s="136">
        <f t="shared" si="19"/>
        <v>0</v>
      </c>
      <c r="U228" s="136">
        <f t="shared" si="19"/>
        <v>0</v>
      </c>
      <c r="V228" s="136">
        <f t="shared" si="19"/>
        <v>0</v>
      </c>
      <c r="W228" s="136">
        <f t="shared" si="19"/>
        <v>0</v>
      </c>
      <c r="X228" s="136">
        <f t="shared" si="19"/>
        <v>0</v>
      </c>
      <c r="Y228" s="136">
        <f t="shared" si="19"/>
        <v>0</v>
      </c>
      <c r="Z228" s="136">
        <f t="shared" si="19"/>
        <v>0</v>
      </c>
      <c r="AA228" s="136">
        <f t="shared" si="19"/>
        <v>0</v>
      </c>
      <c r="AB228" s="136">
        <f t="shared" si="19"/>
        <v>0</v>
      </c>
      <c r="AC228" s="136">
        <f t="shared" si="19"/>
        <v>0</v>
      </c>
      <c r="AD228" s="136">
        <f t="shared" si="19"/>
        <v>0</v>
      </c>
      <c r="AE228" s="136">
        <f t="shared" si="19"/>
        <v>0</v>
      </c>
      <c r="AF228" s="136">
        <f t="shared" si="19"/>
        <v>0</v>
      </c>
      <c r="AG228" s="145">
        <f t="shared" si="19"/>
        <v>8.56</v>
      </c>
      <c r="AH228" s="47"/>
      <c r="AI228" s="48"/>
    </row>
    <row r="229" spans="1:37" ht="15.75" thickBot="1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139"/>
      <c r="AH229" s="43"/>
    </row>
    <row r="230" spans="1:37" x14ac:dyDescent="0.25">
      <c r="A230" s="146" t="s">
        <v>235</v>
      </c>
      <c r="B230" s="147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  <c r="AC230" s="147"/>
      <c r="AD230" s="147"/>
      <c r="AE230" s="147"/>
      <c r="AF230" s="148"/>
      <c r="AG230" s="43"/>
      <c r="AH230" s="47"/>
      <c r="AI230" s="48"/>
    </row>
    <row r="231" spans="1:37" x14ac:dyDescent="0.25">
      <c r="A231" s="149" t="s">
        <v>236</v>
      </c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1"/>
      <c r="AG231" s="152"/>
      <c r="AH231" s="47"/>
      <c r="AI231" s="48"/>
    </row>
    <row r="232" spans="1:37" x14ac:dyDescent="0.25">
      <c r="A232" s="153" t="s">
        <v>237</v>
      </c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5"/>
      <c r="AG232" s="152"/>
      <c r="AH232" s="47"/>
      <c r="AI232" s="48"/>
    </row>
    <row r="233" spans="1:37" x14ac:dyDescent="0.25">
      <c r="A233" s="153" t="s">
        <v>238</v>
      </c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5"/>
      <c r="AG233" s="152"/>
      <c r="AH233" s="47"/>
      <c r="AI233" s="48"/>
    </row>
    <row r="234" spans="1:37" ht="15.75" thickBot="1" x14ac:dyDescent="0.3">
      <c r="A234" s="156" t="s">
        <v>239</v>
      </c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8"/>
      <c r="AG234" s="152"/>
      <c r="AH234" s="47"/>
      <c r="AI234" s="48"/>
    </row>
    <row r="235" spans="1:37" x14ac:dyDescent="0.25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</row>
    <row r="236" spans="1:37" x14ac:dyDescent="0.25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</row>
    <row r="237" spans="1:37" x14ac:dyDescent="0.25">
      <c r="A237" s="159" t="s">
        <v>240</v>
      </c>
      <c r="B237" s="160">
        <f>MAX(G85:N85)</f>
        <v>3.54</v>
      </c>
      <c r="C237" s="161">
        <f>INDEX(G9:N9,1,MATCH(MAX(G85:N85),G85:N85,0))</f>
        <v>0.20833333333333301</v>
      </c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</row>
    <row r="238" spans="1:37" x14ac:dyDescent="0.25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162" t="str">
        <f ca="1">MID(CELL("filename",C7),FIND("]",CELL("filename",C7))+1,600)</f>
        <v>sample</v>
      </c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</row>
    <row r="239" spans="1:37" x14ac:dyDescent="0.25">
      <c r="A239" s="788" t="s">
        <v>241</v>
      </c>
      <c r="B239" s="788"/>
      <c r="C239" s="43"/>
      <c r="D239" s="162" t="e">
        <f ca="1">"Pie Chart of Daily Peak Demand(Inclusive of Export) of Nepal ("&amp;A4&amp;" "&amp;B4&amp;")"</f>
        <v>#VALUE!</v>
      </c>
      <c r="E239" s="43"/>
      <c r="F239" s="43"/>
      <c r="G239" s="162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162" t="e">
        <f ca="1">"Daily Load Curve(Excluding of Export) of Nepal ("&amp;A4&amp;" "&amp;B4&amp;")"</f>
        <v>#VALUE!</v>
      </c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</row>
    <row r="240" spans="1:37" ht="12.75" customHeight="1" thickBot="1" x14ac:dyDescent="0.3">
      <c r="A240" s="163" t="s">
        <v>7</v>
      </c>
      <c r="B240" s="164"/>
      <c r="C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</row>
    <row r="241" spans="1:50" ht="15.75" thickTop="1" x14ac:dyDescent="0.25">
      <c r="A241" s="163" t="s">
        <v>242</v>
      </c>
      <c r="B241" s="164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165" t="s">
        <v>243</v>
      </c>
      <c r="T241" s="166">
        <v>0</v>
      </c>
      <c r="U241" s="167">
        <v>4.1666666666666664E-2</v>
      </c>
      <c r="V241" s="168">
        <v>8.3333333333333301E-2</v>
      </c>
      <c r="W241" s="168">
        <v>0.125</v>
      </c>
      <c r="X241" s="168">
        <v>0.16666666666666699</v>
      </c>
      <c r="Y241" s="168">
        <v>0.20833333333333301</v>
      </c>
      <c r="Z241" s="168">
        <v>0.22916666666666666</v>
      </c>
      <c r="AA241" s="168">
        <v>0.25</v>
      </c>
      <c r="AB241" s="168">
        <v>0.27083333333333331</v>
      </c>
      <c r="AC241" s="168">
        <v>0.29166666666666669</v>
      </c>
      <c r="AD241" s="168">
        <v>0.3125</v>
      </c>
      <c r="AE241" s="169">
        <v>0.33333333333333331</v>
      </c>
      <c r="AF241" s="169">
        <v>0.375</v>
      </c>
      <c r="AG241" s="169">
        <v>0.41666666666666702</v>
      </c>
      <c r="AH241" s="169">
        <v>0.45833333333333298</v>
      </c>
      <c r="AI241" s="169">
        <v>0.5</v>
      </c>
      <c r="AJ241" s="169">
        <v>0.54166666666666696</v>
      </c>
      <c r="AK241" s="169">
        <v>0.58333333333333304</v>
      </c>
      <c r="AL241" s="169">
        <v>0.625</v>
      </c>
      <c r="AM241" s="169">
        <v>0.66666666666666696</v>
      </c>
      <c r="AN241" s="169">
        <v>0.70833333333333304</v>
      </c>
      <c r="AO241" s="169">
        <v>0.72916666666666663</v>
      </c>
      <c r="AP241" s="169">
        <v>0.75</v>
      </c>
      <c r="AQ241" s="169">
        <v>0.77083333333333337</v>
      </c>
      <c r="AR241" s="169">
        <v>0.79166666666666663</v>
      </c>
      <c r="AS241" s="169">
        <v>0.8125</v>
      </c>
      <c r="AT241" s="168">
        <v>0.83333333333333337</v>
      </c>
      <c r="AU241" s="168">
        <v>0.85416666666666663</v>
      </c>
      <c r="AV241" s="168">
        <v>0.875</v>
      </c>
      <c r="AW241" s="168">
        <v>0.91666666666666696</v>
      </c>
      <c r="AX241" s="168">
        <v>0.95833333333333304</v>
      </c>
    </row>
    <row r="242" spans="1:50" x14ac:dyDescent="0.25">
      <c r="A242" s="163" t="s">
        <v>244</v>
      </c>
      <c r="B242" s="164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 t="s">
        <v>245</v>
      </c>
      <c r="T242" s="170">
        <f t="shared" ref="T242:AX242" si="20">B85</f>
        <v>3.54</v>
      </c>
      <c r="U242" s="170">
        <f t="shared" si="20"/>
        <v>3.54</v>
      </c>
      <c r="V242" s="170">
        <f t="shared" si="20"/>
        <v>3.54</v>
      </c>
      <c r="W242" s="170">
        <f t="shared" si="20"/>
        <v>3.54</v>
      </c>
      <c r="X242" s="170">
        <f t="shared" si="20"/>
        <v>3.54</v>
      </c>
      <c r="Y242" s="170">
        <f t="shared" si="20"/>
        <v>3.54</v>
      </c>
      <c r="Z242" s="170">
        <f t="shared" si="20"/>
        <v>3.54</v>
      </c>
      <c r="AA242" s="170">
        <f t="shared" si="20"/>
        <v>3.54</v>
      </c>
      <c r="AB242" s="170">
        <f t="shared" si="20"/>
        <v>3.54</v>
      </c>
      <c r="AC242" s="170">
        <f t="shared" si="20"/>
        <v>3.54</v>
      </c>
      <c r="AD242" s="170">
        <f t="shared" si="20"/>
        <v>3.54</v>
      </c>
      <c r="AE242" s="170">
        <f t="shared" si="20"/>
        <v>3.54</v>
      </c>
      <c r="AF242" s="170">
        <f t="shared" si="20"/>
        <v>3.54</v>
      </c>
      <c r="AG242" s="170">
        <f t="shared" si="20"/>
        <v>3.54</v>
      </c>
      <c r="AH242" s="170">
        <f t="shared" si="20"/>
        <v>3.54</v>
      </c>
      <c r="AI242" s="170">
        <f t="shared" si="20"/>
        <v>3.54</v>
      </c>
      <c r="AJ242" s="170">
        <f t="shared" si="20"/>
        <v>3.54</v>
      </c>
      <c r="AK242" s="170">
        <f t="shared" si="20"/>
        <v>3.54</v>
      </c>
      <c r="AL242" s="170">
        <f t="shared" si="20"/>
        <v>3.54</v>
      </c>
      <c r="AM242" s="170">
        <f t="shared" si="20"/>
        <v>3.54</v>
      </c>
      <c r="AN242" s="170">
        <f t="shared" si="20"/>
        <v>3.54</v>
      </c>
      <c r="AO242" s="170">
        <f t="shared" si="20"/>
        <v>3.54</v>
      </c>
      <c r="AP242" s="170">
        <f t="shared" si="20"/>
        <v>3.54</v>
      </c>
      <c r="AQ242" s="170">
        <f t="shared" si="20"/>
        <v>3.54</v>
      </c>
      <c r="AR242" s="170">
        <f t="shared" si="20"/>
        <v>3.54</v>
      </c>
      <c r="AS242" s="170">
        <f t="shared" si="20"/>
        <v>3.54</v>
      </c>
      <c r="AT242" s="170">
        <f t="shared" si="20"/>
        <v>3.54</v>
      </c>
      <c r="AU242" s="170">
        <f t="shared" si="20"/>
        <v>3.54</v>
      </c>
      <c r="AV242" s="170">
        <f t="shared" si="20"/>
        <v>3.54</v>
      </c>
      <c r="AW242" s="170">
        <f t="shared" si="20"/>
        <v>3.54</v>
      </c>
      <c r="AX242" s="170">
        <f t="shared" si="20"/>
        <v>3.54</v>
      </c>
    </row>
    <row r="243" spans="1:50" x14ac:dyDescent="0.25">
      <c r="A243" s="163" t="s">
        <v>246</v>
      </c>
      <c r="B243" s="164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</row>
    <row r="244" spans="1:50" x14ac:dyDescent="0.25">
      <c r="A244" s="163" t="s">
        <v>247</v>
      </c>
      <c r="B244" s="164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</row>
    <row r="245" spans="1:50" x14ac:dyDescent="0.25">
      <c r="A245" s="163" t="s">
        <v>248</v>
      </c>
      <c r="B245" s="164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</row>
    <row r="246" spans="1:50" x14ac:dyDescent="0.25">
      <c r="A246" s="163" t="s">
        <v>249</v>
      </c>
      <c r="B246" s="171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</row>
    <row r="247" spans="1:50" x14ac:dyDescent="0.25">
      <c r="A247" s="163" t="s">
        <v>250</v>
      </c>
      <c r="B247" s="164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</row>
    <row r="248" spans="1:50" x14ac:dyDescent="0.25"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</row>
    <row r="249" spans="1:50" x14ac:dyDescent="0.25"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</row>
    <row r="250" spans="1:50" x14ac:dyDescent="0.25"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</row>
    <row r="251" spans="1:50" x14ac:dyDescent="0.25"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</row>
    <row r="252" spans="1:50" x14ac:dyDescent="0.25"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</row>
    <row r="253" spans="1:50" x14ac:dyDescent="0.25"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</row>
    <row r="254" spans="1:50" x14ac:dyDescent="0.25"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</row>
    <row r="255" spans="1:50" x14ac:dyDescent="0.25"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</row>
    <row r="256" spans="1:50" x14ac:dyDescent="0.25"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</row>
    <row r="257" spans="1:34" x14ac:dyDescent="0.25"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</row>
    <row r="258" spans="1:34" x14ac:dyDescent="0.25"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</row>
    <row r="259" spans="1:34" x14ac:dyDescent="0.25"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</row>
    <row r="260" spans="1:34" x14ac:dyDescent="0.25"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</row>
    <row r="261" spans="1:34" x14ac:dyDescent="0.25"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</row>
    <row r="262" spans="1:34" x14ac:dyDescent="0.25"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</row>
    <row r="263" spans="1:34" x14ac:dyDescent="0.25">
      <c r="A263" s="172" t="s">
        <v>235</v>
      </c>
      <c r="B263" s="173">
        <f t="shared" ref="B263:AE263" si="21">C227</f>
        <v>0.64</v>
      </c>
      <c r="C263" s="173">
        <f t="shared" si="21"/>
        <v>0.64</v>
      </c>
      <c r="D263" s="173">
        <f t="shared" si="21"/>
        <v>0.64</v>
      </c>
      <c r="E263" s="173">
        <f t="shared" si="21"/>
        <v>0.64</v>
      </c>
      <c r="F263" s="173">
        <f t="shared" si="21"/>
        <v>0.64</v>
      </c>
      <c r="G263" s="173">
        <f t="shared" si="21"/>
        <v>0.64</v>
      </c>
      <c r="H263" s="173">
        <f t="shared" si="21"/>
        <v>0.64</v>
      </c>
      <c r="I263" s="173">
        <f t="shared" si="21"/>
        <v>0.64</v>
      </c>
      <c r="J263" s="173">
        <f t="shared" si="21"/>
        <v>0.64</v>
      </c>
      <c r="K263" s="173">
        <f t="shared" si="21"/>
        <v>0.64</v>
      </c>
      <c r="L263" s="173">
        <f t="shared" si="21"/>
        <v>0.64</v>
      </c>
      <c r="M263" s="173">
        <f t="shared" si="21"/>
        <v>0.64</v>
      </c>
      <c r="N263" s="173">
        <f t="shared" si="21"/>
        <v>0.64</v>
      </c>
      <c r="O263" s="173">
        <f t="shared" si="21"/>
        <v>0.64</v>
      </c>
      <c r="P263" s="173">
        <f t="shared" si="21"/>
        <v>0</v>
      </c>
      <c r="Q263" s="173">
        <f t="shared" si="21"/>
        <v>0</v>
      </c>
      <c r="R263" s="173">
        <f t="shared" si="21"/>
        <v>0</v>
      </c>
      <c r="S263" s="173">
        <f t="shared" si="21"/>
        <v>0</v>
      </c>
      <c r="T263" s="173">
        <f t="shared" si="21"/>
        <v>0</v>
      </c>
      <c r="U263" s="173">
        <f t="shared" si="21"/>
        <v>0</v>
      </c>
      <c r="V263" s="173">
        <f t="shared" si="21"/>
        <v>0</v>
      </c>
      <c r="W263" s="173">
        <f t="shared" si="21"/>
        <v>0</v>
      </c>
      <c r="X263" s="173">
        <f t="shared" si="21"/>
        <v>0</v>
      </c>
      <c r="Y263" s="173">
        <f t="shared" si="21"/>
        <v>0</v>
      </c>
      <c r="Z263" s="173">
        <f t="shared" si="21"/>
        <v>0</v>
      </c>
      <c r="AA263" s="173">
        <f t="shared" si="21"/>
        <v>0</v>
      </c>
      <c r="AB263" s="173">
        <f t="shared" si="21"/>
        <v>0</v>
      </c>
      <c r="AC263" s="173">
        <f t="shared" si="21"/>
        <v>0</v>
      </c>
      <c r="AD263" s="173">
        <f t="shared" si="21"/>
        <v>0</v>
      </c>
      <c r="AE263" s="173">
        <f t="shared" si="21"/>
        <v>0</v>
      </c>
      <c r="AF263" s="173">
        <f>B227</f>
        <v>0</v>
      </c>
      <c r="AG263" s="43"/>
      <c r="AH263" s="43"/>
    </row>
    <row r="264" spans="1:34" x14ac:dyDescent="0.25">
      <c r="A264" s="174" t="str">
        <f>A231</f>
        <v>KGA</v>
      </c>
      <c r="B264" s="174" t="str">
        <f t="shared" ref="B264:AF264" si="22">IF(B231&lt;100,"",B231-520)</f>
        <v/>
      </c>
      <c r="C264" s="174" t="str">
        <f t="shared" si="22"/>
        <v/>
      </c>
      <c r="D264" s="174" t="str">
        <f t="shared" si="22"/>
        <v/>
      </c>
      <c r="E264" s="174" t="str">
        <f t="shared" si="22"/>
        <v/>
      </c>
      <c r="F264" s="174" t="str">
        <f t="shared" si="22"/>
        <v/>
      </c>
      <c r="G264" s="174" t="str">
        <f t="shared" si="22"/>
        <v/>
      </c>
      <c r="H264" s="174" t="str">
        <f t="shared" si="22"/>
        <v/>
      </c>
      <c r="I264" s="174" t="str">
        <f t="shared" si="22"/>
        <v/>
      </c>
      <c r="J264" s="174" t="str">
        <f t="shared" si="22"/>
        <v/>
      </c>
      <c r="K264" s="174" t="str">
        <f t="shared" si="22"/>
        <v/>
      </c>
      <c r="L264" s="174" t="str">
        <f t="shared" si="22"/>
        <v/>
      </c>
      <c r="M264" s="174" t="str">
        <f t="shared" si="22"/>
        <v/>
      </c>
      <c r="N264" s="174" t="str">
        <f t="shared" si="22"/>
        <v/>
      </c>
      <c r="O264" s="174" t="str">
        <f t="shared" si="22"/>
        <v/>
      </c>
      <c r="P264" s="174" t="str">
        <f t="shared" si="22"/>
        <v/>
      </c>
      <c r="Q264" s="174" t="str">
        <f t="shared" si="22"/>
        <v/>
      </c>
      <c r="R264" s="174" t="str">
        <f t="shared" si="22"/>
        <v/>
      </c>
      <c r="S264" s="174" t="str">
        <f t="shared" si="22"/>
        <v/>
      </c>
      <c r="T264" s="174" t="str">
        <f t="shared" si="22"/>
        <v/>
      </c>
      <c r="U264" s="174" t="str">
        <f t="shared" si="22"/>
        <v/>
      </c>
      <c r="V264" s="174" t="str">
        <f t="shared" si="22"/>
        <v/>
      </c>
      <c r="W264" s="174" t="str">
        <f t="shared" si="22"/>
        <v/>
      </c>
      <c r="X264" s="174" t="str">
        <f t="shared" si="22"/>
        <v/>
      </c>
      <c r="Y264" s="174" t="str">
        <f t="shared" si="22"/>
        <v/>
      </c>
      <c r="Z264" s="174" t="str">
        <f t="shared" si="22"/>
        <v/>
      </c>
      <c r="AA264" s="174" t="str">
        <f t="shared" si="22"/>
        <v/>
      </c>
      <c r="AB264" s="174" t="str">
        <f t="shared" si="22"/>
        <v/>
      </c>
      <c r="AC264" s="174" t="str">
        <f t="shared" si="22"/>
        <v/>
      </c>
      <c r="AD264" s="174" t="str">
        <f t="shared" si="22"/>
        <v/>
      </c>
      <c r="AE264" s="174" t="str">
        <f t="shared" si="22"/>
        <v/>
      </c>
      <c r="AF264" s="174" t="str">
        <f t="shared" si="22"/>
        <v/>
      </c>
      <c r="AG264" s="43"/>
      <c r="AH264" s="43"/>
    </row>
    <row r="265" spans="1:34" x14ac:dyDescent="0.25">
      <c r="A265" s="174" t="str">
        <f>A232</f>
        <v>MMRS</v>
      </c>
      <c r="B265" s="174" t="str">
        <f t="shared" ref="B265:AF265" si="23">IF(B232&lt;100,"",B232-620)</f>
        <v/>
      </c>
      <c r="C265" s="174" t="str">
        <f t="shared" si="23"/>
        <v/>
      </c>
      <c r="D265" s="174" t="str">
        <f t="shared" si="23"/>
        <v/>
      </c>
      <c r="E265" s="174" t="str">
        <f t="shared" si="23"/>
        <v/>
      </c>
      <c r="F265" s="174" t="str">
        <f t="shared" si="23"/>
        <v/>
      </c>
      <c r="G265" s="174" t="str">
        <f t="shared" si="23"/>
        <v/>
      </c>
      <c r="H265" s="174" t="str">
        <f t="shared" si="23"/>
        <v/>
      </c>
      <c r="I265" s="174" t="str">
        <f t="shared" si="23"/>
        <v/>
      </c>
      <c r="J265" s="174" t="str">
        <f t="shared" si="23"/>
        <v/>
      </c>
      <c r="K265" s="174" t="str">
        <f t="shared" si="23"/>
        <v/>
      </c>
      <c r="L265" s="174" t="str">
        <f t="shared" si="23"/>
        <v/>
      </c>
      <c r="M265" s="174" t="str">
        <f t="shared" si="23"/>
        <v/>
      </c>
      <c r="N265" s="174" t="str">
        <f t="shared" si="23"/>
        <v/>
      </c>
      <c r="O265" s="174" t="str">
        <f t="shared" si="23"/>
        <v/>
      </c>
      <c r="P265" s="174" t="str">
        <f t="shared" si="23"/>
        <v/>
      </c>
      <c r="Q265" s="174" t="str">
        <f t="shared" si="23"/>
        <v/>
      </c>
      <c r="R265" s="174" t="str">
        <f t="shared" si="23"/>
        <v/>
      </c>
      <c r="S265" s="174" t="str">
        <f t="shared" si="23"/>
        <v/>
      </c>
      <c r="T265" s="174" t="str">
        <f t="shared" si="23"/>
        <v/>
      </c>
      <c r="U265" s="174" t="str">
        <f t="shared" si="23"/>
        <v/>
      </c>
      <c r="V265" s="174" t="str">
        <f t="shared" si="23"/>
        <v/>
      </c>
      <c r="W265" s="174" t="str">
        <f t="shared" si="23"/>
        <v/>
      </c>
      <c r="X265" s="174" t="str">
        <f t="shared" si="23"/>
        <v/>
      </c>
      <c r="Y265" s="174" t="str">
        <f t="shared" si="23"/>
        <v/>
      </c>
      <c r="Z265" s="174" t="str">
        <f t="shared" si="23"/>
        <v/>
      </c>
      <c r="AA265" s="174" t="str">
        <f t="shared" si="23"/>
        <v/>
      </c>
      <c r="AB265" s="174" t="str">
        <f t="shared" si="23"/>
        <v/>
      </c>
      <c r="AC265" s="174" t="str">
        <f t="shared" si="23"/>
        <v/>
      </c>
      <c r="AD265" s="174" t="str">
        <f t="shared" si="23"/>
        <v/>
      </c>
      <c r="AE265" s="174" t="str">
        <f t="shared" si="23"/>
        <v/>
      </c>
      <c r="AF265" s="174" t="str">
        <f t="shared" si="23"/>
        <v/>
      </c>
      <c r="AG265" s="43"/>
      <c r="AH265" s="43"/>
    </row>
    <row r="266" spans="1:34" x14ac:dyDescent="0.25">
      <c r="A266" s="174" t="str">
        <f>A233</f>
        <v>MRS</v>
      </c>
      <c r="B266" s="174" t="str">
        <f t="shared" ref="B266:AF266" si="24">IF(B233&lt;100,"",B233-330)</f>
        <v/>
      </c>
      <c r="C266" s="174" t="str">
        <f t="shared" si="24"/>
        <v/>
      </c>
      <c r="D266" s="174" t="str">
        <f t="shared" si="24"/>
        <v/>
      </c>
      <c r="E266" s="174" t="str">
        <f t="shared" si="24"/>
        <v/>
      </c>
      <c r="F266" s="174" t="str">
        <f t="shared" si="24"/>
        <v/>
      </c>
      <c r="G266" s="174" t="str">
        <f t="shared" si="24"/>
        <v/>
      </c>
      <c r="H266" s="174" t="str">
        <f t="shared" si="24"/>
        <v/>
      </c>
      <c r="I266" s="174" t="str">
        <f t="shared" si="24"/>
        <v/>
      </c>
      <c r="J266" s="174" t="str">
        <f t="shared" si="24"/>
        <v/>
      </c>
      <c r="K266" s="174" t="str">
        <f t="shared" si="24"/>
        <v/>
      </c>
      <c r="L266" s="174" t="str">
        <f t="shared" si="24"/>
        <v/>
      </c>
      <c r="M266" s="174" t="str">
        <f t="shared" si="24"/>
        <v/>
      </c>
      <c r="N266" s="174" t="str">
        <f t="shared" si="24"/>
        <v/>
      </c>
      <c r="O266" s="174" t="str">
        <f t="shared" si="24"/>
        <v/>
      </c>
      <c r="P266" s="174" t="str">
        <f t="shared" si="24"/>
        <v/>
      </c>
      <c r="Q266" s="174" t="str">
        <f t="shared" si="24"/>
        <v/>
      </c>
      <c r="R266" s="174" t="str">
        <f t="shared" si="24"/>
        <v/>
      </c>
      <c r="S266" s="174" t="str">
        <f t="shared" si="24"/>
        <v/>
      </c>
      <c r="T266" s="174" t="str">
        <f t="shared" si="24"/>
        <v/>
      </c>
      <c r="U266" s="174" t="str">
        <f t="shared" si="24"/>
        <v/>
      </c>
      <c r="V266" s="174" t="str">
        <f t="shared" si="24"/>
        <v/>
      </c>
      <c r="W266" s="174" t="str">
        <f t="shared" si="24"/>
        <v/>
      </c>
      <c r="X266" s="174" t="str">
        <f t="shared" si="24"/>
        <v/>
      </c>
      <c r="Y266" s="174" t="str">
        <f t="shared" si="24"/>
        <v/>
      </c>
      <c r="Z266" s="174" t="str">
        <f t="shared" si="24"/>
        <v/>
      </c>
      <c r="AA266" s="174" t="str">
        <f t="shared" si="24"/>
        <v/>
      </c>
      <c r="AB266" s="174" t="str">
        <f t="shared" si="24"/>
        <v/>
      </c>
      <c r="AC266" s="174" t="str">
        <f t="shared" si="24"/>
        <v/>
      </c>
      <c r="AD266" s="174" t="str">
        <f t="shared" si="24"/>
        <v/>
      </c>
      <c r="AE266" s="174" t="str">
        <f t="shared" si="24"/>
        <v/>
      </c>
      <c r="AF266" s="174" t="str">
        <f t="shared" si="24"/>
        <v/>
      </c>
      <c r="AG266" s="43"/>
      <c r="AH266" s="43"/>
    </row>
    <row r="267" spans="1:34" x14ac:dyDescent="0.25">
      <c r="A267" s="174" t="str">
        <f>A234</f>
        <v>KL 1</v>
      </c>
      <c r="B267" s="174" t="str">
        <f t="shared" ref="B267:AF267" si="25">IF(B234&lt;100,"",B234-1500)</f>
        <v/>
      </c>
      <c r="C267" s="174" t="str">
        <f t="shared" si="25"/>
        <v/>
      </c>
      <c r="D267" s="174" t="str">
        <f t="shared" si="25"/>
        <v/>
      </c>
      <c r="E267" s="174" t="str">
        <f t="shared" si="25"/>
        <v/>
      </c>
      <c r="F267" s="174" t="str">
        <f t="shared" si="25"/>
        <v/>
      </c>
      <c r="G267" s="174" t="str">
        <f t="shared" si="25"/>
        <v/>
      </c>
      <c r="H267" s="174" t="str">
        <f t="shared" si="25"/>
        <v/>
      </c>
      <c r="I267" s="174" t="str">
        <f t="shared" si="25"/>
        <v/>
      </c>
      <c r="J267" s="174" t="str">
        <f t="shared" si="25"/>
        <v/>
      </c>
      <c r="K267" s="174" t="str">
        <f t="shared" si="25"/>
        <v/>
      </c>
      <c r="L267" s="174" t="str">
        <f t="shared" si="25"/>
        <v/>
      </c>
      <c r="M267" s="174" t="str">
        <f t="shared" si="25"/>
        <v/>
      </c>
      <c r="N267" s="174" t="str">
        <f t="shared" si="25"/>
        <v/>
      </c>
      <c r="O267" s="174" t="str">
        <f t="shared" si="25"/>
        <v/>
      </c>
      <c r="P267" s="174" t="str">
        <f t="shared" si="25"/>
        <v/>
      </c>
      <c r="Q267" s="174" t="str">
        <f t="shared" si="25"/>
        <v/>
      </c>
      <c r="R267" s="174" t="str">
        <f t="shared" si="25"/>
        <v/>
      </c>
      <c r="S267" s="174" t="str">
        <f t="shared" si="25"/>
        <v/>
      </c>
      <c r="T267" s="174" t="str">
        <f t="shared" si="25"/>
        <v/>
      </c>
      <c r="U267" s="174" t="str">
        <f t="shared" si="25"/>
        <v/>
      </c>
      <c r="V267" s="174" t="str">
        <f t="shared" si="25"/>
        <v/>
      </c>
      <c r="W267" s="174" t="str">
        <f t="shared" si="25"/>
        <v/>
      </c>
      <c r="X267" s="174" t="str">
        <f t="shared" si="25"/>
        <v/>
      </c>
      <c r="Y267" s="174" t="str">
        <f t="shared" si="25"/>
        <v/>
      </c>
      <c r="Z267" s="174" t="str">
        <f t="shared" si="25"/>
        <v/>
      </c>
      <c r="AA267" s="174" t="str">
        <f t="shared" si="25"/>
        <v/>
      </c>
      <c r="AB267" s="174" t="str">
        <f t="shared" si="25"/>
        <v/>
      </c>
      <c r="AC267" s="174" t="str">
        <f t="shared" si="25"/>
        <v/>
      </c>
      <c r="AD267" s="174" t="str">
        <f t="shared" si="25"/>
        <v/>
      </c>
      <c r="AE267" s="174" t="str">
        <f t="shared" si="25"/>
        <v/>
      </c>
      <c r="AF267" s="174" t="str">
        <f t="shared" si="25"/>
        <v/>
      </c>
      <c r="AG267" s="43"/>
      <c r="AH267" s="43"/>
    </row>
    <row r="268" spans="1:34" x14ac:dyDescent="0.25"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</row>
    <row r="269" spans="1:34" x14ac:dyDescent="0.25"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</row>
    <row r="270" spans="1:34" x14ac:dyDescent="0.25"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</row>
    <row r="271" spans="1:34" x14ac:dyDescent="0.25"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</row>
    <row r="272" spans="1:34" x14ac:dyDescent="0.25"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</row>
    <row r="273" spans="2:34" x14ac:dyDescent="0.25"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</row>
    <row r="274" spans="2:34" x14ac:dyDescent="0.25"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</row>
  </sheetData>
  <mergeCells count="49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O9:O10"/>
    <mergeCell ref="AN78:AN79"/>
    <mergeCell ref="A239:B239"/>
    <mergeCell ref="AB9:AB10"/>
    <mergeCell ref="AC9:AC10"/>
    <mergeCell ref="AD9:AD10"/>
    <mergeCell ref="AE9:AE10"/>
    <mergeCell ref="AF9:AF10"/>
    <mergeCell ref="AG9:AG10"/>
    <mergeCell ref="V9:V10"/>
    <mergeCell ref="W9:W10"/>
    <mergeCell ref="X9:X10"/>
    <mergeCell ref="Y9:Y10"/>
    <mergeCell ref="Z9:Z10"/>
    <mergeCell ref="AA9:AA10"/>
    <mergeCell ref="P9:P10"/>
    <mergeCell ref="Q9:Q10"/>
  </mergeCells>
  <conditionalFormatting sqref="V3 AB3">
    <cfRule type="iconSet" priority="24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39">
      <iconSet iconSet="3TrafficLights2" reverse="1">
        <cfvo type="percent" val="0"/>
        <cfvo type="num" val="1"/>
        <cfvo type="num" val="1"/>
      </iconSet>
    </cfRule>
  </conditionalFormatting>
  <conditionalFormatting sqref="D222:AF223 B222:B228 B220:AF220 U241:AF241 B9:AF10 D225:AF228 D224:H224 J224:AF224 D105:AF105 D107:AF112 X11:AF41">
    <cfRule type="expression" dxfId="1447" priority="235">
      <formula>B$9&gt;=20/24</formula>
    </cfRule>
    <cfRule type="expression" dxfId="1446" priority="236">
      <formula>AND(B$9&gt;=14/24,B$9&lt;20/24)</formula>
    </cfRule>
    <cfRule type="expression" dxfId="1445" priority="237">
      <formula>AND(B$9&gt;=8/24,B$9&lt;14/24)</formula>
    </cfRule>
    <cfRule type="expression" dxfId="1444" priority="238">
      <formula>B$9&lt;8/24</formula>
    </cfRule>
  </conditionalFormatting>
  <conditionalFormatting sqref="AL4:AL6">
    <cfRule type="iconSet" priority="234">
      <iconSet iconSet="3TrafficLights2" reverse="1">
        <cfvo type="percent" val="0"/>
        <cfvo type="num" val="1"/>
        <cfvo type="num" val="1"/>
      </iconSet>
    </cfRule>
  </conditionalFormatting>
  <conditionalFormatting sqref="AG61 X11:AF41">
    <cfRule type="expression" dxfId="1443" priority="233">
      <formula>X11&gt;$AG11</formula>
    </cfRule>
  </conditionalFormatting>
  <conditionalFormatting sqref="A95:A105 A55:A82 A91:A93 A198:A228 A42:A53 A114:A185 A38:A39 A87:A89 A84:A85 A107:A109 A35:A36 A17:A18 A11:A15 A20:A33">
    <cfRule type="expression" dxfId="1442" priority="232">
      <formula>$AH11=0</formula>
    </cfRule>
  </conditionalFormatting>
  <conditionalFormatting sqref="A110">
    <cfRule type="expression" dxfId="1441" priority="231">
      <formula>$AH110=0</formula>
    </cfRule>
  </conditionalFormatting>
  <conditionalFormatting sqref="AL39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41">
    <cfRule type="expression" dxfId="1440" priority="229">
      <formula>$AH41=0</formula>
    </cfRule>
  </conditionalFormatting>
  <conditionalFormatting sqref="A94">
    <cfRule type="expression" dxfId="1439" priority="228">
      <formula>$AH94=0</formula>
    </cfRule>
  </conditionalFormatting>
  <conditionalFormatting sqref="A16">
    <cfRule type="expression" dxfId="1438" priority="227">
      <formula>$AH16=0</formula>
    </cfRule>
  </conditionalFormatting>
  <conditionalFormatting sqref="A192:A197">
    <cfRule type="expression" dxfId="1437" priority="226">
      <formula>$AH192=0</formula>
    </cfRule>
  </conditionalFormatting>
  <conditionalFormatting sqref="A186:A191">
    <cfRule type="expression" dxfId="1436" priority="225">
      <formula>$AH186=0</formula>
    </cfRule>
  </conditionalFormatting>
  <conditionalFormatting sqref="A54">
    <cfRule type="expression" dxfId="1435" priority="224">
      <formula>$AH54=0</formula>
    </cfRule>
  </conditionalFormatting>
  <conditionalFormatting sqref="A90">
    <cfRule type="expression" dxfId="1434" priority="223">
      <formula>$AH90=0</formula>
    </cfRule>
  </conditionalFormatting>
  <conditionalFormatting sqref="E95:X95 AD95:AF95">
    <cfRule type="expression" dxfId="1433" priority="219">
      <formula>E$9&gt;=20/24</formula>
    </cfRule>
    <cfRule type="expression" dxfId="1432" priority="220">
      <formula>AND(E$9&gt;=14/24,E$9&lt;20/24)</formula>
    </cfRule>
    <cfRule type="expression" dxfId="1431" priority="221">
      <formula>AND(E$9&gt;=8/24,E$9&lt;14/24)</formula>
    </cfRule>
    <cfRule type="expression" dxfId="1430" priority="222">
      <formula>E$9&lt;8/24</formula>
    </cfRule>
  </conditionalFormatting>
  <conditionalFormatting sqref="AL40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429" priority="241">
      <formula>C$9&gt;=20/24</formula>
    </cfRule>
    <cfRule type="expression" dxfId="1428" priority="242">
      <formula>AND(C$9&gt;=14/24,C$9&lt;20/24)</formula>
    </cfRule>
    <cfRule type="expression" dxfId="1427" priority="243">
      <formula>AND(C$9&gt;=8/24,C$9&lt;14/24)</formula>
    </cfRule>
    <cfRule type="expression" dxfId="1426" priority="244">
      <formula>C$9&lt;8/24</formula>
    </cfRule>
  </conditionalFormatting>
  <conditionalFormatting sqref="A229">
    <cfRule type="expression" dxfId="1425" priority="245">
      <formula>$AH229=0</formula>
    </cfRule>
  </conditionalFormatting>
  <conditionalFormatting sqref="AG241">
    <cfRule type="expression" dxfId="1424" priority="246">
      <formula>B$9&gt;=20/24</formula>
    </cfRule>
    <cfRule type="expression" dxfId="1423" priority="247">
      <formula>AND(B$9&gt;=14/24,B$9&lt;20/24)</formula>
    </cfRule>
    <cfRule type="expression" dxfId="1422" priority="248">
      <formula>AND(B$9&gt;=8/24,B$9&lt;14/24)</formula>
    </cfRule>
    <cfRule type="expression" dxfId="1421" priority="249">
      <formula>B$9&lt;8/24</formula>
    </cfRule>
  </conditionalFormatting>
  <conditionalFormatting sqref="S8">
    <cfRule type="expression" dxfId="1420" priority="214">
      <formula>U$9&gt;=20/24</formula>
    </cfRule>
    <cfRule type="expression" dxfId="1419" priority="215">
      <formula>AND(U$9&gt;=14/24,U$9&lt;20/24)</formula>
    </cfRule>
    <cfRule type="expression" dxfId="1418" priority="216">
      <formula>AND(U$9&gt;=8/24,U$9&lt;14/24)</formula>
    </cfRule>
    <cfRule type="expression" dxfId="1417" priority="217">
      <formula>U$9&lt;8/24</formula>
    </cfRule>
  </conditionalFormatting>
  <conditionalFormatting sqref="AB8">
    <cfRule type="expression" dxfId="1416" priority="210">
      <formula>AD$9&gt;=20/24</formula>
    </cfRule>
    <cfRule type="expression" dxfId="1415" priority="211">
      <formula>AND(AD$9&gt;=14/24,AD$9&lt;20/24)</formula>
    </cfRule>
    <cfRule type="expression" dxfId="1414" priority="212">
      <formula>AND(AD$9&gt;=8/24,AD$9&lt;14/24)</formula>
    </cfRule>
    <cfRule type="expression" dxfId="1413" priority="213">
      <formula>AD$9&lt;8/24</formula>
    </cfRule>
  </conditionalFormatting>
  <conditionalFormatting sqref="AH241:AX241">
    <cfRule type="expression" dxfId="1412" priority="250">
      <formula>AG$9&gt;=20/24</formula>
    </cfRule>
    <cfRule type="expression" dxfId="1411" priority="251">
      <formula>AND(AG$9&gt;=14/24,AG$9&lt;20/24)</formula>
    </cfRule>
    <cfRule type="expression" dxfId="1410" priority="252">
      <formula>AND(AG$9&gt;=8/24,AG$9&lt;14/24)</formula>
    </cfRule>
    <cfRule type="expression" dxfId="1409" priority="253">
      <formula>AG$9&lt;8/24</formula>
    </cfRule>
  </conditionalFormatting>
  <conditionalFormatting sqref="T241">
    <cfRule type="expression" dxfId="1408" priority="254">
      <formula>AX$9&gt;=20/24</formula>
    </cfRule>
    <cfRule type="expression" dxfId="1407" priority="255">
      <formula>AND(AX$9&gt;=14/24,AX$9&lt;20/24)</formula>
    </cfRule>
    <cfRule type="expression" dxfId="1406" priority="256">
      <formula>AND(AX$9&gt;=8/24,AX$9&lt;14/24)</formula>
    </cfRule>
    <cfRule type="expression" dxfId="1405" priority="257">
      <formula>AX$9&lt;8/24</formula>
    </cfRule>
  </conditionalFormatting>
  <conditionalFormatting sqref="A111:A112">
    <cfRule type="expression" dxfId="1404" priority="209">
      <formula>$AH111=0</formula>
    </cfRule>
  </conditionalFormatting>
  <conditionalFormatting sqref="AB50:AE51 W52:AE53 AF50:AF53 E67:AF67 M50:Q56">
    <cfRule type="expression" dxfId="1403" priority="205">
      <formula>E$9&gt;=20/24</formula>
    </cfRule>
    <cfRule type="expression" dxfId="1402" priority="206">
      <formula>AND(E$9&gt;=14/24,E$9&lt;20/24)</formula>
    </cfRule>
    <cfRule type="expression" dxfId="1401" priority="207">
      <formula>AND(E$9&gt;=8/24,E$9&lt;14/24)</formula>
    </cfRule>
    <cfRule type="expression" dxfId="1400" priority="208">
      <formula>E$9&lt;8/24</formula>
    </cfRule>
  </conditionalFormatting>
  <conditionalFormatting sqref="M49:Q49 AB49:AF49">
    <cfRule type="expression" dxfId="1399" priority="201">
      <formula>M$9&gt;=20/24</formula>
    </cfRule>
    <cfRule type="expression" dxfId="1398" priority="202">
      <formula>AND(M$9&gt;=14/24,M$9&lt;20/24)</formula>
    </cfRule>
    <cfRule type="expression" dxfId="1397" priority="203">
      <formula>AND(M$9&gt;=8/24,M$9&lt;14/24)</formula>
    </cfRule>
    <cfRule type="expression" dxfId="1396" priority="204">
      <formula>M$9&lt;8/24</formula>
    </cfRule>
  </conditionalFormatting>
  <conditionalFormatting sqref="AB49:AE51 W52:AE53 AF49:AF53 M49:Q56">
    <cfRule type="expression" dxfId="1395" priority="200">
      <formula>M49&gt;$AG49</formula>
    </cfRule>
  </conditionalFormatting>
  <conditionalFormatting sqref="D82:AF82 M96:X102 E68:AE69 X70:AE70 X43:AF43 X63:AF65 AF68:AF70 X92:AF92 AD96:AF102">
    <cfRule type="expression" dxfId="1394" priority="196">
      <formula>D$9&gt;=20/24</formula>
    </cfRule>
    <cfRule type="expression" dxfId="1393" priority="197">
      <formula>AND(D$9&gt;=14/24,D$9&lt;20/24)</formula>
    </cfRule>
    <cfRule type="expression" dxfId="1392" priority="198">
      <formula>AND(D$9&gt;=8/24,D$9&lt;14/24)</formula>
    </cfRule>
    <cfRule type="expression" dxfId="1391" priority="199">
      <formula>D$9&lt;8/24</formula>
    </cfRule>
  </conditionalFormatting>
  <conditionalFormatting sqref="X43:AF43 X63:AF65">
    <cfRule type="expression" dxfId="1390" priority="195">
      <formula>X43&gt;$AG43</formula>
    </cfRule>
  </conditionalFormatting>
  <conditionalFormatting sqref="R49:AA51 R52:V56">
    <cfRule type="expression" dxfId="1389" priority="191">
      <formula>R$9&gt;=20/24</formula>
    </cfRule>
    <cfRule type="expression" dxfId="1388" priority="192">
      <formula>AND(R$9&gt;=14/24,R$9&lt;20/24)</formula>
    </cfRule>
    <cfRule type="expression" dxfId="1387" priority="193">
      <formula>AND(R$9&gt;=8/24,R$9&lt;14/24)</formula>
    </cfRule>
    <cfRule type="expression" dxfId="1386" priority="194">
      <formula>R$9&lt;8/24</formula>
    </cfRule>
  </conditionalFormatting>
  <conditionalFormatting sqref="R49:AA51 R52:V56">
    <cfRule type="expression" dxfId="1385" priority="190">
      <formula>R49&gt;$AG49</formula>
    </cfRule>
  </conditionalFormatting>
  <conditionalFormatting sqref="C84:AF84 C93:AF93">
    <cfRule type="expression" dxfId="1384" priority="186">
      <formula>C$9&gt;=20/24</formula>
    </cfRule>
    <cfRule type="expression" dxfId="1383" priority="187">
      <formula>AND(C$9&gt;=14/24,C$9&lt;20/24)</formula>
    </cfRule>
    <cfRule type="expression" dxfId="1382" priority="188">
      <formula>AND(C$9&gt;=8/24,C$9&lt;14/24)</formula>
    </cfRule>
    <cfRule type="expression" dxfId="1381" priority="189">
      <formula>C$9&lt;8/24</formula>
    </cfRule>
  </conditionalFormatting>
  <conditionalFormatting sqref="T43:W43">
    <cfRule type="expression" dxfId="1380" priority="182">
      <formula>T$9&gt;=20/24</formula>
    </cfRule>
    <cfRule type="expression" dxfId="1379" priority="183">
      <formula>AND(T$9&gt;=14/24,T$9&lt;20/24)</formula>
    </cfRule>
    <cfRule type="expression" dxfId="1378" priority="184">
      <formula>AND(T$9&gt;=8/24,T$9&lt;14/24)</formula>
    </cfRule>
    <cfRule type="expression" dxfId="1377" priority="185">
      <formula>T$9&lt;8/24</formula>
    </cfRule>
  </conditionalFormatting>
  <conditionalFormatting sqref="T43:W43">
    <cfRule type="expression" dxfId="1376" priority="181">
      <formula>T43&gt;$AG43</formula>
    </cfRule>
  </conditionalFormatting>
  <conditionalFormatting sqref="E50:L51 X42:AF42">
    <cfRule type="expression" dxfId="1375" priority="177">
      <formula>E$9&gt;=20/24</formula>
    </cfRule>
    <cfRule type="expression" dxfId="1374" priority="178">
      <formula>AND(E$9&gt;=14/24,E$9&lt;20/24)</formula>
    </cfRule>
    <cfRule type="expression" dxfId="1373" priority="179">
      <formula>AND(E$9&gt;=8/24,E$9&lt;14/24)</formula>
    </cfRule>
    <cfRule type="expression" dxfId="1372" priority="180">
      <formula>E$9&lt;8/24</formula>
    </cfRule>
  </conditionalFormatting>
  <conditionalFormatting sqref="E49:L49">
    <cfRule type="expression" dxfId="1371" priority="173">
      <formula>E$9&gt;=20/24</formula>
    </cfRule>
    <cfRule type="expression" dxfId="1370" priority="174">
      <formula>AND(E$9&gt;=14/24,E$9&lt;20/24)</formula>
    </cfRule>
    <cfRule type="expression" dxfId="1369" priority="175">
      <formula>AND(E$9&gt;=8/24,E$9&lt;14/24)</formula>
    </cfRule>
    <cfRule type="expression" dxfId="1368" priority="176">
      <formula>E$9&lt;8/24</formula>
    </cfRule>
  </conditionalFormatting>
  <conditionalFormatting sqref="E49:L51 X42:AF42">
    <cfRule type="expression" dxfId="1367" priority="172">
      <formula>E42&gt;$AG42</formula>
    </cfRule>
  </conditionalFormatting>
  <conditionalFormatting sqref="AG66 AG83 Q63:W65 E96:L102">
    <cfRule type="expression" dxfId="1366" priority="168">
      <formula>E$9&gt;=20/24</formula>
    </cfRule>
    <cfRule type="expression" dxfId="1365" priority="169">
      <formula>AND(E$9&gt;=14/24,E$9&lt;20/24)</formula>
    </cfRule>
    <cfRule type="expression" dxfId="1364" priority="170">
      <formula>AND(E$9&gt;=8/24,E$9&lt;14/24)</formula>
    </cfRule>
    <cfRule type="expression" dxfId="1363" priority="171">
      <formula>E$9&lt;8/24</formula>
    </cfRule>
  </conditionalFormatting>
  <conditionalFormatting sqref="AG44 AG62 AG66 Q63:W65">
    <cfRule type="expression" dxfId="1362" priority="167">
      <formula>Q44&gt;$AG44</formula>
    </cfRule>
  </conditionalFormatting>
  <conditionalFormatting sqref="X54:AF54">
    <cfRule type="expression" dxfId="1361" priority="163">
      <formula>X$9&gt;=20/24</formula>
    </cfRule>
    <cfRule type="expression" dxfId="1360" priority="164">
      <formula>AND(X$9&gt;=14/24,X$9&lt;20/24)</formula>
    </cfRule>
    <cfRule type="expression" dxfId="1359" priority="165">
      <formula>AND(X$9&gt;=8/24,X$9&lt;14/24)</formula>
    </cfRule>
    <cfRule type="expression" dxfId="1358" priority="166">
      <formula>X$9&lt;8/24</formula>
    </cfRule>
  </conditionalFormatting>
  <conditionalFormatting sqref="X54:AF54">
    <cfRule type="expression" dxfId="1357" priority="162">
      <formula>X54&gt;$AG54</formula>
    </cfRule>
  </conditionalFormatting>
  <conditionalFormatting sqref="A40">
    <cfRule type="expression" dxfId="1356" priority="161">
      <formula>$AH40=0</formula>
    </cfRule>
  </conditionalFormatting>
  <conditionalFormatting sqref="X87:AF91">
    <cfRule type="expression" dxfId="1355" priority="157">
      <formula>X$9&gt;=20/24</formula>
    </cfRule>
    <cfRule type="expression" dxfId="1354" priority="158">
      <formula>AND(X$9&gt;=14/24,X$9&lt;20/24)</formula>
    </cfRule>
    <cfRule type="expression" dxfId="1353" priority="159">
      <formula>AND(X$9&gt;=8/24,X$9&lt;14/24)</formula>
    </cfRule>
    <cfRule type="expression" dxfId="1352" priority="160">
      <formula>X$9&lt;8/24</formula>
    </cfRule>
  </conditionalFormatting>
  <conditionalFormatting sqref="AL41 AL38 AL20:AL33 AL35:AL36 AL7:AL18">
    <cfRule type="iconSet" priority="258">
      <iconSet iconSet="3TrafficLights2" reverse="1">
        <cfvo type="percent" val="0"/>
        <cfvo type="num" val="1"/>
        <cfvo type="num" val="1"/>
      </iconSet>
    </cfRule>
  </conditionalFormatting>
  <conditionalFormatting sqref="E45:AF47">
    <cfRule type="expression" dxfId="1351" priority="153">
      <formula>E$9&gt;=20/24</formula>
    </cfRule>
    <cfRule type="expression" dxfId="1350" priority="154">
      <formula>AND(E$9&gt;=14/24,E$9&lt;20/24)</formula>
    </cfRule>
    <cfRule type="expression" dxfId="1349" priority="155">
      <formula>AND(E$9&gt;=8/24,E$9&lt;14/24)</formula>
    </cfRule>
    <cfRule type="expression" dxfId="1348" priority="156">
      <formula>E$9&lt;8/24</formula>
    </cfRule>
  </conditionalFormatting>
  <conditionalFormatting sqref="E45:AF47">
    <cfRule type="expression" dxfId="1347" priority="152">
      <formula>E45&gt;$AG45</formula>
    </cfRule>
  </conditionalFormatting>
  <conditionalFormatting sqref="AG48">
    <cfRule type="expression" dxfId="1346" priority="148">
      <formula>AG$9&gt;=20/24</formula>
    </cfRule>
    <cfRule type="expression" dxfId="1345" priority="149">
      <formula>AND(AG$9&gt;=14/24,AG$9&lt;20/24)</formula>
    </cfRule>
    <cfRule type="expression" dxfId="1344" priority="150">
      <formula>AND(AG$9&gt;=8/24,AG$9&lt;14/24)</formula>
    </cfRule>
    <cfRule type="expression" dxfId="1343" priority="151">
      <formula>AG$9&lt;8/24</formula>
    </cfRule>
  </conditionalFormatting>
  <conditionalFormatting sqref="AG48">
    <cfRule type="expression" dxfId="1342" priority="147">
      <formula>AG48&gt;$AG48</formula>
    </cfRule>
  </conditionalFormatting>
  <conditionalFormatting sqref="C103:AF103">
    <cfRule type="expression" dxfId="1341" priority="143">
      <formula>C$9&gt;=20/24</formula>
    </cfRule>
    <cfRule type="expression" dxfId="1340" priority="144">
      <formula>AND(C$9&gt;=14/24,C$9&lt;20/24)</formula>
    </cfRule>
    <cfRule type="expression" dxfId="1339" priority="145">
      <formula>AND(C$9&gt;=8/24,C$9&lt;14/24)</formula>
    </cfRule>
    <cfRule type="expression" dxfId="1338" priority="146">
      <formula>C$9&lt;8/24</formula>
    </cfRule>
  </conditionalFormatting>
  <conditionalFormatting sqref="AL37">
    <cfRule type="iconSet" priority="142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337" priority="141">
      <formula>$AH37=0</formula>
    </cfRule>
  </conditionalFormatting>
  <conditionalFormatting sqref="A86">
    <cfRule type="expression" dxfId="1336" priority="139">
      <formula>$AH86=0</formula>
    </cfRule>
  </conditionalFormatting>
  <conditionalFormatting sqref="A83">
    <cfRule type="expression" dxfId="1335" priority="140">
      <formula>$AH83=0</formula>
    </cfRule>
  </conditionalFormatting>
  <conditionalFormatting sqref="D106:AF106">
    <cfRule type="expression" dxfId="1334" priority="126">
      <formula>D$9&gt;=20/24</formula>
    </cfRule>
    <cfRule type="expression" dxfId="1333" priority="127">
      <formula>AND(D$9&gt;=14/24,D$9&lt;20/24)</formula>
    </cfRule>
    <cfRule type="expression" dxfId="1332" priority="128">
      <formula>AND(D$9&gt;=8/24,D$9&lt;14/24)</formula>
    </cfRule>
    <cfRule type="expression" dxfId="1331" priority="129">
      <formula>D$9&lt;8/24</formula>
    </cfRule>
  </conditionalFormatting>
  <conditionalFormatting sqref="A106">
    <cfRule type="expression" dxfId="1330" priority="125">
      <formula>$AH106=0</formula>
    </cfRule>
  </conditionalFormatting>
  <conditionalFormatting sqref="A19">
    <cfRule type="expression" dxfId="1329" priority="123">
      <formula>$AH19=0</formula>
    </cfRule>
  </conditionalFormatting>
  <conditionalFormatting sqref="AL19">
    <cfRule type="iconSet" priority="124">
      <iconSet iconSet="3TrafficLights2" reverse="1">
        <cfvo type="percent" val="0"/>
        <cfvo type="num" val="1"/>
        <cfvo type="num" val="1"/>
      </iconSet>
    </cfRule>
  </conditionalFormatting>
  <conditionalFormatting sqref="A34">
    <cfRule type="expression" dxfId="1328" priority="121">
      <formula>$AH34=0</formula>
    </cfRule>
  </conditionalFormatting>
  <conditionalFormatting sqref="AL34">
    <cfRule type="iconSet" priority="122">
      <iconSet iconSet="3TrafficLights2" reverse="1">
        <cfvo type="percent" val="0"/>
        <cfvo type="num" val="1"/>
        <cfvo type="num" val="1"/>
      </iconSet>
    </cfRule>
  </conditionalFormatting>
  <conditionalFormatting sqref="Y95:AC95">
    <cfRule type="expression" dxfId="1327" priority="117">
      <formula>Y$9&gt;=20/24</formula>
    </cfRule>
    <cfRule type="expression" dxfId="1326" priority="118">
      <formula>AND(Y$9&gt;=14/24,Y$9&lt;20/24)</formula>
    </cfRule>
    <cfRule type="expression" dxfId="1325" priority="119">
      <formula>AND(Y$9&gt;=8/24,Y$9&lt;14/24)</formula>
    </cfRule>
    <cfRule type="expression" dxfId="1324" priority="120">
      <formula>Y$9&lt;8/24</formula>
    </cfRule>
  </conditionalFormatting>
  <conditionalFormatting sqref="Y96:AC102">
    <cfRule type="expression" dxfId="1323" priority="113">
      <formula>Y$9&gt;=20/24</formula>
    </cfRule>
    <cfRule type="expression" dxfId="1322" priority="114">
      <formula>AND(Y$9&gt;=14/24,Y$9&lt;20/24)</formula>
    </cfRule>
    <cfRule type="expression" dxfId="1321" priority="115">
      <formula>AND(Y$9&gt;=8/24,Y$9&lt;14/24)</formula>
    </cfRule>
    <cfRule type="expression" dxfId="1320" priority="116">
      <formula>Y$9&lt;8/24</formula>
    </cfRule>
  </conditionalFormatting>
  <conditionalFormatting sqref="B105:C105 B107:C112 B15:W40">
    <cfRule type="expression" dxfId="1319" priority="109">
      <formula>B$9&gt;=20/24</formula>
    </cfRule>
    <cfRule type="expression" dxfId="1318" priority="110">
      <formula>AND(B$9&gt;=14/24,B$9&lt;20/24)</formula>
    </cfRule>
    <cfRule type="expression" dxfId="1317" priority="111">
      <formula>AND(B$9&gt;=8/24,B$9&lt;14/24)</formula>
    </cfRule>
    <cfRule type="expression" dxfId="1316" priority="112">
      <formula>B$9&lt;8/24</formula>
    </cfRule>
  </conditionalFormatting>
  <conditionalFormatting sqref="B43:S43">
    <cfRule type="expression" dxfId="1315" priority="105">
      <formula>B$9&gt;=20/24</formula>
    </cfRule>
    <cfRule type="expression" dxfId="1314" priority="106">
      <formula>AND(B$9&gt;=14/24,B$9&lt;20/24)</formula>
    </cfRule>
    <cfRule type="expression" dxfId="1313" priority="107">
      <formula>AND(B$9&gt;=8/24,B$9&lt;14/24)</formula>
    </cfRule>
    <cfRule type="expression" dxfId="1312" priority="108">
      <formula>B$9&lt;8/24</formula>
    </cfRule>
  </conditionalFormatting>
  <conditionalFormatting sqref="B43:S43 B15:W40">
    <cfRule type="expression" dxfId="1311" priority="104">
      <formula>B15&gt;$AG15</formula>
    </cfRule>
  </conditionalFormatting>
  <conditionalFormatting sqref="B95:D95">
    <cfRule type="expression" dxfId="1310" priority="100">
      <formula>B$9&gt;=20/24</formula>
    </cfRule>
    <cfRule type="expression" dxfId="1309" priority="101">
      <formula>AND(B$9&gt;=14/24,B$9&lt;20/24)</formula>
    </cfRule>
    <cfRule type="expression" dxfId="1308" priority="102">
      <formula>AND(B$9&gt;=8/24,B$9&lt;14/24)</formula>
    </cfRule>
    <cfRule type="expression" dxfId="1307" priority="103">
      <formula>B$9&lt;8/24</formula>
    </cfRule>
  </conditionalFormatting>
  <conditionalFormatting sqref="B67:D67 B50:D51">
    <cfRule type="expression" dxfId="1306" priority="96">
      <formula>B$9&gt;=20/24</formula>
    </cfRule>
    <cfRule type="expression" dxfId="1305" priority="97">
      <formula>AND(B$9&gt;=14/24,B$9&lt;20/24)</formula>
    </cfRule>
    <cfRule type="expression" dxfId="1304" priority="98">
      <formula>AND(B$9&gt;=8/24,B$9&lt;14/24)</formula>
    </cfRule>
    <cfRule type="expression" dxfId="1303" priority="99">
      <formula>B$9&lt;8/24</formula>
    </cfRule>
  </conditionalFormatting>
  <conditionalFormatting sqref="B49:D49">
    <cfRule type="expression" dxfId="1302" priority="92">
      <formula>B$9&gt;=20/24</formula>
    </cfRule>
    <cfRule type="expression" dxfId="1301" priority="93">
      <formula>AND(B$9&gt;=14/24,B$9&lt;20/24)</formula>
    </cfRule>
    <cfRule type="expression" dxfId="1300" priority="94">
      <formula>AND(B$9&gt;=8/24,B$9&lt;14/24)</formula>
    </cfRule>
    <cfRule type="expression" dxfId="1299" priority="95">
      <formula>B$9&lt;8/24</formula>
    </cfRule>
  </conditionalFormatting>
  <conditionalFormatting sqref="B49:D51">
    <cfRule type="expression" dxfId="1298" priority="91">
      <formula>B49&gt;$AG49</formula>
    </cfRule>
  </conditionalFormatting>
  <conditionalFormatting sqref="B82:C82 B68:D72 B96:D102 B63:P65 E70:W72 B92:W92 X71:AF72 B79:AF81">
    <cfRule type="expression" dxfId="1297" priority="87">
      <formula>B$9&gt;=20/24</formula>
    </cfRule>
    <cfRule type="expression" dxfId="1296" priority="88">
      <formula>AND(B$9&gt;=14/24,B$9&lt;20/24)</formula>
    </cfRule>
    <cfRule type="expression" dxfId="1295" priority="89">
      <formula>AND(B$9&gt;=8/24,B$9&lt;14/24)</formula>
    </cfRule>
    <cfRule type="expression" dxfId="1294" priority="90">
      <formula>B$9&lt;8/24</formula>
    </cfRule>
  </conditionalFormatting>
  <conditionalFormatting sqref="B52:L53 B63:P65">
    <cfRule type="expression" dxfId="1293" priority="86">
      <formula>B52&gt;$AG52</formula>
    </cfRule>
  </conditionalFormatting>
  <conditionalFormatting sqref="B54:L54 W54">
    <cfRule type="expression" dxfId="1292" priority="82">
      <formula>B$9&gt;=20/24</formula>
    </cfRule>
    <cfRule type="expression" dxfId="1291" priority="83">
      <formula>AND(B$9&gt;=14/24,B$9&lt;20/24)</formula>
    </cfRule>
    <cfRule type="expression" dxfId="1290" priority="84">
      <formula>AND(B$9&gt;=8/24,B$9&lt;14/24)</formula>
    </cfRule>
    <cfRule type="expression" dxfId="1289" priority="85">
      <formula>B$9&lt;8/24</formula>
    </cfRule>
  </conditionalFormatting>
  <conditionalFormatting sqref="B54:L54 W54">
    <cfRule type="expression" dxfId="1288" priority="81">
      <formula>B54&gt;$AG54</formula>
    </cfRule>
  </conditionalFormatting>
  <conditionalFormatting sqref="B84 B93">
    <cfRule type="expression" dxfId="1287" priority="77">
      <formula>B$9&gt;=20/24</formula>
    </cfRule>
    <cfRule type="expression" dxfId="1286" priority="78">
      <formula>AND(B$9&gt;=14/24,B$9&lt;20/24)</formula>
    </cfRule>
    <cfRule type="expression" dxfId="1285" priority="79">
      <formula>AND(B$9&gt;=8/24,B$9&lt;14/24)</formula>
    </cfRule>
    <cfRule type="expression" dxfId="1284" priority="80">
      <formula>B$9&lt;8/24</formula>
    </cfRule>
  </conditionalFormatting>
  <conditionalFormatting sqref="B42:W42">
    <cfRule type="expression" dxfId="1283" priority="73">
      <formula>B$9&gt;=20/24</formula>
    </cfRule>
    <cfRule type="expression" dxfId="1282" priority="74">
      <formula>AND(B$9&gt;=14/24,B$9&lt;20/24)</formula>
    </cfRule>
    <cfRule type="expression" dxfId="1281" priority="75">
      <formula>AND(B$9&gt;=8/24,B$9&lt;14/24)</formula>
    </cfRule>
    <cfRule type="expression" dxfId="1280" priority="76">
      <formula>B$9&lt;8/24</formula>
    </cfRule>
  </conditionalFormatting>
  <conditionalFormatting sqref="B42:W42">
    <cfRule type="expression" dxfId="1279" priority="72">
      <formula>B42&gt;$AG42</formula>
    </cfRule>
  </conditionalFormatting>
  <conditionalFormatting sqref="B66:AF66 B83:AF83 B85:AF85 B94:AF94">
    <cfRule type="expression" dxfId="1278" priority="68">
      <formula>B$9&gt;=20/24</formula>
    </cfRule>
    <cfRule type="expression" dxfId="1277" priority="69">
      <formula>AND(B$9&gt;=14/24,B$9&lt;20/24)</formula>
    </cfRule>
    <cfRule type="expression" dxfId="1276" priority="70">
      <formula>AND(B$9&gt;=8/24,B$9&lt;14/24)</formula>
    </cfRule>
    <cfRule type="expression" dxfId="1275" priority="71">
      <formula>B$9&lt;8/24</formula>
    </cfRule>
  </conditionalFormatting>
  <conditionalFormatting sqref="B44:AF44 B61:AF62 B66:AF66">
    <cfRule type="expression" dxfId="1274" priority="67">
      <formula>B44&gt;$AG44</formula>
    </cfRule>
  </conditionalFormatting>
  <conditionalFormatting sqref="B78:AF78">
    <cfRule type="expression" dxfId="1273" priority="63">
      <formula>B$9&gt;=20/24</formula>
    </cfRule>
    <cfRule type="expression" dxfId="1272" priority="64">
      <formula>AND(B$9&gt;=14/24,B$9&lt;20/24)</formula>
    </cfRule>
    <cfRule type="expression" dxfId="1271" priority="65">
      <formula>AND(B$9&gt;=8/24,B$9&lt;14/24)</formula>
    </cfRule>
    <cfRule type="expression" dxfId="1270" priority="66">
      <formula>B$9&lt;8/24</formula>
    </cfRule>
  </conditionalFormatting>
  <conditionalFormatting sqref="B87:W91">
    <cfRule type="expression" dxfId="1269" priority="59">
      <formula>B$9&gt;=20/24</formula>
    </cfRule>
    <cfRule type="expression" dxfId="1268" priority="60">
      <formula>AND(B$9&gt;=14/24,B$9&lt;20/24)</formula>
    </cfRule>
    <cfRule type="expression" dxfId="1267" priority="61">
      <formula>AND(B$9&gt;=8/24,B$9&lt;14/24)</formula>
    </cfRule>
    <cfRule type="expression" dxfId="1266" priority="62">
      <formula>B$9&lt;8/24</formula>
    </cfRule>
  </conditionalFormatting>
  <conditionalFormatting sqref="B45:D47">
    <cfRule type="expression" dxfId="1265" priority="55">
      <formula>B$9&gt;=20/24</formula>
    </cfRule>
    <cfRule type="expression" dxfId="1264" priority="56">
      <formula>AND(B$9&gt;=14/24,B$9&lt;20/24)</formula>
    </cfRule>
    <cfRule type="expression" dxfId="1263" priority="57">
      <formula>AND(B$9&gt;=8/24,B$9&lt;14/24)</formula>
    </cfRule>
    <cfRule type="expression" dxfId="1262" priority="58">
      <formula>B$9&lt;8/24</formula>
    </cfRule>
  </conditionalFormatting>
  <conditionalFormatting sqref="B45:D47">
    <cfRule type="expression" dxfId="1261" priority="54">
      <formula>B45&gt;$AG45</formula>
    </cfRule>
  </conditionalFormatting>
  <conditionalFormatting sqref="B48:AF48">
    <cfRule type="expression" dxfId="1260" priority="50">
      <formula>B$9&gt;=20/24</formula>
    </cfRule>
    <cfRule type="expression" dxfId="1259" priority="51">
      <formula>AND(B$9&gt;=14/24,B$9&lt;20/24)</formula>
    </cfRule>
    <cfRule type="expression" dxfId="1258" priority="52">
      <formula>AND(B$9&gt;=8/24,B$9&lt;14/24)</formula>
    </cfRule>
    <cfRule type="expression" dxfId="1257" priority="53">
      <formula>B$9&lt;8/24</formula>
    </cfRule>
  </conditionalFormatting>
  <conditionalFormatting sqref="B48:AF48">
    <cfRule type="expression" dxfId="1256" priority="49">
      <formula>B48&gt;$AG48</formula>
    </cfRule>
  </conditionalFormatting>
  <conditionalFormatting sqref="B103">
    <cfRule type="expression" dxfId="1255" priority="45">
      <formula>B$9&gt;=20/24</formula>
    </cfRule>
    <cfRule type="expression" dxfId="1254" priority="46">
      <formula>AND(B$9&gt;=14/24,B$9&lt;20/24)</formula>
    </cfRule>
    <cfRule type="expression" dxfId="1253" priority="47">
      <formula>AND(B$9&gt;=8/24,B$9&lt;14/24)</formula>
    </cfRule>
    <cfRule type="expression" dxfId="1252" priority="48">
      <formula>B$9&lt;8/24</formula>
    </cfRule>
  </conditionalFormatting>
  <conditionalFormatting sqref="B106:C106">
    <cfRule type="expression" dxfId="1251" priority="33">
      <formula>B$9&gt;=20/24</formula>
    </cfRule>
    <cfRule type="expression" dxfId="1250" priority="34">
      <formula>AND(B$9&gt;=14/24,B$9&lt;20/24)</formula>
    </cfRule>
    <cfRule type="expression" dxfId="1249" priority="35">
      <formula>AND(B$9&gt;=8/24,B$9&lt;14/24)</formula>
    </cfRule>
    <cfRule type="expression" dxfId="1248" priority="36">
      <formula>B$9&lt;8/24</formula>
    </cfRule>
  </conditionalFormatting>
  <conditionalFormatting sqref="B57:AF60 B55:L56 W55:AF56">
    <cfRule type="expression" dxfId="1247" priority="29">
      <formula>B$9&gt;=20/24</formula>
    </cfRule>
    <cfRule type="expression" dxfId="1246" priority="30">
      <formula>AND(B$9&gt;=14/24,B$9&lt;20/24)</formula>
    </cfRule>
    <cfRule type="expression" dxfId="1245" priority="31">
      <formula>AND(B$9&gt;=8/24,B$9&lt;14/24)</formula>
    </cfRule>
    <cfRule type="expression" dxfId="1244" priority="32">
      <formula>B$9&lt;8/24</formula>
    </cfRule>
  </conditionalFormatting>
  <conditionalFormatting sqref="B57:AF60 B55:L56 W55:AF56">
    <cfRule type="expression" dxfId="1243" priority="28">
      <formula>B55&gt;$AG55</formula>
    </cfRule>
  </conditionalFormatting>
  <conditionalFormatting sqref="B12:W14 B41:W41">
    <cfRule type="expression" dxfId="1242" priority="27">
      <formula>B12&gt;$AG12</formula>
    </cfRule>
  </conditionalFormatting>
  <conditionalFormatting sqref="B11:W11">
    <cfRule type="expression" dxfId="1241" priority="23">
      <formula>B$9&gt;=20/24</formula>
    </cfRule>
    <cfRule type="expression" dxfId="1240" priority="24">
      <formula>AND(B$9&gt;=14/24,B$9&lt;20/24)</formula>
    </cfRule>
    <cfRule type="expression" dxfId="1239" priority="25">
      <formula>AND(B$9&gt;=8/24,B$9&lt;14/24)</formula>
    </cfRule>
    <cfRule type="expression" dxfId="1238" priority="26">
      <formula>B$9&lt;8/24</formula>
    </cfRule>
  </conditionalFormatting>
  <conditionalFormatting sqref="B11:W11">
    <cfRule type="expression" dxfId="1237" priority="22">
      <formula>B11&gt;$AG11</formula>
    </cfRule>
  </conditionalFormatting>
  <conditionalFormatting sqref="B12:W14">
    <cfRule type="expression" dxfId="1236" priority="18">
      <formula>B$9&gt;=20/24</formula>
    </cfRule>
    <cfRule type="expression" dxfId="1235" priority="19">
      <formula>AND(B$9&gt;=14/24,B$9&lt;20/24)</formula>
    </cfRule>
    <cfRule type="expression" dxfId="1234" priority="20">
      <formula>AND(B$9&gt;=8/24,B$9&lt;14/24)</formula>
    </cfRule>
    <cfRule type="expression" dxfId="1233" priority="21">
      <formula>B$9&lt;8/24</formula>
    </cfRule>
  </conditionalFormatting>
  <conditionalFormatting sqref="B41:W41">
    <cfRule type="expression" dxfId="1232" priority="14">
      <formula>B$9&gt;=20/24</formula>
    </cfRule>
    <cfRule type="expression" dxfId="1231" priority="15">
      <formula>AND(B$9&gt;=14/24,B$9&lt;20/24)</formula>
    </cfRule>
    <cfRule type="expression" dxfId="1230" priority="16">
      <formula>AND(B$9&gt;=8/24,B$9&lt;14/24)</formula>
    </cfRule>
    <cfRule type="expression" dxfId="1229" priority="17">
      <formula>B$9&lt;8/24</formula>
    </cfRule>
  </conditionalFormatting>
  <conditionalFormatting sqref="B73:AF77">
    <cfRule type="expression" dxfId="1228" priority="10">
      <formula>B$9&gt;=20/24</formula>
    </cfRule>
    <cfRule type="expression" dxfId="1227" priority="11">
      <formula>AND(B$9&gt;=14/24,B$9&lt;20/24)</formula>
    </cfRule>
    <cfRule type="expression" dxfId="1226" priority="12">
      <formula>AND(B$9&gt;=8/24,B$9&lt;14/24)</formula>
    </cfRule>
    <cfRule type="expression" dxfId="1225" priority="13">
      <formula>B$9&lt;8/24</formula>
    </cfRule>
  </conditionalFormatting>
  <conditionalFormatting sqref="AL74:AN74 AL80:AN80 AN75:AN76">
    <cfRule type="expression" dxfId="1224" priority="6">
      <formula>AL$9&gt;=20/24</formula>
    </cfRule>
    <cfRule type="expression" dxfId="1223" priority="7">
      <formula>AND(AL$9&gt;=14/24,AL$9&lt;20/24)</formula>
    </cfRule>
    <cfRule type="expression" dxfId="1222" priority="8">
      <formula>AND(AL$9&gt;=8/24,AL$9&lt;14/24)</formula>
    </cfRule>
    <cfRule type="expression" dxfId="1221" priority="9">
      <formula>AL$9&lt;8/24</formula>
    </cfRule>
  </conditionalFormatting>
  <conditionalFormatting sqref="AN77:AN78">
    <cfRule type="expression" dxfId="1220" priority="2">
      <formula>AN$9&gt;=20/24</formula>
    </cfRule>
    <cfRule type="expression" dxfId="1219" priority="3">
      <formula>AND(AN$9&gt;=14/24,AN$9&lt;20/24)</formula>
    </cfRule>
    <cfRule type="expression" dxfId="1218" priority="4">
      <formula>AND(AN$9&gt;=8/24,AN$9&lt;14/24)</formula>
    </cfRule>
    <cfRule type="expression" dxfId="1217" priority="5">
      <formula>AN$9&lt;8/24</formula>
    </cfRule>
  </conditionalFormatting>
  <conditionalFormatting sqref="AL75:AM79">
    <cfRule type="expression" dxfId="1216" priority="259">
      <formula>AJ$9&gt;=20/24</formula>
    </cfRule>
    <cfRule type="expression" dxfId="1215" priority="260">
      <formula>AND(AJ$9&gt;=14/24,AJ$9&lt;20/24)</formula>
    </cfRule>
    <cfRule type="expression" dxfId="1214" priority="261">
      <formula>AND(AJ$9&gt;=8/24,AJ$9&lt;14/24)</formula>
    </cfRule>
    <cfRule type="expression" dxfId="1213" priority="262">
      <formula>AJ$9&lt;8/24</formula>
    </cfRule>
  </conditionalFormatting>
  <conditionalFormatting sqref="A113">
    <cfRule type="expression" dxfId="1212" priority="1">
      <formula>$AH113=0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5" id="{CFDF8C26-2F1F-402F-B0C3-4ED0D2640322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6" id="{331A197F-58FE-4465-B027-B1C2B786927D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7" id="{FF54F6EB-C826-4A33-B583-52572E59A37F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8" id="{340F7992-B469-4ABD-BD9D-F683E51C7181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D113:AF113</xm:sqref>
        </x14:conditionalFormatting>
        <x14:conditionalFormatting xmlns:xm="http://schemas.microsoft.com/office/excel/2006/main">
          <x14:cfRule type="expression" priority="131" id="{C9811163-DC5F-4055-8440-944E1369B7BE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32" id="{577C91E1-16C3-4C48-993C-C455102297D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3" id="{8648F2B6-2BB8-4F1C-85D3-181D7C4DD7D3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4" id="{CA0C4BD3-46BD-4978-8489-D1A7349FE39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C113</xm:sqref>
        </x14:conditionalFormatting>
        <x14:conditionalFormatting xmlns:xm="http://schemas.microsoft.com/office/excel/2006/main">
          <x14:cfRule type="expression" priority="41" id="{BDA1BF73-5FB6-41BC-89B3-7C16072A39C7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2" id="{1B8A8D47-4EAB-4EDA-99E4-416A8A1CE6C5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3" id="{17CFF624-5CF9-471A-8EA0-A9F5EB8EB76E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4" id="{AEB4F419-CBF9-460C-9C84-FE4C70EEB8A0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B86:AF86</xm:sqref>
        </x14:conditionalFormatting>
        <x14:conditionalFormatting xmlns:xm="http://schemas.microsoft.com/office/excel/2006/main">
          <x14:cfRule type="expression" priority="37" id="{AEC1876E-3930-44C5-8DCA-504CCD11D9FB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8" id="{922CD284-51E4-4003-9EE4-997FD6ABC8F7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9" id="{14312DEF-4584-46B5-9A3E-BB343980325A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id="{84FCAF3C-AD16-41F6-AF1D-22BC2E6467A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30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fal1</vt:lpstr>
      <vt:lpstr>sample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Server</dc:creator>
  <cp:lastModifiedBy>Control Room LDC  System Operation Department</cp:lastModifiedBy>
  <cp:lastPrinted>2023-02-02T19:15:22Z</cp:lastPrinted>
  <dcterms:created xsi:type="dcterms:W3CDTF">2023-01-15T06:43:35Z</dcterms:created>
  <dcterms:modified xsi:type="dcterms:W3CDTF">2024-01-22T10:54:03Z</dcterms:modified>
</cp:coreProperties>
</file>